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75" windowWidth="22035" windowHeight="11055"/>
  </bookViews>
  <sheets>
    <sheet name="New in Version 4" sheetId="3" r:id="rId1"/>
    <sheet name="Updated in Version 4" sheetId="4" r:id="rId2"/>
    <sheet name="Removed from Version 4" sheetId="5" r:id="rId3"/>
    <sheet name="New Associations" sheetId="6" r:id="rId4"/>
    <sheet name="All - By Name" sheetId="2" r:id="rId5"/>
    <sheet name="All - By Domain Entity" sheetId="7" r:id="rId6"/>
  </sheets>
  <definedNames>
    <definedName name="_xlnm._FilterDatabase" localSheetId="5" hidden="1">'All - By Domain Entity'!$A$1:$P$1</definedName>
    <definedName name="_xlnm._FilterDatabase" localSheetId="4" hidden="1">'All - By Name'!$A$1:$N$1349</definedName>
    <definedName name="_xlnm._FilterDatabase" localSheetId="3" hidden="1">'New Associations'!$A$1:$O$70</definedName>
    <definedName name="_xlnm._FilterDatabase" localSheetId="0" hidden="1">'New in Version 4'!$A$1:$N$237</definedName>
    <definedName name="_xlnm._FilterDatabase" localSheetId="2" hidden="1">'Removed from Version 4'!$A$1:$O$13</definedName>
    <definedName name="_xlnm._FilterDatabase" localSheetId="1" hidden="1">'Updated in Version 4'!$A$1:$O$86</definedName>
  </definedNames>
  <calcPr calcId="125725"/>
</workbook>
</file>

<file path=xl/calcChain.xml><?xml version="1.0" encoding="utf-8"?>
<calcChain xmlns="http://schemas.openxmlformats.org/spreadsheetml/2006/main">
  <c r="P2963" i="7"/>
  <c r="O2963"/>
  <c r="P2962"/>
  <c r="O2962"/>
  <c r="P2961"/>
  <c r="O2961"/>
  <c r="P2960"/>
  <c r="O2960"/>
  <c r="P2959"/>
  <c r="O2959"/>
  <c r="P2958"/>
  <c r="O2958"/>
  <c r="P2957"/>
  <c r="O2957"/>
  <c r="P2956"/>
  <c r="O2956"/>
  <c r="P2955"/>
  <c r="O2955"/>
  <c r="P2954"/>
  <c r="O2954"/>
  <c r="P2953"/>
  <c r="O2953"/>
  <c r="P2952"/>
  <c r="O2952"/>
  <c r="P2951"/>
  <c r="O2951"/>
  <c r="P2950"/>
  <c r="O2950"/>
  <c r="P2949"/>
  <c r="O2949"/>
  <c r="P2948"/>
  <c r="O2948"/>
  <c r="P2947"/>
  <c r="O2947"/>
  <c r="P2945"/>
  <c r="O2945"/>
  <c r="P2944"/>
  <c r="O2944"/>
  <c r="P2943"/>
  <c r="O2943"/>
  <c r="P2942"/>
  <c r="O2942"/>
  <c r="P2941"/>
  <c r="O2941"/>
  <c r="P2940"/>
  <c r="O2940"/>
  <c r="P2939"/>
  <c r="O2939"/>
  <c r="P2938"/>
  <c r="O2938"/>
  <c r="P2937"/>
  <c r="O2937"/>
  <c r="P2936"/>
  <c r="O2936"/>
  <c r="P2935"/>
  <c r="O2935"/>
  <c r="P2934"/>
  <c r="O2934"/>
  <c r="P2933"/>
  <c r="O2933"/>
  <c r="P2932"/>
  <c r="O2932"/>
  <c r="P2931"/>
  <c r="O2931"/>
  <c r="P2930"/>
  <c r="O2930"/>
  <c r="P2929"/>
  <c r="O2929"/>
  <c r="P2928"/>
  <c r="O2928"/>
  <c r="P2927"/>
  <c r="O2927"/>
  <c r="P2926"/>
  <c r="O2926"/>
  <c r="P2925"/>
  <c r="O2925"/>
  <c r="P2924"/>
  <c r="O2924"/>
  <c r="P2923"/>
  <c r="O2923"/>
  <c r="P2922"/>
  <c r="O2922"/>
  <c r="P2921"/>
  <c r="O2921"/>
  <c r="P2920"/>
  <c r="O2920"/>
  <c r="P2919"/>
  <c r="O2919"/>
  <c r="P2918"/>
  <c r="O2918"/>
  <c r="P2917"/>
  <c r="O2917"/>
  <c r="P2916"/>
  <c r="O2916"/>
  <c r="P2915"/>
  <c r="O2915"/>
  <c r="P2914"/>
  <c r="O2914"/>
  <c r="P2913"/>
  <c r="O2913"/>
  <c r="P2912"/>
  <c r="O2912"/>
  <c r="P2911"/>
  <c r="O2911"/>
  <c r="P2910"/>
  <c r="O2910"/>
  <c r="P2909"/>
  <c r="O2909"/>
  <c r="P2908"/>
  <c r="O2908"/>
  <c r="P2907"/>
  <c r="O2907"/>
  <c r="P2906"/>
  <c r="O2906"/>
  <c r="P2905"/>
  <c r="O2905"/>
  <c r="P2904"/>
  <c r="O2904"/>
  <c r="P2903"/>
  <c r="O2903"/>
  <c r="P2902"/>
  <c r="O2902"/>
  <c r="P2901"/>
  <c r="O2901"/>
  <c r="P2900"/>
  <c r="O2900"/>
  <c r="P2899"/>
  <c r="O2899"/>
  <c r="P2898"/>
  <c r="O2898"/>
  <c r="P2897"/>
  <c r="O2897"/>
  <c r="P2895"/>
  <c r="O2895"/>
  <c r="P2894"/>
  <c r="O2894"/>
  <c r="P2893"/>
  <c r="O2893"/>
  <c r="P2892"/>
  <c r="O2892"/>
  <c r="P2891"/>
  <c r="O2891"/>
  <c r="P2890"/>
  <c r="O2890"/>
  <c r="P2889"/>
  <c r="O2889"/>
  <c r="P2888"/>
  <c r="O2888"/>
  <c r="P2887"/>
  <c r="O2887"/>
  <c r="P2886"/>
  <c r="O2886"/>
  <c r="P2885"/>
  <c r="O2885"/>
  <c r="P2884"/>
  <c r="O2884"/>
  <c r="P2883"/>
  <c r="O2883"/>
  <c r="P2882"/>
  <c r="O2882"/>
  <c r="P2881"/>
  <c r="O2881"/>
  <c r="P2880"/>
  <c r="O2880"/>
  <c r="P2879"/>
  <c r="O2879"/>
  <c r="P2878"/>
  <c r="O2878"/>
  <c r="P2877"/>
  <c r="O2877"/>
  <c r="P2876"/>
  <c r="O2876"/>
  <c r="P2875"/>
  <c r="O2875"/>
  <c r="P2874"/>
  <c r="O2874"/>
  <c r="P2873"/>
  <c r="O2873"/>
  <c r="P2872"/>
  <c r="O2872"/>
  <c r="P2871"/>
  <c r="O2871"/>
  <c r="P2870"/>
  <c r="O2870"/>
  <c r="P2869"/>
  <c r="O2869"/>
  <c r="P2868"/>
  <c r="O2868"/>
  <c r="P2867"/>
  <c r="O2867"/>
  <c r="P2866"/>
  <c r="O2866"/>
  <c r="P2865"/>
  <c r="O2865"/>
  <c r="P2864"/>
  <c r="O2864"/>
  <c r="P2863"/>
  <c r="O2863"/>
  <c r="P2862"/>
  <c r="O2862"/>
  <c r="P2861"/>
  <c r="O2861"/>
  <c r="P2860"/>
  <c r="O2860"/>
  <c r="P2859"/>
  <c r="O2859"/>
  <c r="P2858"/>
  <c r="O2858"/>
  <c r="P2857"/>
  <c r="O2857"/>
  <c r="P2856"/>
  <c r="O2856"/>
  <c r="P2855"/>
  <c r="O2855"/>
  <c r="P2854"/>
  <c r="O2854"/>
  <c r="P2853"/>
  <c r="O2853"/>
  <c r="P2852"/>
  <c r="O2852"/>
  <c r="P2851"/>
  <c r="O2851"/>
  <c r="P2850"/>
  <c r="O2850"/>
  <c r="P2849"/>
  <c r="O2849"/>
  <c r="P2848"/>
  <c r="O2848"/>
  <c r="P2847"/>
  <c r="O2847"/>
  <c r="P2846"/>
  <c r="O2846"/>
  <c r="P2845"/>
  <c r="O2845"/>
  <c r="P2844"/>
  <c r="O2844"/>
  <c r="P2843"/>
  <c r="O2843"/>
  <c r="P2842"/>
  <c r="O2842"/>
  <c r="P2841"/>
  <c r="O2841"/>
  <c r="P2840"/>
  <c r="O2840"/>
  <c r="P2839"/>
  <c r="O2839"/>
  <c r="P2838"/>
  <c r="O2838"/>
  <c r="P2837"/>
  <c r="O2837"/>
  <c r="P2836"/>
  <c r="O2836"/>
  <c r="P2835"/>
  <c r="O2835"/>
  <c r="P2834"/>
  <c r="O2834"/>
  <c r="P2833"/>
  <c r="O2833"/>
  <c r="P2832"/>
  <c r="O2832"/>
  <c r="P2831"/>
  <c r="O2831"/>
  <c r="P2830"/>
  <c r="O2830"/>
  <c r="P2829"/>
  <c r="O2829"/>
  <c r="P2828"/>
  <c r="O2828"/>
  <c r="P2827"/>
  <c r="O2827"/>
  <c r="P2826"/>
  <c r="O2826"/>
  <c r="P2825"/>
  <c r="O2825"/>
  <c r="P2824"/>
  <c r="O2824"/>
  <c r="P2823"/>
  <c r="O2823"/>
  <c r="P2822"/>
  <c r="O2822"/>
  <c r="P2821"/>
  <c r="O2821"/>
  <c r="P2820"/>
  <c r="O2820"/>
  <c r="P2819"/>
  <c r="O2819"/>
  <c r="P2818"/>
  <c r="O2818"/>
  <c r="P2817"/>
  <c r="O2817"/>
  <c r="P2816"/>
  <c r="O2816"/>
  <c r="P2815"/>
  <c r="O2815"/>
  <c r="P2814"/>
  <c r="O2814"/>
  <c r="P2813"/>
  <c r="O2813"/>
  <c r="P2812"/>
  <c r="O2812"/>
  <c r="P2811"/>
  <c r="O2811"/>
  <c r="P2810"/>
  <c r="O2810"/>
  <c r="P2809"/>
  <c r="O2809"/>
  <c r="P2808"/>
  <c r="O2808"/>
  <c r="P2806"/>
  <c r="O2806"/>
  <c r="P2805"/>
  <c r="O2805"/>
  <c r="P2804"/>
  <c r="O2804"/>
  <c r="P2803"/>
  <c r="O2803"/>
  <c r="P2802"/>
  <c r="O2802"/>
  <c r="P2801"/>
  <c r="O2801"/>
  <c r="P2800"/>
  <c r="O2800"/>
  <c r="P2799"/>
  <c r="O2799"/>
  <c r="P2798"/>
  <c r="O2798"/>
  <c r="P2797"/>
  <c r="O2797"/>
  <c r="P2796"/>
  <c r="O2796"/>
  <c r="P2795"/>
  <c r="O2795"/>
  <c r="P2794"/>
  <c r="O2794"/>
  <c r="P2793"/>
  <c r="O2793"/>
  <c r="P2792"/>
  <c r="O2792"/>
  <c r="P2791"/>
  <c r="O2791"/>
  <c r="P2790"/>
  <c r="O2790"/>
  <c r="P2789"/>
  <c r="O2789"/>
  <c r="P2788"/>
  <c r="O2788"/>
  <c r="P2787"/>
  <c r="O2787"/>
  <c r="P2786"/>
  <c r="O2786"/>
  <c r="P2785"/>
  <c r="O2785"/>
  <c r="P2784"/>
  <c r="O2784"/>
  <c r="P2783"/>
  <c r="O2783"/>
  <c r="P2782"/>
  <c r="O2782"/>
  <c r="P2781"/>
  <c r="O2781"/>
  <c r="P2780"/>
  <c r="O2780"/>
  <c r="P2779"/>
  <c r="O2779"/>
  <c r="P2778"/>
  <c r="O2778"/>
  <c r="P2777"/>
  <c r="O2777"/>
  <c r="P2776"/>
  <c r="O2776"/>
  <c r="P2775"/>
  <c r="O2775"/>
  <c r="P2774"/>
  <c r="O2774"/>
  <c r="P2773"/>
  <c r="O2773"/>
  <c r="P2772"/>
  <c r="O2772"/>
  <c r="P2771"/>
  <c r="O2771"/>
  <c r="P2770"/>
  <c r="O2770"/>
  <c r="P2769"/>
  <c r="O2769"/>
  <c r="P2768"/>
  <c r="O2768"/>
  <c r="P2767"/>
  <c r="O2767"/>
  <c r="P2766"/>
  <c r="O2766"/>
  <c r="P2765"/>
  <c r="O2765"/>
  <c r="P2764"/>
  <c r="O2764"/>
  <c r="P2763"/>
  <c r="O2763"/>
  <c r="P2762"/>
  <c r="O2762"/>
  <c r="P2761"/>
  <c r="O2761"/>
  <c r="P2760"/>
  <c r="O2760"/>
  <c r="P2759"/>
  <c r="O2759"/>
  <c r="P2758"/>
  <c r="O2758"/>
  <c r="P2757"/>
  <c r="O2757"/>
  <c r="P2756"/>
  <c r="O2756"/>
  <c r="P2755"/>
  <c r="O2755"/>
  <c r="P2754"/>
  <c r="O2754"/>
  <c r="P2753"/>
  <c r="O2753"/>
  <c r="P2752"/>
  <c r="O2752"/>
  <c r="P2751"/>
  <c r="O2751"/>
  <c r="P2750"/>
  <c r="O2750"/>
  <c r="P2749"/>
  <c r="O2749"/>
  <c r="P2748"/>
  <c r="O2748"/>
  <c r="P2747"/>
  <c r="O2747"/>
  <c r="P2746"/>
  <c r="O2746"/>
  <c r="P2745"/>
  <c r="O2745"/>
  <c r="P2744"/>
  <c r="O2744"/>
  <c r="P2743"/>
  <c r="O2743"/>
  <c r="P2742"/>
  <c r="O2742"/>
  <c r="P2741"/>
  <c r="O2741"/>
  <c r="P2740"/>
  <c r="O2740"/>
  <c r="P2739"/>
  <c r="O2739"/>
  <c r="P2738"/>
  <c r="O2738"/>
  <c r="P2737"/>
  <c r="O2737"/>
  <c r="P2736"/>
  <c r="O2736"/>
  <c r="P2735"/>
  <c r="O2735"/>
  <c r="P2734"/>
  <c r="O2734"/>
  <c r="P2733"/>
  <c r="O2733"/>
  <c r="P2732"/>
  <c r="O2732"/>
  <c r="P2731"/>
  <c r="O2731"/>
  <c r="P2730"/>
  <c r="O2730"/>
  <c r="P2729"/>
  <c r="O2729"/>
  <c r="P2728"/>
  <c r="O2728"/>
  <c r="P2727"/>
  <c r="O2727"/>
  <c r="P2726"/>
  <c r="O2726"/>
  <c r="P2725"/>
  <c r="O2725"/>
  <c r="P2724"/>
  <c r="O2724"/>
  <c r="P2723"/>
  <c r="O2723"/>
  <c r="P2722"/>
  <c r="O2722"/>
  <c r="P2721"/>
  <c r="O2721"/>
  <c r="P2720"/>
  <c r="O2720"/>
  <c r="P2719"/>
  <c r="O2719"/>
  <c r="P2718"/>
  <c r="O2718"/>
  <c r="P2717"/>
  <c r="O2717"/>
  <c r="P2716"/>
  <c r="O2716"/>
  <c r="P2715"/>
  <c r="O2715"/>
  <c r="P2714"/>
  <c r="O2714"/>
  <c r="P2713"/>
  <c r="O2713"/>
  <c r="P2712"/>
  <c r="O2712"/>
  <c r="P2711"/>
  <c r="O2711"/>
  <c r="P2710"/>
  <c r="O2710"/>
  <c r="P2709"/>
  <c r="O2709"/>
  <c r="P2708"/>
  <c r="O2708"/>
  <c r="P2707"/>
  <c r="O2707"/>
  <c r="P2706"/>
  <c r="O2706"/>
  <c r="P2705"/>
  <c r="O2705"/>
  <c r="P2704"/>
  <c r="O2704"/>
  <c r="P2703"/>
  <c r="O2703"/>
  <c r="P2702"/>
  <c r="O2702"/>
  <c r="P2701"/>
  <c r="O2701"/>
  <c r="P2700"/>
  <c r="O2700"/>
  <c r="P2699"/>
  <c r="O2699"/>
  <c r="P2698"/>
  <c r="O2698"/>
  <c r="P2697"/>
  <c r="O2697"/>
  <c r="P2696"/>
  <c r="O2696"/>
  <c r="P2695"/>
  <c r="O2695"/>
  <c r="P2694"/>
  <c r="O2694"/>
  <c r="P2693"/>
  <c r="O2693"/>
  <c r="P2692"/>
  <c r="O2692"/>
  <c r="P2691"/>
  <c r="O2691"/>
  <c r="P2690"/>
  <c r="O2690"/>
  <c r="P2689"/>
  <c r="O2689"/>
  <c r="P2688"/>
  <c r="O2688"/>
  <c r="P2687"/>
  <c r="O2687"/>
  <c r="P2686"/>
  <c r="O2686"/>
  <c r="P2685"/>
  <c r="O2685"/>
  <c r="P2684"/>
  <c r="O2684"/>
  <c r="P2683"/>
  <c r="O2683"/>
  <c r="P2682"/>
  <c r="O2682"/>
  <c r="P2681"/>
  <c r="O2681"/>
  <c r="P2680"/>
  <c r="O2680"/>
  <c r="P2679"/>
  <c r="O2679"/>
  <c r="P2678"/>
  <c r="O2678"/>
  <c r="P2677"/>
  <c r="O2677"/>
  <c r="P2676"/>
  <c r="O2676"/>
  <c r="P2675"/>
  <c r="O2675"/>
  <c r="P2674"/>
  <c r="O2674"/>
  <c r="P2673"/>
  <c r="O2673"/>
  <c r="P2672"/>
  <c r="O2672"/>
  <c r="P2671"/>
  <c r="O2671"/>
  <c r="P2670"/>
  <c r="O2670"/>
  <c r="P2669"/>
  <c r="O2669"/>
  <c r="P2668"/>
  <c r="O2668"/>
  <c r="P2667"/>
  <c r="O2667"/>
  <c r="P2666"/>
  <c r="O2666"/>
  <c r="P2665"/>
  <c r="O2665"/>
  <c r="P2664"/>
  <c r="O2664"/>
  <c r="P2663"/>
  <c r="O2663"/>
  <c r="P2662"/>
  <c r="O2662"/>
  <c r="P2661"/>
  <c r="O2661"/>
  <c r="P2660"/>
  <c r="O2660"/>
  <c r="P2659"/>
  <c r="O2659"/>
  <c r="P2658"/>
  <c r="O2658"/>
  <c r="P2657"/>
  <c r="O2657"/>
  <c r="P2656"/>
  <c r="O2656"/>
  <c r="P2655"/>
  <c r="O2655"/>
  <c r="P2654"/>
  <c r="O2654"/>
  <c r="P2653"/>
  <c r="O2653"/>
  <c r="P2652"/>
  <c r="O2652"/>
  <c r="P2651"/>
  <c r="O2651"/>
  <c r="P2650"/>
  <c r="O2650"/>
  <c r="P2649"/>
  <c r="O2649"/>
  <c r="P2648"/>
  <c r="O2648"/>
  <c r="P2647"/>
  <c r="O2647"/>
  <c r="P2646"/>
  <c r="O2646"/>
  <c r="P2645"/>
  <c r="O2645"/>
  <c r="P2644"/>
  <c r="O2644"/>
  <c r="P2643"/>
  <c r="O2643"/>
  <c r="P2642"/>
  <c r="O2642"/>
  <c r="P2641"/>
  <c r="O2641"/>
  <c r="P2640"/>
  <c r="O2640"/>
  <c r="P2639"/>
  <c r="O2639"/>
  <c r="P2638"/>
  <c r="O2638"/>
  <c r="P2637"/>
  <c r="O2637"/>
  <c r="P2636"/>
  <c r="O2636"/>
  <c r="P2635"/>
  <c r="O2635"/>
  <c r="P2634"/>
  <c r="O2634"/>
  <c r="P2633"/>
  <c r="O2633"/>
  <c r="P2632"/>
  <c r="O2632"/>
  <c r="P2631"/>
  <c r="O2631"/>
  <c r="P2630"/>
  <c r="O2630"/>
  <c r="P2629"/>
  <c r="O2629"/>
  <c r="P2628"/>
  <c r="O2628"/>
  <c r="P2627"/>
  <c r="O2627"/>
  <c r="P2626"/>
  <c r="O2626"/>
  <c r="P2625"/>
  <c r="O2625"/>
  <c r="P2624"/>
  <c r="O2624"/>
  <c r="P2623"/>
  <c r="O2623"/>
  <c r="P2622"/>
  <c r="O2622"/>
  <c r="P2621"/>
  <c r="O2621"/>
  <c r="P2620"/>
  <c r="O2620"/>
  <c r="P2619"/>
  <c r="O2619"/>
  <c r="P2618"/>
  <c r="O2618"/>
  <c r="P2617"/>
  <c r="O2617"/>
  <c r="P2616"/>
  <c r="O2616"/>
  <c r="P2615"/>
  <c r="O2615"/>
  <c r="P2614"/>
  <c r="O2614"/>
  <c r="P2613"/>
  <c r="O2613"/>
  <c r="P2612"/>
  <c r="O2612"/>
  <c r="P2611"/>
  <c r="O2611"/>
  <c r="P2610"/>
  <c r="O2610"/>
  <c r="P2609"/>
  <c r="O2609"/>
  <c r="P2608"/>
  <c r="O2608"/>
  <c r="P2607"/>
  <c r="O2607"/>
  <c r="P2606"/>
  <c r="O2606"/>
  <c r="P2605"/>
  <c r="O2605"/>
  <c r="P2604"/>
  <c r="O2604"/>
  <c r="P2603"/>
  <c r="O2603"/>
  <c r="P2602"/>
  <c r="O2602"/>
  <c r="P2601"/>
  <c r="O2601"/>
  <c r="P2600"/>
  <c r="O2600"/>
  <c r="P2599"/>
  <c r="O2599"/>
  <c r="P2598"/>
  <c r="O2598"/>
  <c r="P2597"/>
  <c r="O2597"/>
  <c r="P2596"/>
  <c r="O2596"/>
  <c r="P2595"/>
  <c r="O2595"/>
  <c r="P2594"/>
  <c r="O2594"/>
  <c r="P2593"/>
  <c r="O2593"/>
  <c r="P2592"/>
  <c r="O2592"/>
  <c r="P2591"/>
  <c r="O2591"/>
  <c r="P2590"/>
  <c r="O2590"/>
  <c r="P2589"/>
  <c r="O2589"/>
  <c r="P2588"/>
  <c r="O2588"/>
  <c r="P2587"/>
  <c r="O2587"/>
  <c r="P2586"/>
  <c r="O2586"/>
  <c r="P2585"/>
  <c r="O2585"/>
  <c r="P2584"/>
  <c r="O2584"/>
  <c r="P2583"/>
  <c r="O2583"/>
  <c r="P2582"/>
  <c r="O2582"/>
  <c r="P2581"/>
  <c r="O2581"/>
  <c r="P2580"/>
  <c r="O2580"/>
  <c r="P2579"/>
  <c r="O2579"/>
  <c r="P2578"/>
  <c r="O2578"/>
  <c r="P2577"/>
  <c r="O2577"/>
  <c r="P2576"/>
  <c r="O2576"/>
  <c r="P2575"/>
  <c r="O2575"/>
  <c r="P2574"/>
  <c r="O2574"/>
  <c r="P2573"/>
  <c r="O2573"/>
  <c r="P2572"/>
  <c r="O2572"/>
  <c r="P2571"/>
  <c r="O2571"/>
  <c r="P2570"/>
  <c r="O2570"/>
  <c r="P2569"/>
  <c r="O2569"/>
  <c r="P2568"/>
  <c r="O2568"/>
  <c r="P2567"/>
  <c r="O2567"/>
  <c r="P2566"/>
  <c r="O2566"/>
  <c r="P2565"/>
  <c r="O2565"/>
  <c r="P2564"/>
  <c r="O2564"/>
  <c r="P2563"/>
  <c r="O2563"/>
  <c r="P2562"/>
  <c r="O2562"/>
  <c r="P2561"/>
  <c r="O2561"/>
  <c r="P2560"/>
  <c r="O2560"/>
  <c r="P2559"/>
  <c r="O2559"/>
  <c r="P2558"/>
  <c r="O2558"/>
  <c r="P2557"/>
  <c r="O2557"/>
  <c r="P2556"/>
  <c r="O2556"/>
  <c r="P2555"/>
  <c r="O2555"/>
  <c r="P2554"/>
  <c r="O2554"/>
  <c r="P2553"/>
  <c r="O2553"/>
  <c r="P2552"/>
  <c r="O2552"/>
  <c r="P2551"/>
  <c r="O2551"/>
  <c r="P2550"/>
  <c r="O2550"/>
  <c r="P2549"/>
  <c r="O2549"/>
  <c r="P2548"/>
  <c r="O2548"/>
  <c r="P2547"/>
  <c r="O2547"/>
  <c r="P2546"/>
  <c r="O2546"/>
  <c r="P2545"/>
  <c r="O2545"/>
  <c r="P2544"/>
  <c r="O2544"/>
  <c r="P2543"/>
  <c r="O2543"/>
  <c r="P2542"/>
  <c r="O2542"/>
  <c r="P2541"/>
  <c r="O2541"/>
  <c r="P2540"/>
  <c r="O2540"/>
  <c r="P2539"/>
  <c r="O2539"/>
  <c r="P2538"/>
  <c r="O2538"/>
  <c r="P2537"/>
  <c r="O2537"/>
  <c r="P2536"/>
  <c r="O2536"/>
  <c r="P2535"/>
  <c r="O2535"/>
  <c r="P2534"/>
  <c r="O2534"/>
  <c r="P2533"/>
  <c r="O2533"/>
  <c r="P2532"/>
  <c r="O2532"/>
  <c r="P2531"/>
  <c r="O2531"/>
  <c r="P2530"/>
  <c r="O2530"/>
  <c r="P2529"/>
  <c r="O2529"/>
  <c r="P2528"/>
  <c r="O2528"/>
  <c r="P2527"/>
  <c r="O2527"/>
  <c r="P2526"/>
  <c r="O2526"/>
  <c r="P2525"/>
  <c r="O2525"/>
  <c r="P2524"/>
  <c r="O2524"/>
  <c r="P2523"/>
  <c r="O2523"/>
  <c r="P2522"/>
  <c r="O2522"/>
  <c r="P2521"/>
  <c r="O2521"/>
  <c r="P2520"/>
  <c r="O2520"/>
  <c r="P2519"/>
  <c r="O2519"/>
  <c r="P2518"/>
  <c r="O2518"/>
  <c r="P2517"/>
  <c r="O2517"/>
  <c r="P2516"/>
  <c r="O2516"/>
  <c r="P2515"/>
  <c r="O2515"/>
  <c r="P2514"/>
  <c r="O2514"/>
  <c r="P2513"/>
  <c r="O2513"/>
  <c r="P2512"/>
  <c r="O2512"/>
  <c r="P2511"/>
  <c r="O2511"/>
  <c r="P2510"/>
  <c r="O2510"/>
  <c r="P2509"/>
  <c r="O2509"/>
  <c r="P2508"/>
  <c r="O2508"/>
  <c r="P2507"/>
  <c r="O2507"/>
  <c r="P2506"/>
  <c r="O2506"/>
  <c r="P2505"/>
  <c r="O2505"/>
  <c r="P2504"/>
  <c r="O2504"/>
  <c r="P2503"/>
  <c r="O2503"/>
  <c r="P2502"/>
  <c r="O2502"/>
  <c r="P2501"/>
  <c r="O2501"/>
  <c r="P2500"/>
  <c r="O2500"/>
  <c r="P2499"/>
  <c r="O2499"/>
  <c r="P2498"/>
  <c r="O2498"/>
  <c r="P2497"/>
  <c r="O2497"/>
  <c r="P2496"/>
  <c r="O2496"/>
  <c r="P2495"/>
  <c r="O2495"/>
  <c r="P2494"/>
  <c r="O2494"/>
  <c r="P2493"/>
  <c r="O2493"/>
  <c r="P2492"/>
  <c r="O2492"/>
  <c r="P2491"/>
  <c r="O2491"/>
  <c r="P2490"/>
  <c r="O2490"/>
  <c r="P2489"/>
  <c r="O2489"/>
  <c r="P2488"/>
  <c r="O2488"/>
  <c r="P2487"/>
  <c r="O2487"/>
  <c r="P2486"/>
  <c r="O2486"/>
  <c r="P2485"/>
  <c r="O2485"/>
  <c r="P2484"/>
  <c r="O2484"/>
  <c r="P2483"/>
  <c r="O2483"/>
  <c r="P2482"/>
  <c r="O2482"/>
  <c r="P2481"/>
  <c r="O2481"/>
  <c r="P2480"/>
  <c r="O2480"/>
  <c r="P2479"/>
  <c r="O2479"/>
  <c r="P2478"/>
  <c r="O2478"/>
  <c r="P2477"/>
  <c r="O2477"/>
  <c r="P2476"/>
  <c r="O2476"/>
  <c r="P2475"/>
  <c r="O2475"/>
  <c r="P2474"/>
  <c r="O2474"/>
  <c r="P2473"/>
  <c r="O2473"/>
  <c r="P2472"/>
  <c r="O2472"/>
  <c r="P2471"/>
  <c r="O2471"/>
  <c r="P2470"/>
  <c r="O2470"/>
  <c r="P2469"/>
  <c r="O2469"/>
  <c r="P2468"/>
  <c r="O2468"/>
  <c r="P2467"/>
  <c r="O2467"/>
  <c r="P2466"/>
  <c r="O2466"/>
  <c r="P2465"/>
  <c r="O2465"/>
  <c r="P2464"/>
  <c r="O2464"/>
  <c r="P2463"/>
  <c r="O2463"/>
  <c r="P2462"/>
  <c r="O2462"/>
  <c r="P2461"/>
  <c r="O2461"/>
  <c r="P2460"/>
  <c r="O2460"/>
  <c r="P2459"/>
  <c r="O2459"/>
  <c r="P2458"/>
  <c r="O2458"/>
  <c r="P2457"/>
  <c r="O2457"/>
  <c r="P2456"/>
  <c r="O2456"/>
  <c r="P2455"/>
  <c r="O2455"/>
  <c r="P2454"/>
  <c r="O2454"/>
  <c r="P2453"/>
  <c r="O2453"/>
  <c r="P2452"/>
  <c r="O2452"/>
  <c r="P2451"/>
  <c r="O2451"/>
  <c r="P2450"/>
  <c r="O2450"/>
  <c r="P2449"/>
  <c r="O2449"/>
  <c r="P2448"/>
  <c r="O2448"/>
  <c r="P2447"/>
  <c r="O2447"/>
  <c r="P2446"/>
  <c r="O2446"/>
  <c r="P2445"/>
  <c r="O2445"/>
  <c r="P2444"/>
  <c r="O2444"/>
  <c r="P2443"/>
  <c r="O2443"/>
  <c r="P2442"/>
  <c r="O2442"/>
  <c r="P2441"/>
  <c r="O2441"/>
  <c r="P2440"/>
  <c r="O2440"/>
  <c r="P2439"/>
  <c r="O2439"/>
  <c r="P2438"/>
  <c r="O2438"/>
  <c r="P2437"/>
  <c r="O2437"/>
  <c r="P2436"/>
  <c r="O2436"/>
  <c r="P2435"/>
  <c r="O2435"/>
  <c r="P2434"/>
  <c r="O2434"/>
  <c r="P2433"/>
  <c r="O2433"/>
  <c r="P2432"/>
  <c r="O2432"/>
  <c r="P2431"/>
  <c r="O2431"/>
  <c r="P2430"/>
  <c r="O2430"/>
  <c r="P2429"/>
  <c r="O2429"/>
  <c r="P2428"/>
  <c r="O2428"/>
  <c r="P2427"/>
  <c r="O2427"/>
  <c r="P2426"/>
  <c r="O2426"/>
  <c r="P2425"/>
  <c r="O2425"/>
  <c r="P2424"/>
  <c r="O2424"/>
  <c r="P2423"/>
  <c r="O2423"/>
  <c r="P2422"/>
  <c r="O2422"/>
  <c r="P2421"/>
  <c r="O2421"/>
  <c r="P2420"/>
  <c r="O2420"/>
  <c r="P2419"/>
  <c r="O2419"/>
  <c r="P2418"/>
  <c r="O2418"/>
  <c r="P2417"/>
  <c r="O2417"/>
  <c r="P2416"/>
  <c r="O2416"/>
  <c r="P2415"/>
  <c r="O2415"/>
  <c r="P2414"/>
  <c r="O2414"/>
  <c r="P2413"/>
  <c r="O2413"/>
  <c r="P2412"/>
  <c r="O2412"/>
  <c r="P2411"/>
  <c r="O2411"/>
  <c r="P2410"/>
  <c r="O2410"/>
  <c r="P2409"/>
  <c r="O2409"/>
  <c r="P2408"/>
  <c r="O2408"/>
  <c r="P2407"/>
  <c r="O2407"/>
  <c r="P2406"/>
  <c r="O2406"/>
  <c r="P2405"/>
  <c r="O2405"/>
  <c r="P2404"/>
  <c r="O2404"/>
  <c r="P2403"/>
  <c r="O2403"/>
  <c r="P2402"/>
  <c r="O2402"/>
  <c r="P2401"/>
  <c r="O2401"/>
  <c r="P2400"/>
  <c r="O2400"/>
  <c r="P2399"/>
  <c r="O2399"/>
  <c r="P2398"/>
  <c r="O2398"/>
  <c r="P2397"/>
  <c r="O2397"/>
  <c r="P2396"/>
  <c r="O2396"/>
  <c r="P2395"/>
  <c r="O2395"/>
  <c r="P2394"/>
  <c r="O2394"/>
  <c r="P2393"/>
  <c r="O2393"/>
  <c r="P2392"/>
  <c r="O2392"/>
  <c r="P2391"/>
  <c r="O2391"/>
  <c r="P2390"/>
  <c r="O2390"/>
  <c r="P2389"/>
  <c r="O2389"/>
  <c r="P2388"/>
  <c r="O2388"/>
  <c r="P2387"/>
  <c r="O2387"/>
  <c r="P2386"/>
  <c r="O2386"/>
  <c r="P2385"/>
  <c r="O2385"/>
  <c r="P2384"/>
  <c r="O2384"/>
  <c r="P2383"/>
  <c r="O2383"/>
  <c r="P2382"/>
  <c r="O2382"/>
  <c r="P2381"/>
  <c r="O2381"/>
  <c r="P2380"/>
  <c r="O2380"/>
  <c r="P2379"/>
  <c r="O2379"/>
  <c r="P2378"/>
  <c r="O2378"/>
  <c r="P2377"/>
  <c r="O2377"/>
  <c r="P2376"/>
  <c r="O2376"/>
  <c r="P2375"/>
  <c r="O2375"/>
  <c r="P2374"/>
  <c r="O2374"/>
  <c r="P2373"/>
  <c r="O2373"/>
  <c r="P2372"/>
  <c r="O2372"/>
  <c r="P2371"/>
  <c r="O2371"/>
  <c r="P2370"/>
  <c r="O2370"/>
  <c r="P2369"/>
  <c r="O2369"/>
  <c r="P2368"/>
  <c r="O2368"/>
  <c r="P2367"/>
  <c r="O2367"/>
  <c r="P2366"/>
  <c r="O2366"/>
  <c r="P2365"/>
  <c r="O2365"/>
  <c r="P2364"/>
  <c r="O2364"/>
  <c r="P2363"/>
  <c r="O2363"/>
  <c r="P2362"/>
  <c r="O2362"/>
  <c r="P2361"/>
  <c r="O2361"/>
  <c r="P2360"/>
  <c r="O2360"/>
  <c r="P2359"/>
  <c r="O2359"/>
  <c r="P2358"/>
  <c r="O2358"/>
  <c r="P2357"/>
  <c r="O2357"/>
  <c r="P2356"/>
  <c r="O2356"/>
  <c r="P2355"/>
  <c r="O2355"/>
  <c r="P2354"/>
  <c r="O2354"/>
  <c r="P2353"/>
  <c r="O2353"/>
  <c r="P2352"/>
  <c r="O2352"/>
  <c r="P2351"/>
  <c r="O2351"/>
  <c r="P2350"/>
  <c r="O2350"/>
  <c r="P2349"/>
  <c r="O2349"/>
  <c r="P2348"/>
  <c r="O2348"/>
  <c r="P2347"/>
  <c r="O2347"/>
  <c r="P2346"/>
  <c r="O2346"/>
  <c r="P2345"/>
  <c r="O2345"/>
  <c r="P2344"/>
  <c r="O2344"/>
  <c r="P2343"/>
  <c r="O2343"/>
  <c r="P2342"/>
  <c r="O2342"/>
  <c r="P2341"/>
  <c r="O2341"/>
  <c r="P2340"/>
  <c r="O2340"/>
  <c r="P2339"/>
  <c r="O2339"/>
  <c r="P2338"/>
  <c r="O2338"/>
  <c r="P2337"/>
  <c r="O2337"/>
  <c r="P2336"/>
  <c r="O2336"/>
  <c r="P2335"/>
  <c r="O2335"/>
  <c r="P2334"/>
  <c r="O2334"/>
  <c r="P2333"/>
  <c r="O2333"/>
  <c r="P2332"/>
  <c r="O2332"/>
  <c r="P2331"/>
  <c r="O2331"/>
  <c r="P2330"/>
  <c r="O2330"/>
  <c r="P2329"/>
  <c r="O2329"/>
  <c r="P2328"/>
  <c r="O2328"/>
  <c r="P2327"/>
  <c r="O2327"/>
  <c r="P2326"/>
  <c r="O2326"/>
  <c r="P2325"/>
  <c r="O2325"/>
  <c r="P2324"/>
  <c r="O2324"/>
  <c r="P2323"/>
  <c r="O2323"/>
  <c r="P2322"/>
  <c r="O2322"/>
  <c r="P2321"/>
  <c r="O2321"/>
  <c r="P2320"/>
  <c r="O2320"/>
  <c r="P2319"/>
  <c r="O2319"/>
  <c r="P2318"/>
  <c r="O2318"/>
  <c r="P2317"/>
  <c r="O2317"/>
  <c r="P2316"/>
  <c r="O2316"/>
  <c r="P2315"/>
  <c r="O2315"/>
  <c r="P2314"/>
  <c r="O2314"/>
  <c r="P2313"/>
  <c r="O2313"/>
  <c r="P2312"/>
  <c r="O2312"/>
  <c r="P2311"/>
  <c r="O2311"/>
  <c r="P2310"/>
  <c r="O2310"/>
  <c r="P2309"/>
  <c r="O2309"/>
  <c r="P2308"/>
  <c r="O2308"/>
  <c r="P2307"/>
  <c r="O2307"/>
  <c r="P2306"/>
  <c r="O2306"/>
  <c r="P2305"/>
  <c r="O2305"/>
  <c r="P2304"/>
  <c r="O2304"/>
  <c r="P2303"/>
  <c r="O2303"/>
  <c r="P2302"/>
  <c r="O2302"/>
  <c r="P2301"/>
  <c r="O2301"/>
  <c r="P2300"/>
  <c r="O2300"/>
  <c r="P2299"/>
  <c r="O2299"/>
  <c r="P2298"/>
  <c r="O2298"/>
  <c r="P2297"/>
  <c r="O2297"/>
  <c r="P2296"/>
  <c r="O2296"/>
  <c r="P2295"/>
  <c r="O2295"/>
  <c r="P2294"/>
  <c r="O2294"/>
  <c r="P2293"/>
  <c r="O2293"/>
  <c r="P2292"/>
  <c r="O2292"/>
  <c r="P2291"/>
  <c r="O2291"/>
  <c r="P2290"/>
  <c r="O2290"/>
  <c r="P2289"/>
  <c r="O2289"/>
  <c r="P2288"/>
  <c r="O2288"/>
  <c r="P2287"/>
  <c r="O2287"/>
  <c r="P2286"/>
  <c r="O2286"/>
  <c r="P2285"/>
  <c r="O2285"/>
  <c r="P2284"/>
  <c r="O2284"/>
  <c r="P2283"/>
  <c r="O2283"/>
  <c r="P2282"/>
  <c r="O2282"/>
  <c r="P2281"/>
  <c r="O2281"/>
  <c r="P2280"/>
  <c r="O2280"/>
  <c r="P2279"/>
  <c r="O2279"/>
  <c r="P2278"/>
  <c r="O2278"/>
  <c r="P2277"/>
  <c r="O2277"/>
  <c r="P2276"/>
  <c r="O2276"/>
  <c r="P2275"/>
  <c r="O2275"/>
  <c r="P2274"/>
  <c r="O2274"/>
  <c r="P2273"/>
  <c r="O2273"/>
  <c r="P2272"/>
  <c r="O2272"/>
  <c r="P2271"/>
  <c r="O2271"/>
  <c r="P2270"/>
  <c r="O2270"/>
  <c r="P2269"/>
  <c r="O2269"/>
  <c r="P2268"/>
  <c r="O2268"/>
  <c r="P2267"/>
  <c r="O2267"/>
  <c r="P2266"/>
  <c r="O2266"/>
  <c r="P2265"/>
  <c r="O2265"/>
  <c r="P2264"/>
  <c r="O2264"/>
  <c r="P2263"/>
  <c r="O2263"/>
  <c r="P2262"/>
  <c r="O2262"/>
  <c r="P2261"/>
  <c r="O2261"/>
  <c r="P2260"/>
  <c r="O2260"/>
  <c r="P2259"/>
  <c r="O2259"/>
  <c r="P2258"/>
  <c r="O2258"/>
  <c r="P2257"/>
  <c r="O2257"/>
  <c r="P2256"/>
  <c r="O2256"/>
  <c r="P2255"/>
  <c r="O2255"/>
  <c r="P2254"/>
  <c r="O2254"/>
  <c r="P2253"/>
  <c r="O2253"/>
  <c r="P2252"/>
  <c r="O2252"/>
  <c r="P2251"/>
  <c r="O2251"/>
  <c r="P2250"/>
  <c r="O2250"/>
  <c r="P2249"/>
  <c r="O2249"/>
  <c r="P2248"/>
  <c r="O2248"/>
  <c r="P2247"/>
  <c r="O2247"/>
  <c r="P2246"/>
  <c r="O2246"/>
  <c r="P2245"/>
  <c r="O2245"/>
  <c r="P2244"/>
  <c r="O2244"/>
  <c r="P2243"/>
  <c r="O2243"/>
  <c r="P2242"/>
  <c r="O2242"/>
  <c r="P2241"/>
  <c r="O2241"/>
  <c r="P2240"/>
  <c r="O2240"/>
  <c r="P2239"/>
  <c r="O2239"/>
  <c r="P2238"/>
  <c r="O2238"/>
  <c r="P2237"/>
  <c r="O2237"/>
  <c r="P2236"/>
  <c r="O2236"/>
  <c r="P2235"/>
  <c r="O2235"/>
  <c r="P2234"/>
  <c r="O2234"/>
  <c r="P2233"/>
  <c r="O2233"/>
  <c r="P2232"/>
  <c r="O2232"/>
  <c r="P2231"/>
  <c r="O2231"/>
  <c r="P2230"/>
  <c r="O2230"/>
  <c r="P2229"/>
  <c r="O2229"/>
  <c r="P2228"/>
  <c r="O2228"/>
  <c r="P2227"/>
  <c r="O2227"/>
  <c r="P2226"/>
  <c r="O2226"/>
  <c r="P2225"/>
  <c r="O2225"/>
  <c r="P2224"/>
  <c r="O2224"/>
  <c r="P2223"/>
  <c r="O2223"/>
  <c r="P2222"/>
  <c r="O2222"/>
  <c r="P2221"/>
  <c r="O2221"/>
  <c r="P2220"/>
  <c r="O2220"/>
  <c r="P2219"/>
  <c r="O2219"/>
  <c r="P2218"/>
  <c r="O2218"/>
  <c r="P2217"/>
  <c r="O2217"/>
  <c r="P2216"/>
  <c r="O2216"/>
  <c r="P2215"/>
  <c r="O2215"/>
  <c r="P2214"/>
  <c r="O2214"/>
  <c r="P2213"/>
  <c r="O2213"/>
  <c r="P2212"/>
  <c r="O2212"/>
  <c r="P2211"/>
  <c r="O2211"/>
  <c r="P2210"/>
  <c r="O2210"/>
  <c r="P2209"/>
  <c r="O2209"/>
  <c r="P2208"/>
  <c r="O2208"/>
  <c r="P2207"/>
  <c r="O2207"/>
  <c r="P2206"/>
  <c r="O2206"/>
  <c r="P2205"/>
  <c r="O2205"/>
  <c r="P2204"/>
  <c r="O2204"/>
  <c r="P2203"/>
  <c r="O2203"/>
  <c r="P2202"/>
  <c r="O2202"/>
  <c r="P2201"/>
  <c r="O2201"/>
  <c r="P2200"/>
  <c r="O2200"/>
  <c r="P2199"/>
  <c r="O2199"/>
  <c r="P2198"/>
  <c r="O2198"/>
  <c r="P2197"/>
  <c r="O2197"/>
  <c r="P2196"/>
  <c r="O2196"/>
  <c r="P2195"/>
  <c r="O2195"/>
  <c r="P2194"/>
  <c r="O2194"/>
  <c r="P2193"/>
  <c r="O2193"/>
  <c r="P2192"/>
  <c r="O2192"/>
  <c r="P2191"/>
  <c r="O2191"/>
  <c r="P2190"/>
  <c r="O2190"/>
  <c r="P2189"/>
  <c r="O2189"/>
  <c r="P2188"/>
  <c r="O2188"/>
  <c r="P2187"/>
  <c r="O2187"/>
  <c r="P2186"/>
  <c r="O2186"/>
  <c r="P2185"/>
  <c r="O2185"/>
  <c r="P2184"/>
  <c r="O2184"/>
  <c r="P2183"/>
  <c r="O2183"/>
  <c r="P2182"/>
  <c r="O2182"/>
  <c r="P2181"/>
  <c r="O2181"/>
  <c r="P2180"/>
  <c r="O2180"/>
  <c r="P2179"/>
  <c r="O2179"/>
  <c r="P2178"/>
  <c r="O2178"/>
  <c r="P2177"/>
  <c r="O2177"/>
  <c r="P2176"/>
  <c r="O2176"/>
  <c r="P2175"/>
  <c r="O2175"/>
  <c r="P2174"/>
  <c r="O2174"/>
  <c r="P2173"/>
  <c r="O2173"/>
  <c r="P2172"/>
  <c r="O2172"/>
  <c r="P2171"/>
  <c r="O2171"/>
  <c r="P2170"/>
  <c r="O2170"/>
  <c r="P2169"/>
  <c r="O2169"/>
  <c r="P2168"/>
  <c r="O2168"/>
  <c r="P2167"/>
  <c r="O2167"/>
  <c r="P2166"/>
  <c r="O2166"/>
  <c r="P2165"/>
  <c r="O2165"/>
  <c r="P2164"/>
  <c r="O2164"/>
  <c r="P2163"/>
  <c r="O2163"/>
  <c r="P2162"/>
  <c r="O2162"/>
  <c r="P2161"/>
  <c r="O2161"/>
  <c r="P2160"/>
  <c r="O2160"/>
  <c r="P2159"/>
  <c r="O2159"/>
  <c r="P2158"/>
  <c r="O2158"/>
  <c r="P2157"/>
  <c r="O2157"/>
  <c r="P2156"/>
  <c r="O2156"/>
  <c r="P2155"/>
  <c r="O2155"/>
  <c r="P2154"/>
  <c r="O2154"/>
  <c r="P2153"/>
  <c r="O2153"/>
  <c r="P2152"/>
  <c r="O2152"/>
  <c r="P2151"/>
  <c r="O2151"/>
  <c r="P2150"/>
  <c r="O2150"/>
  <c r="P2149"/>
  <c r="O2149"/>
  <c r="P2148"/>
  <c r="O2148"/>
  <c r="P2147"/>
  <c r="O2147"/>
  <c r="P2146"/>
  <c r="O2146"/>
  <c r="P2145"/>
  <c r="O2145"/>
  <c r="P2144"/>
  <c r="O2144"/>
  <c r="P2143"/>
  <c r="O2143"/>
  <c r="P2142"/>
  <c r="O2142"/>
  <c r="P2141"/>
  <c r="O2141"/>
  <c r="P2140"/>
  <c r="O2140"/>
  <c r="P2139"/>
  <c r="O2139"/>
  <c r="P2138"/>
  <c r="O2138"/>
  <c r="P2137"/>
  <c r="O2137"/>
  <c r="P2136"/>
  <c r="O2136"/>
  <c r="P2135"/>
  <c r="O2135"/>
  <c r="P2134"/>
  <c r="O2134"/>
  <c r="P2133"/>
  <c r="O2133"/>
  <c r="P2132"/>
  <c r="O2132"/>
  <c r="P2131"/>
  <c r="O2131"/>
  <c r="P2130"/>
  <c r="O2130"/>
  <c r="P2129"/>
  <c r="O2129"/>
  <c r="P2128"/>
  <c r="O2128"/>
  <c r="P2127"/>
  <c r="O2127"/>
  <c r="P2126"/>
  <c r="O2126"/>
  <c r="P2125"/>
  <c r="O2125"/>
  <c r="P2124"/>
  <c r="O2124"/>
  <c r="P2123"/>
  <c r="O2123"/>
  <c r="P2122"/>
  <c r="O2122"/>
  <c r="P2121"/>
  <c r="O2121"/>
  <c r="P2120"/>
  <c r="O2120"/>
  <c r="P2119"/>
  <c r="O2119"/>
  <c r="P2118"/>
  <c r="O2118"/>
  <c r="P2117"/>
  <c r="O2117"/>
  <c r="P2116"/>
  <c r="O2116"/>
  <c r="P2115"/>
  <c r="O2115"/>
  <c r="P2114"/>
  <c r="O2114"/>
  <c r="P2113"/>
  <c r="O2113"/>
  <c r="P2112"/>
  <c r="O2112"/>
  <c r="P2111"/>
  <c r="O2111"/>
  <c r="P2110"/>
  <c r="O2110"/>
  <c r="P2109"/>
  <c r="O2109"/>
  <c r="P2108"/>
  <c r="O2108"/>
  <c r="P2107"/>
  <c r="O2107"/>
  <c r="P2106"/>
  <c r="O2106"/>
  <c r="P2105"/>
  <c r="O2105"/>
  <c r="P2104"/>
  <c r="O2104"/>
  <c r="P2103"/>
  <c r="O2103"/>
  <c r="P2102"/>
  <c r="O2102"/>
  <c r="P2101"/>
  <c r="O2101"/>
  <c r="P2100"/>
  <c r="O2100"/>
  <c r="P2099"/>
  <c r="O2099"/>
  <c r="P2098"/>
  <c r="O2098"/>
  <c r="P2097"/>
  <c r="O2097"/>
  <c r="P2096"/>
  <c r="O2096"/>
  <c r="P2095"/>
  <c r="O2095"/>
  <c r="P2094"/>
  <c r="O2094"/>
  <c r="P2093"/>
  <c r="O2093"/>
  <c r="P2092"/>
  <c r="O2092"/>
  <c r="P2091"/>
  <c r="O2091"/>
  <c r="P2090"/>
  <c r="O2090"/>
  <c r="P2089"/>
  <c r="O2089"/>
  <c r="P2088"/>
  <c r="O2088"/>
  <c r="P2087"/>
  <c r="O2087"/>
  <c r="P2086"/>
  <c r="O2086"/>
  <c r="P2085"/>
  <c r="O2085"/>
  <c r="P2084"/>
  <c r="O2084"/>
  <c r="P2083"/>
  <c r="O2083"/>
  <c r="P2082"/>
  <c r="O2082"/>
  <c r="P2081"/>
  <c r="O2081"/>
  <c r="P2080"/>
  <c r="O2080"/>
  <c r="P2079"/>
  <c r="O2079"/>
  <c r="P2078"/>
  <c r="O2078"/>
  <c r="P2077"/>
  <c r="O2077"/>
  <c r="P2076"/>
  <c r="O2076"/>
  <c r="P2075"/>
  <c r="O2075"/>
  <c r="P2074"/>
  <c r="O2074"/>
  <c r="P2073"/>
  <c r="O2073"/>
  <c r="P2072"/>
  <c r="O2072"/>
  <c r="P2071"/>
  <c r="O2071"/>
  <c r="P2070"/>
  <c r="O2070"/>
  <c r="P2069"/>
  <c r="O2069"/>
  <c r="P2068"/>
  <c r="O2068"/>
  <c r="P2067"/>
  <c r="O2067"/>
  <c r="P2066"/>
  <c r="O2066"/>
  <c r="P2065"/>
  <c r="O2065"/>
  <c r="P2064"/>
  <c r="O2064"/>
  <c r="P2063"/>
  <c r="O2063"/>
  <c r="P2062"/>
  <c r="O2062"/>
  <c r="P2061"/>
  <c r="O2061"/>
  <c r="P2060"/>
  <c r="O2060"/>
  <c r="P2059"/>
  <c r="O2059"/>
  <c r="P2058"/>
  <c r="O2058"/>
  <c r="P2057"/>
  <c r="O2057"/>
  <c r="P2056"/>
  <c r="O2056"/>
  <c r="P2055"/>
  <c r="O2055"/>
  <c r="P2054"/>
  <c r="O2054"/>
  <c r="P2053"/>
  <c r="O2053"/>
  <c r="P2052"/>
  <c r="O2052"/>
  <c r="P2051"/>
  <c r="O2051"/>
  <c r="P2050"/>
  <c r="O2050"/>
  <c r="P2049"/>
  <c r="O2049"/>
  <c r="P2048"/>
  <c r="O2048"/>
  <c r="P2047"/>
  <c r="O2047"/>
  <c r="P2046"/>
  <c r="O2046"/>
  <c r="P2045"/>
  <c r="O2045"/>
  <c r="P2044"/>
  <c r="O2044"/>
  <c r="P2043"/>
  <c r="O2043"/>
  <c r="P2042"/>
  <c r="O2042"/>
  <c r="P2041"/>
  <c r="O2041"/>
  <c r="P2040"/>
  <c r="O2040"/>
  <c r="P2039"/>
  <c r="O2039"/>
  <c r="P2038"/>
  <c r="O2038"/>
  <c r="P2037"/>
  <c r="O2037"/>
  <c r="P2036"/>
  <c r="O2036"/>
  <c r="P2035"/>
  <c r="O2035"/>
  <c r="P2034"/>
  <c r="O2034"/>
  <c r="P2033"/>
  <c r="O2033"/>
  <c r="P2032"/>
  <c r="O2032"/>
  <c r="P2031"/>
  <c r="O2031"/>
  <c r="P2030"/>
  <c r="O2030"/>
  <c r="P2029"/>
  <c r="O2029"/>
  <c r="P2028"/>
  <c r="O2028"/>
  <c r="P2027"/>
  <c r="O2027"/>
  <c r="P2026"/>
  <c r="O2026"/>
  <c r="P2025"/>
  <c r="O2025"/>
  <c r="P2024"/>
  <c r="O2024"/>
  <c r="P2023"/>
  <c r="O2023"/>
  <c r="P2022"/>
  <c r="O2022"/>
  <c r="P2021"/>
  <c r="O2021"/>
  <c r="P2020"/>
  <c r="O2020"/>
  <c r="P2019"/>
  <c r="O2019"/>
  <c r="P2018"/>
  <c r="O2018"/>
  <c r="P2017"/>
  <c r="O2017"/>
  <c r="P2016"/>
  <c r="O2016"/>
  <c r="P2015"/>
  <c r="O2015"/>
  <c r="P2014"/>
  <c r="O2014"/>
  <c r="P2013"/>
  <c r="O2013"/>
  <c r="P2012"/>
  <c r="O2012"/>
  <c r="P2011"/>
  <c r="O2011"/>
  <c r="P2010"/>
  <c r="O2010"/>
  <c r="P2009"/>
  <c r="O2009"/>
  <c r="P2008"/>
  <c r="O2008"/>
  <c r="P2007"/>
  <c r="O2007"/>
  <c r="P2006"/>
  <c r="O2006"/>
  <c r="P2005"/>
  <c r="O2005"/>
  <c r="P2004"/>
  <c r="O2004"/>
  <c r="P2003"/>
  <c r="O2003"/>
  <c r="P2002"/>
  <c r="O2002"/>
  <c r="P2001"/>
  <c r="O2001"/>
  <c r="P2000"/>
  <c r="O2000"/>
  <c r="P1999"/>
  <c r="O1999"/>
  <c r="P1998"/>
  <c r="O1998"/>
  <c r="P1997"/>
  <c r="O1997"/>
  <c r="P1996"/>
  <c r="O1996"/>
  <c r="P1995"/>
  <c r="O1995"/>
  <c r="P1994"/>
  <c r="O1994"/>
  <c r="P1993"/>
  <c r="O1993"/>
  <c r="P1992"/>
  <c r="O1992"/>
  <c r="P1991"/>
  <c r="O1991"/>
  <c r="P1990"/>
  <c r="O1990"/>
  <c r="P1989"/>
  <c r="O1989"/>
  <c r="P1988"/>
  <c r="O1988"/>
  <c r="P1987"/>
  <c r="O1987"/>
  <c r="P1986"/>
  <c r="O1986"/>
  <c r="P1985"/>
  <c r="O1985"/>
  <c r="P1984"/>
  <c r="O1984"/>
  <c r="P1983"/>
  <c r="O1983"/>
  <c r="P1982"/>
  <c r="O1982"/>
  <c r="P1981"/>
  <c r="O1981"/>
  <c r="P1980"/>
  <c r="O1980"/>
  <c r="P1979"/>
  <c r="O1979"/>
  <c r="P1978"/>
  <c r="O1978"/>
  <c r="P1977"/>
  <c r="O1977"/>
  <c r="P1976"/>
  <c r="O1976"/>
  <c r="P1975"/>
  <c r="O1975"/>
  <c r="P1974"/>
  <c r="O1974"/>
  <c r="P1973"/>
  <c r="O1973"/>
  <c r="P1972"/>
  <c r="O1972"/>
  <c r="P1971"/>
  <c r="O1971"/>
  <c r="P1970"/>
  <c r="O1970"/>
  <c r="P1969"/>
  <c r="O1969"/>
  <c r="P1968"/>
  <c r="O1968"/>
  <c r="P1967"/>
  <c r="O1967"/>
  <c r="P1966"/>
  <c r="O1966"/>
  <c r="P1965"/>
  <c r="O1965"/>
  <c r="P1964"/>
  <c r="O1964"/>
  <c r="P1963"/>
  <c r="O1963"/>
  <c r="P1962"/>
  <c r="O1962"/>
  <c r="P1961"/>
  <c r="O1961"/>
  <c r="P1960"/>
  <c r="O1960"/>
  <c r="P1959"/>
  <c r="O1959"/>
  <c r="P1958"/>
  <c r="O1958"/>
  <c r="P1957"/>
  <c r="O1957"/>
  <c r="P1956"/>
  <c r="O1956"/>
  <c r="P1955"/>
  <c r="O1955"/>
  <c r="P1954"/>
  <c r="O1954"/>
  <c r="P1953"/>
  <c r="O1953"/>
  <c r="P1952"/>
  <c r="O1952"/>
  <c r="P1951"/>
  <c r="O1951"/>
  <c r="P1950"/>
  <c r="O1950"/>
  <c r="P1949"/>
  <c r="O1949"/>
  <c r="P1948"/>
  <c r="O1948"/>
  <c r="P1947"/>
  <c r="O1947"/>
  <c r="P1946"/>
  <c r="O1946"/>
  <c r="P1945"/>
  <c r="O1945"/>
  <c r="P1944"/>
  <c r="O1944"/>
  <c r="P1943"/>
  <c r="O1943"/>
  <c r="P1942"/>
  <c r="O1942"/>
  <c r="P1941"/>
  <c r="O1941"/>
  <c r="P1940"/>
  <c r="O1940"/>
  <c r="P1939"/>
  <c r="O1939"/>
  <c r="P1938"/>
  <c r="O1938"/>
  <c r="P1937"/>
  <c r="O1937"/>
  <c r="P1936"/>
  <c r="O1936"/>
  <c r="P1935"/>
  <c r="O1935"/>
  <c r="P1934"/>
  <c r="O1934"/>
  <c r="P1933"/>
  <c r="O1933"/>
  <c r="P1932"/>
  <c r="O1932"/>
  <c r="P1931"/>
  <c r="O1931"/>
  <c r="P1929"/>
  <c r="O1929"/>
  <c r="P1928"/>
  <c r="O1928"/>
  <c r="P1927"/>
  <c r="O1927"/>
  <c r="P1926"/>
  <c r="O1926"/>
  <c r="P1925"/>
  <c r="O1925"/>
  <c r="P1924"/>
  <c r="O1924"/>
  <c r="P1923"/>
  <c r="O1923"/>
  <c r="P1922"/>
  <c r="O1922"/>
  <c r="P1921"/>
  <c r="O1921"/>
  <c r="P1920"/>
  <c r="O1920"/>
  <c r="P1919"/>
  <c r="O1919"/>
  <c r="P1918"/>
  <c r="O1918"/>
  <c r="P1917"/>
  <c r="O1917"/>
  <c r="P1916"/>
  <c r="O1916"/>
  <c r="P1915"/>
  <c r="O1915"/>
  <c r="P1914"/>
  <c r="O1914"/>
  <c r="P1913"/>
  <c r="O1913"/>
  <c r="P1912"/>
  <c r="O1912"/>
  <c r="P1911"/>
  <c r="O1911"/>
  <c r="P1910"/>
  <c r="O1910"/>
  <c r="P1909"/>
  <c r="O1909"/>
  <c r="P1908"/>
  <c r="O1908"/>
  <c r="P1907"/>
  <c r="O1907"/>
  <c r="P1906"/>
  <c r="O1906"/>
  <c r="P1905"/>
  <c r="O1905"/>
  <c r="P1904"/>
  <c r="O1904"/>
  <c r="P1903"/>
  <c r="O1903"/>
  <c r="P1902"/>
  <c r="O1902"/>
  <c r="P1901"/>
  <c r="O1901"/>
  <c r="P1900"/>
  <c r="O1900"/>
  <c r="P1899"/>
  <c r="O1899"/>
  <c r="P1898"/>
  <c r="O1898"/>
  <c r="P1897"/>
  <c r="O1897"/>
  <c r="P1896"/>
  <c r="O1896"/>
  <c r="P1895"/>
  <c r="O1895"/>
  <c r="P1894"/>
  <c r="O1894"/>
  <c r="P1893"/>
  <c r="O1893"/>
  <c r="P1892"/>
  <c r="O1892"/>
  <c r="P1891"/>
  <c r="O1891"/>
  <c r="P1890"/>
  <c r="O1890"/>
  <c r="P1889"/>
  <c r="O1889"/>
  <c r="P1888"/>
  <c r="O1888"/>
  <c r="P1887"/>
  <c r="O1887"/>
  <c r="P1886"/>
  <c r="O1886"/>
  <c r="P1885"/>
  <c r="O1885"/>
  <c r="P1884"/>
  <c r="O1884"/>
  <c r="P1883"/>
  <c r="O1883"/>
  <c r="P1882"/>
  <c r="O1882"/>
  <c r="P1881"/>
  <c r="O1881"/>
  <c r="P1880"/>
  <c r="O1880"/>
  <c r="P1879"/>
  <c r="O1879"/>
  <c r="P1878"/>
  <c r="O1878"/>
  <c r="P1877"/>
  <c r="O1877"/>
  <c r="P1876"/>
  <c r="O1876"/>
  <c r="P1875"/>
  <c r="O1875"/>
  <c r="P1874"/>
  <c r="O1874"/>
  <c r="P1873"/>
  <c r="O1873"/>
  <c r="P1872"/>
  <c r="O1872"/>
  <c r="P1871"/>
  <c r="O1871"/>
  <c r="P1870"/>
  <c r="O1870"/>
  <c r="P1869"/>
  <c r="O1869"/>
  <c r="P1868"/>
  <c r="O1868"/>
  <c r="P1867"/>
  <c r="O1867"/>
  <c r="P1866"/>
  <c r="O1866"/>
  <c r="P1865"/>
  <c r="O1865"/>
  <c r="P1864"/>
  <c r="O1864"/>
  <c r="P1863"/>
  <c r="O1863"/>
  <c r="P1862"/>
  <c r="O1862"/>
  <c r="P1861"/>
  <c r="O1861"/>
  <c r="P1860"/>
  <c r="O1860"/>
  <c r="P1859"/>
  <c r="O1859"/>
  <c r="P1858"/>
  <c r="O1858"/>
  <c r="P1857"/>
  <c r="O1857"/>
  <c r="P1856"/>
  <c r="O1856"/>
  <c r="P1855"/>
  <c r="O1855"/>
  <c r="P1854"/>
  <c r="O1854"/>
  <c r="P1853"/>
  <c r="O1853"/>
  <c r="P1852"/>
  <c r="O1852"/>
  <c r="P1851"/>
  <c r="O1851"/>
  <c r="P1850"/>
  <c r="O1850"/>
  <c r="P1849"/>
  <c r="O1849"/>
  <c r="P1848"/>
  <c r="O1848"/>
  <c r="P1847"/>
  <c r="O1847"/>
  <c r="P1846"/>
  <c r="O1846"/>
  <c r="P1845"/>
  <c r="O1845"/>
  <c r="P1844"/>
  <c r="O1844"/>
  <c r="P1843"/>
  <c r="O1843"/>
  <c r="P1842"/>
  <c r="O1842"/>
  <c r="P1841"/>
  <c r="O1841"/>
  <c r="P1840"/>
  <c r="O1840"/>
  <c r="P1839"/>
  <c r="O1839"/>
  <c r="P1838"/>
  <c r="O1838"/>
  <c r="P1837"/>
  <c r="O1837"/>
  <c r="P1836"/>
  <c r="O1836"/>
  <c r="P1835"/>
  <c r="O1835"/>
  <c r="P1834"/>
  <c r="O1834"/>
  <c r="P1833"/>
  <c r="O1833"/>
  <c r="P1832"/>
  <c r="O1832"/>
  <c r="P1831"/>
  <c r="O1831"/>
  <c r="P1830"/>
  <c r="O1830"/>
  <c r="P1829"/>
  <c r="O1829"/>
  <c r="P1828"/>
  <c r="O1828"/>
  <c r="P1827"/>
  <c r="O1827"/>
  <c r="P1826"/>
  <c r="O1826"/>
  <c r="P1825"/>
  <c r="O1825"/>
  <c r="P1824"/>
  <c r="O1824"/>
  <c r="P1823"/>
  <c r="O1823"/>
  <c r="P1822"/>
  <c r="O1822"/>
  <c r="P1821"/>
  <c r="O1821"/>
  <c r="P1820"/>
  <c r="O1820"/>
  <c r="P1819"/>
  <c r="O1819"/>
  <c r="P1818"/>
  <c r="O1818"/>
  <c r="P1817"/>
  <c r="O1817"/>
  <c r="P1816"/>
  <c r="O1816"/>
  <c r="P1815"/>
  <c r="O1815"/>
  <c r="P1814"/>
  <c r="O1814"/>
  <c r="P1813"/>
  <c r="O1813"/>
  <c r="P1812"/>
  <c r="O1812"/>
  <c r="P1811"/>
  <c r="O1811"/>
  <c r="P1810"/>
  <c r="O1810"/>
  <c r="P1809"/>
  <c r="O1809"/>
  <c r="P1808"/>
  <c r="O1808"/>
  <c r="P1807"/>
  <c r="O1807"/>
  <c r="P1806"/>
  <c r="O1806"/>
  <c r="P1805"/>
  <c r="O1805"/>
  <c r="P1804"/>
  <c r="O1804"/>
  <c r="P1803"/>
  <c r="O1803"/>
  <c r="P1802"/>
  <c r="O1802"/>
  <c r="P1801"/>
  <c r="O1801"/>
  <c r="P1800"/>
  <c r="O1800"/>
  <c r="P1799"/>
  <c r="O1799"/>
  <c r="P1798"/>
  <c r="O1798"/>
  <c r="P1797"/>
  <c r="O1797"/>
  <c r="P1796"/>
  <c r="O1796"/>
  <c r="P1795"/>
  <c r="O1795"/>
  <c r="P1794"/>
  <c r="O1794"/>
  <c r="P1793"/>
  <c r="O1793"/>
  <c r="P1792"/>
  <c r="O1792"/>
  <c r="P1791"/>
  <c r="O1791"/>
  <c r="P1790"/>
  <c r="O1790"/>
  <c r="P1789"/>
  <c r="O1789"/>
  <c r="P1788"/>
  <c r="O1788"/>
  <c r="P1787"/>
  <c r="O1787"/>
  <c r="P1786"/>
  <c r="O1786"/>
  <c r="P1785"/>
  <c r="O1785"/>
  <c r="P1784"/>
  <c r="O1784"/>
  <c r="P1783"/>
  <c r="O1783"/>
  <c r="P1782"/>
  <c r="O1782"/>
  <c r="P1781"/>
  <c r="O1781"/>
  <c r="P1780"/>
  <c r="O1780"/>
  <c r="P1779"/>
  <c r="O1779"/>
  <c r="P1778"/>
  <c r="O1778"/>
  <c r="P1777"/>
  <c r="O1777"/>
  <c r="P1776"/>
  <c r="O1776"/>
  <c r="P1775"/>
  <c r="O1775"/>
  <c r="P1774"/>
  <c r="O1774"/>
  <c r="P1773"/>
  <c r="O1773"/>
  <c r="P1772"/>
  <c r="O1772"/>
  <c r="P1771"/>
  <c r="O1771"/>
  <c r="P1770"/>
  <c r="O1770"/>
  <c r="P1769"/>
  <c r="O1769"/>
  <c r="P1768"/>
  <c r="O1768"/>
  <c r="P1767"/>
  <c r="O1767"/>
  <c r="P1766"/>
  <c r="O1766"/>
  <c r="P1765"/>
  <c r="O1765"/>
  <c r="P1764"/>
  <c r="O1764"/>
  <c r="P1763"/>
  <c r="O1763"/>
  <c r="P1762"/>
  <c r="O1762"/>
  <c r="P1761"/>
  <c r="O1761"/>
  <c r="P1760"/>
  <c r="O1760"/>
  <c r="P1759"/>
  <c r="O1759"/>
  <c r="P1758"/>
  <c r="O1758"/>
  <c r="P1757"/>
  <c r="O1757"/>
  <c r="P1756"/>
  <c r="O1756"/>
  <c r="P1755"/>
  <c r="O1755"/>
  <c r="P1754"/>
  <c r="O1754"/>
  <c r="P1753"/>
  <c r="O1753"/>
  <c r="P1752"/>
  <c r="O1752"/>
  <c r="P1751"/>
  <c r="O1751"/>
  <c r="P1750"/>
  <c r="O1750"/>
  <c r="P1749"/>
  <c r="O1749"/>
  <c r="P1748"/>
  <c r="O1748"/>
  <c r="P1747"/>
  <c r="O1747"/>
  <c r="P1746"/>
  <c r="O1746"/>
  <c r="P1745"/>
  <c r="O1745"/>
  <c r="P1744"/>
  <c r="O1744"/>
  <c r="P1743"/>
  <c r="O1743"/>
  <c r="P1742"/>
  <c r="O1742"/>
  <c r="P1741"/>
  <c r="O1741"/>
  <c r="P1740"/>
  <c r="O1740"/>
  <c r="P1739"/>
  <c r="O1739"/>
  <c r="P1738"/>
  <c r="O1738"/>
  <c r="P1737"/>
  <c r="O1737"/>
  <c r="P1736"/>
  <c r="O1736"/>
  <c r="P1735"/>
  <c r="O1735"/>
  <c r="P1734"/>
  <c r="O1734"/>
  <c r="P1733"/>
  <c r="O1733"/>
  <c r="P1732"/>
  <c r="O1732"/>
  <c r="P1731"/>
  <c r="O1731"/>
  <c r="P1730"/>
  <c r="O1730"/>
  <c r="P1729"/>
  <c r="O1729"/>
  <c r="P1728"/>
  <c r="O1728"/>
  <c r="P1727"/>
  <c r="O1727"/>
  <c r="P1726"/>
  <c r="O1726"/>
  <c r="P1725"/>
  <c r="O1725"/>
  <c r="P1724"/>
  <c r="O1724"/>
  <c r="P1723"/>
  <c r="O1723"/>
  <c r="P1722"/>
  <c r="O1722"/>
  <c r="P1721"/>
  <c r="O1721"/>
  <c r="P1720"/>
  <c r="O1720"/>
  <c r="P1719"/>
  <c r="O1719"/>
  <c r="P1718"/>
  <c r="O1718"/>
  <c r="P1717"/>
  <c r="O1717"/>
  <c r="P1716"/>
  <c r="O1716"/>
  <c r="P1715"/>
  <c r="O1715"/>
  <c r="P1714"/>
  <c r="O1714"/>
  <c r="P1713"/>
  <c r="O1713"/>
  <c r="P1712"/>
  <c r="O1712"/>
  <c r="P1711"/>
  <c r="O1711"/>
  <c r="P1710"/>
  <c r="O1710"/>
  <c r="P1709"/>
  <c r="O1709"/>
  <c r="P1708"/>
  <c r="O1708"/>
  <c r="P1707"/>
  <c r="O1707"/>
  <c r="P1706"/>
  <c r="O1706"/>
  <c r="P1705"/>
  <c r="O1705"/>
  <c r="P1704"/>
  <c r="O1704"/>
  <c r="P1703"/>
  <c r="O1703"/>
  <c r="P1702"/>
  <c r="O1702"/>
  <c r="P1701"/>
  <c r="O1701"/>
  <c r="P1700"/>
  <c r="O1700"/>
  <c r="P1699"/>
  <c r="O1699"/>
  <c r="P1698"/>
  <c r="O1698"/>
  <c r="P1697"/>
  <c r="O1697"/>
  <c r="P1696"/>
  <c r="O1696"/>
  <c r="P1695"/>
  <c r="O1695"/>
  <c r="P1694"/>
  <c r="O1694"/>
  <c r="P1693"/>
  <c r="O1693"/>
  <c r="P1692"/>
  <c r="O1692"/>
  <c r="P1691"/>
  <c r="O1691"/>
  <c r="P1690"/>
  <c r="O1690"/>
  <c r="P1689"/>
  <c r="O1689"/>
  <c r="P1688"/>
  <c r="O1688"/>
  <c r="P1687"/>
  <c r="O1687"/>
  <c r="P1686"/>
  <c r="O1686"/>
  <c r="P1685"/>
  <c r="O1685"/>
  <c r="P1684"/>
  <c r="O1684"/>
  <c r="P1683"/>
  <c r="O1683"/>
  <c r="P1682"/>
  <c r="O1682"/>
  <c r="P1681"/>
  <c r="O1681"/>
  <c r="P1680"/>
  <c r="O1680"/>
  <c r="P1679"/>
  <c r="O1679"/>
  <c r="P1678"/>
  <c r="O1678"/>
  <c r="P1677"/>
  <c r="O1677"/>
  <c r="P1676"/>
  <c r="O1676"/>
  <c r="P1675"/>
  <c r="O1675"/>
  <c r="P1674"/>
  <c r="O1674"/>
  <c r="P1673"/>
  <c r="O1673"/>
  <c r="P1672"/>
  <c r="O1672"/>
  <c r="P1671"/>
  <c r="O1671"/>
  <c r="P1670"/>
  <c r="O1670"/>
  <c r="P1669"/>
  <c r="O1669"/>
  <c r="P1668"/>
  <c r="O1668"/>
  <c r="P1667"/>
  <c r="O1667"/>
  <c r="P1666"/>
  <c r="O1666"/>
  <c r="P1665"/>
  <c r="O1665"/>
  <c r="P1664"/>
  <c r="O1664"/>
  <c r="P1663"/>
  <c r="O1663"/>
  <c r="P1662"/>
  <c r="O1662"/>
  <c r="P1661"/>
  <c r="O1661"/>
  <c r="P1660"/>
  <c r="O1660"/>
  <c r="P1659"/>
  <c r="O1659"/>
  <c r="P1658"/>
  <c r="O1658"/>
  <c r="P1657"/>
  <c r="O1657"/>
  <c r="P1656"/>
  <c r="O1656"/>
  <c r="P1655"/>
  <c r="O1655"/>
  <c r="P1654"/>
  <c r="O1654"/>
  <c r="P1653"/>
  <c r="O1653"/>
  <c r="P1652"/>
  <c r="O1652"/>
  <c r="P1651"/>
  <c r="O1651"/>
  <c r="P1650"/>
  <c r="O1650"/>
  <c r="P1649"/>
  <c r="O1649"/>
  <c r="P1648"/>
  <c r="O1648"/>
  <c r="P1647"/>
  <c r="O1647"/>
  <c r="P1646"/>
  <c r="O1646"/>
  <c r="P1645"/>
  <c r="O1645"/>
  <c r="P1644"/>
  <c r="O1644"/>
  <c r="P1643"/>
  <c r="O1643"/>
  <c r="P1642"/>
  <c r="O1642"/>
  <c r="P1641"/>
  <c r="O1641"/>
  <c r="P1640"/>
  <c r="O1640"/>
  <c r="P1639"/>
  <c r="O1639"/>
  <c r="P1638"/>
  <c r="O1638"/>
  <c r="P1637"/>
  <c r="O1637"/>
  <c r="P1636"/>
  <c r="O1636"/>
  <c r="P1635"/>
  <c r="O1635"/>
  <c r="P1634"/>
  <c r="O1634"/>
  <c r="P1633"/>
  <c r="O1633"/>
  <c r="P1632"/>
  <c r="O1632"/>
  <c r="P1631"/>
  <c r="O1631"/>
  <c r="P1630"/>
  <c r="O1630"/>
  <c r="P1629"/>
  <c r="O1629"/>
  <c r="P1628"/>
  <c r="O1628"/>
  <c r="P1627"/>
  <c r="O1627"/>
  <c r="P1626"/>
  <c r="O1626"/>
  <c r="P1625"/>
  <c r="O1625"/>
  <c r="P1624"/>
  <c r="O1624"/>
  <c r="P1623"/>
  <c r="O1623"/>
  <c r="P1622"/>
  <c r="O1622"/>
  <c r="P1621"/>
  <c r="O1621"/>
  <c r="P1620"/>
  <c r="O1620"/>
  <c r="P1619"/>
  <c r="O1619"/>
  <c r="P1618"/>
  <c r="O1618"/>
  <c r="P1617"/>
  <c r="O1617"/>
  <c r="P1616"/>
  <c r="O1616"/>
  <c r="P1615"/>
  <c r="O1615"/>
  <c r="P1614"/>
  <c r="O1614"/>
  <c r="P1613"/>
  <c r="O1613"/>
  <c r="P1612"/>
  <c r="O1612"/>
  <c r="P1611"/>
  <c r="O1611"/>
  <c r="P1610"/>
  <c r="O1610"/>
  <c r="P1609"/>
  <c r="O1609"/>
  <c r="P1608"/>
  <c r="O1608"/>
  <c r="P1607"/>
  <c r="O1607"/>
  <c r="P1606"/>
  <c r="O1606"/>
  <c r="P1605"/>
  <c r="O1605"/>
  <c r="P1604"/>
  <c r="O1604"/>
  <c r="P1603"/>
  <c r="O1603"/>
  <c r="P1602"/>
  <c r="O1602"/>
  <c r="P1601"/>
  <c r="O1601"/>
  <c r="P1600"/>
  <c r="O1600"/>
  <c r="P1599"/>
  <c r="O1599"/>
  <c r="P1598"/>
  <c r="O1598"/>
  <c r="P1597"/>
  <c r="O1597"/>
  <c r="P1596"/>
  <c r="O1596"/>
  <c r="P1595"/>
  <c r="O1595"/>
  <c r="P1594"/>
  <c r="O1594"/>
  <c r="P1593"/>
  <c r="O1593"/>
  <c r="P1592"/>
  <c r="O1592"/>
  <c r="P1591"/>
  <c r="O1591"/>
  <c r="P1590"/>
  <c r="O1590"/>
  <c r="P1589"/>
  <c r="O1589"/>
  <c r="P1588"/>
  <c r="O1588"/>
  <c r="P1587"/>
  <c r="O1587"/>
  <c r="P1586"/>
  <c r="O1586"/>
  <c r="P1585"/>
  <c r="O1585"/>
  <c r="P1584"/>
  <c r="O1584"/>
  <c r="P1583"/>
  <c r="O1583"/>
  <c r="P1582"/>
  <c r="O1582"/>
  <c r="P1581"/>
  <c r="O1581"/>
  <c r="P1580"/>
  <c r="O1580"/>
  <c r="P1579"/>
  <c r="O1579"/>
  <c r="P1578"/>
  <c r="O1578"/>
  <c r="P1577"/>
  <c r="O1577"/>
  <c r="P1576"/>
  <c r="O1576"/>
  <c r="P1575"/>
  <c r="O1575"/>
  <c r="P1574"/>
  <c r="O1574"/>
  <c r="P1573"/>
  <c r="O1573"/>
  <c r="P1572"/>
  <c r="O1572"/>
  <c r="P1571"/>
  <c r="O1571"/>
  <c r="P1570"/>
  <c r="O1570"/>
  <c r="P1569"/>
  <c r="O1569"/>
  <c r="P1568"/>
  <c r="O1568"/>
  <c r="P1567"/>
  <c r="O1567"/>
  <c r="P1566"/>
  <c r="O1566"/>
  <c r="P1565"/>
  <c r="O1565"/>
  <c r="P1564"/>
  <c r="O1564"/>
  <c r="P1563"/>
  <c r="O1563"/>
  <c r="P1562"/>
  <c r="O1562"/>
  <c r="P1561"/>
  <c r="O1561"/>
  <c r="P1560"/>
  <c r="O1560"/>
  <c r="P1559"/>
  <c r="O1559"/>
  <c r="P1558"/>
  <c r="O1558"/>
  <c r="P1557"/>
  <c r="O1557"/>
  <c r="P1556"/>
  <c r="O1556"/>
  <c r="P1555"/>
  <c r="O1555"/>
  <c r="P1554"/>
  <c r="O1554"/>
  <c r="P1553"/>
  <c r="O1553"/>
  <c r="P1552"/>
  <c r="O1552"/>
  <c r="P1551"/>
  <c r="O1551"/>
  <c r="P1550"/>
  <c r="O1550"/>
  <c r="P1549"/>
  <c r="O1549"/>
  <c r="P1548"/>
  <c r="O1548"/>
  <c r="P1547"/>
  <c r="O1547"/>
  <c r="P1546"/>
  <c r="O1546"/>
  <c r="P1545"/>
  <c r="O1545"/>
  <c r="P1544"/>
  <c r="O1544"/>
  <c r="P1543"/>
  <c r="O1543"/>
  <c r="P1542"/>
  <c r="O1542"/>
  <c r="P1541"/>
  <c r="O1541"/>
  <c r="P1540"/>
  <c r="O1540"/>
  <c r="P1539"/>
  <c r="O1539"/>
  <c r="P1538"/>
  <c r="O1538"/>
  <c r="P1537"/>
  <c r="O1537"/>
  <c r="P1536"/>
  <c r="O1536"/>
  <c r="P1535"/>
  <c r="O1535"/>
  <c r="P1534"/>
  <c r="O1534"/>
  <c r="P1533"/>
  <c r="O1533"/>
  <c r="P1532"/>
  <c r="O1532"/>
  <c r="P1531"/>
  <c r="O1531"/>
  <c r="P1530"/>
  <c r="O1530"/>
  <c r="P1529"/>
  <c r="O1529"/>
  <c r="P1528"/>
  <c r="O1528"/>
  <c r="P1527"/>
  <c r="O1527"/>
  <c r="P1526"/>
  <c r="O1526"/>
  <c r="P1525"/>
  <c r="O1525"/>
  <c r="P1524"/>
  <c r="O1524"/>
  <c r="P1523"/>
  <c r="O1523"/>
  <c r="P1522"/>
  <c r="O1522"/>
  <c r="P1521"/>
  <c r="O1521"/>
  <c r="P1520"/>
  <c r="O1520"/>
  <c r="P1519"/>
  <c r="O1519"/>
  <c r="P1518"/>
  <c r="O1518"/>
  <c r="P1517"/>
  <c r="O1517"/>
  <c r="P1516"/>
  <c r="O1516"/>
  <c r="P1515"/>
  <c r="O1515"/>
  <c r="P1514"/>
  <c r="O1514"/>
  <c r="P1513"/>
  <c r="O1513"/>
  <c r="P1512"/>
  <c r="O1512"/>
  <c r="P1511"/>
  <c r="O1511"/>
  <c r="P1510"/>
  <c r="O1510"/>
  <c r="P1509"/>
  <c r="O1509"/>
  <c r="P1508"/>
  <c r="O1508"/>
  <c r="P1507"/>
  <c r="O1507"/>
  <c r="P1506"/>
  <c r="O1506"/>
  <c r="P1505"/>
  <c r="O1505"/>
  <c r="P1504"/>
  <c r="O1504"/>
  <c r="P1503"/>
  <c r="O1503"/>
  <c r="P1502"/>
  <c r="O1502"/>
  <c r="P1501"/>
  <c r="O1501"/>
  <c r="P1500"/>
  <c r="O1500"/>
  <c r="P1499"/>
  <c r="O1499"/>
  <c r="P1498"/>
  <c r="O1498"/>
  <c r="P1497"/>
  <c r="O1497"/>
  <c r="P1496"/>
  <c r="O1496"/>
  <c r="P1495"/>
  <c r="O1495"/>
  <c r="P1494"/>
  <c r="O1494"/>
  <c r="P1493"/>
  <c r="O1493"/>
  <c r="P1492"/>
  <c r="O1492"/>
  <c r="P1491"/>
  <c r="O1491"/>
  <c r="P1490"/>
  <c r="O1490"/>
  <c r="P1489"/>
  <c r="O1489"/>
  <c r="P1488"/>
  <c r="O1488"/>
  <c r="P1487"/>
  <c r="O1487"/>
  <c r="P1486"/>
  <c r="O1486"/>
  <c r="P1485"/>
  <c r="O1485"/>
  <c r="P1484"/>
  <c r="O1484"/>
  <c r="P1483"/>
  <c r="O1483"/>
  <c r="P1482"/>
  <c r="O1482"/>
  <c r="P1481"/>
  <c r="O1481"/>
  <c r="P1480"/>
  <c r="O1480"/>
  <c r="P1479"/>
  <c r="O1479"/>
  <c r="P1478"/>
  <c r="O1478"/>
  <c r="P1477"/>
  <c r="O1477"/>
  <c r="P1476"/>
  <c r="O1476"/>
  <c r="P1475"/>
  <c r="O1475"/>
  <c r="P1474"/>
  <c r="O1474"/>
  <c r="P1473"/>
  <c r="O1473"/>
  <c r="P1472"/>
  <c r="O1472"/>
  <c r="P1471"/>
  <c r="O1471"/>
  <c r="P1470"/>
  <c r="O1470"/>
  <c r="P1469"/>
  <c r="O1469"/>
  <c r="P1468"/>
  <c r="O1468"/>
  <c r="P1467"/>
  <c r="O1467"/>
  <c r="P1466"/>
  <c r="O1466"/>
  <c r="P1465"/>
  <c r="O1465"/>
  <c r="P1464"/>
  <c r="O1464"/>
  <c r="P1463"/>
  <c r="O1463"/>
  <c r="P1462"/>
  <c r="O1462"/>
  <c r="P1461"/>
  <c r="O1461"/>
  <c r="P1460"/>
  <c r="O1460"/>
  <c r="P1459"/>
  <c r="O1459"/>
  <c r="P1458"/>
  <c r="O1458"/>
  <c r="P1457"/>
  <c r="O1457"/>
  <c r="P1456"/>
  <c r="O1456"/>
  <c r="P1455"/>
  <c r="O1455"/>
  <c r="P1454"/>
  <c r="O1454"/>
  <c r="P1453"/>
  <c r="O1453"/>
  <c r="P1452"/>
  <c r="O1452"/>
  <c r="P1451"/>
  <c r="O1451"/>
  <c r="P1450"/>
  <c r="O1450"/>
  <c r="P1449"/>
  <c r="O1449"/>
  <c r="P1448"/>
  <c r="O1448"/>
  <c r="P1447"/>
  <c r="O1447"/>
  <c r="P1446"/>
  <c r="O1446"/>
  <c r="P1445"/>
  <c r="O1445"/>
  <c r="P1444"/>
  <c r="O1444"/>
  <c r="P1443"/>
  <c r="O1443"/>
  <c r="P1442"/>
  <c r="O1442"/>
  <c r="P1441"/>
  <c r="O1441"/>
  <c r="P1440"/>
  <c r="O1440"/>
  <c r="P1439"/>
  <c r="O1439"/>
  <c r="P1438"/>
  <c r="O1438"/>
  <c r="P1437"/>
  <c r="O1437"/>
  <c r="P1436"/>
  <c r="O1436"/>
  <c r="P1435"/>
  <c r="O1435"/>
  <c r="P1434"/>
  <c r="O1434"/>
  <c r="P1433"/>
  <c r="O1433"/>
  <c r="P1432"/>
  <c r="O1432"/>
  <c r="P1431"/>
  <c r="O1431"/>
  <c r="P1430"/>
  <c r="O1430"/>
  <c r="P1429"/>
  <c r="O1429"/>
  <c r="P1428"/>
  <c r="O1428"/>
  <c r="P1427"/>
  <c r="O1427"/>
  <c r="P1426"/>
  <c r="O1426"/>
  <c r="P1425"/>
  <c r="O1425"/>
  <c r="P1424"/>
  <c r="O1424"/>
  <c r="P1423"/>
  <c r="O1423"/>
  <c r="P1422"/>
  <c r="O1422"/>
  <c r="P1421"/>
  <c r="O1421"/>
  <c r="P1420"/>
  <c r="O1420"/>
  <c r="P1419"/>
  <c r="O1419"/>
  <c r="P1418"/>
  <c r="O1418"/>
  <c r="P1417"/>
  <c r="O1417"/>
  <c r="P1416"/>
  <c r="O1416"/>
  <c r="P1415"/>
  <c r="O1415"/>
  <c r="P1414"/>
  <c r="O1414"/>
  <c r="P1413"/>
  <c r="O1413"/>
  <c r="P1412"/>
  <c r="O1412"/>
  <c r="P1411"/>
  <c r="O1411"/>
  <c r="P1410"/>
  <c r="O1410"/>
  <c r="P1409"/>
  <c r="O1409"/>
  <c r="P1408"/>
  <c r="O1408"/>
  <c r="P1407"/>
  <c r="O1407"/>
  <c r="P1406"/>
  <c r="O1406"/>
  <c r="P1405"/>
  <c r="O1405"/>
  <c r="P1404"/>
  <c r="O1404"/>
  <c r="P1403"/>
  <c r="O1403"/>
  <c r="P1402"/>
  <c r="O1402"/>
  <c r="P1401"/>
  <c r="O1401"/>
  <c r="P1400"/>
  <c r="O1400"/>
  <c r="P1399"/>
  <c r="O1399"/>
  <c r="P1398"/>
  <c r="O1398"/>
  <c r="P1397"/>
  <c r="O1397"/>
  <c r="P1396"/>
  <c r="O1396"/>
  <c r="P1395"/>
  <c r="O1395"/>
  <c r="P1394"/>
  <c r="O1394"/>
  <c r="P1393"/>
  <c r="O1393"/>
  <c r="P1392"/>
  <c r="O1392"/>
  <c r="P1391"/>
  <c r="O1391"/>
  <c r="P1390"/>
  <c r="O1390"/>
  <c r="P1389"/>
  <c r="O1389"/>
  <c r="P1388"/>
  <c r="O1388"/>
  <c r="P1387"/>
  <c r="O1387"/>
  <c r="P1386"/>
  <c r="O1386"/>
  <c r="P1385"/>
  <c r="O1385"/>
  <c r="P1384"/>
  <c r="O1384"/>
  <c r="P1383"/>
  <c r="O1383"/>
  <c r="P1382"/>
  <c r="O1382"/>
  <c r="P1381"/>
  <c r="O1381"/>
  <c r="P1380"/>
  <c r="O1380"/>
  <c r="P1379"/>
  <c r="O1379"/>
  <c r="P1378"/>
  <c r="O1378"/>
  <c r="P1377"/>
  <c r="O1377"/>
  <c r="P1376"/>
  <c r="O1376"/>
  <c r="P1375"/>
  <c r="O1375"/>
  <c r="P1374"/>
  <c r="O1374"/>
  <c r="P1373"/>
  <c r="O1373"/>
  <c r="P1372"/>
  <c r="O1372"/>
  <c r="P1371"/>
  <c r="O1371"/>
  <c r="P1370"/>
  <c r="O1370"/>
  <c r="P1369"/>
  <c r="O1369"/>
  <c r="P1368"/>
  <c r="O1368"/>
  <c r="P1367"/>
  <c r="O1367"/>
  <c r="P1366"/>
  <c r="O1366"/>
  <c r="P1365"/>
  <c r="O1365"/>
  <c r="P1364"/>
  <c r="O1364"/>
  <c r="P1363"/>
  <c r="O1363"/>
  <c r="P1362"/>
  <c r="O1362"/>
  <c r="P1361"/>
  <c r="O1361"/>
  <c r="P1360"/>
  <c r="O1360"/>
  <c r="P1359"/>
  <c r="O1359"/>
  <c r="P1358"/>
  <c r="O1358"/>
  <c r="P1357"/>
  <c r="O1357"/>
  <c r="P1356"/>
  <c r="O1356"/>
  <c r="P1355"/>
  <c r="O1355"/>
  <c r="P1354"/>
  <c r="O1354"/>
  <c r="P1353"/>
  <c r="O1353"/>
  <c r="P1352"/>
  <c r="O1352"/>
  <c r="P1351"/>
  <c r="O1351"/>
  <c r="P1350"/>
  <c r="O1350"/>
  <c r="P1349"/>
  <c r="O1349"/>
  <c r="P1348"/>
  <c r="O1348"/>
  <c r="P1347"/>
  <c r="O1347"/>
  <c r="P1346"/>
  <c r="O1346"/>
  <c r="P1345"/>
  <c r="O1345"/>
  <c r="P1344"/>
  <c r="O1344"/>
  <c r="P1343"/>
  <c r="O1343"/>
  <c r="P1342"/>
  <c r="O1342"/>
  <c r="P1341"/>
  <c r="O1341"/>
  <c r="P1340"/>
  <c r="O1340"/>
  <c r="P1339"/>
  <c r="O1339"/>
  <c r="P1338"/>
  <c r="O1338"/>
  <c r="P1337"/>
  <c r="O1337"/>
  <c r="P1336"/>
  <c r="O1336"/>
  <c r="P1335"/>
  <c r="O1335"/>
  <c r="P1334"/>
  <c r="O1334"/>
  <c r="P1333"/>
  <c r="O1333"/>
  <c r="P1332"/>
  <c r="O1332"/>
  <c r="P1331"/>
  <c r="O1331"/>
  <c r="P1330"/>
  <c r="O1330"/>
  <c r="P1329"/>
  <c r="O1329"/>
  <c r="P1328"/>
  <c r="O1328"/>
  <c r="P1327"/>
  <c r="O1327"/>
  <c r="P1326"/>
  <c r="O1326"/>
  <c r="P1325"/>
  <c r="O1325"/>
  <c r="P1324"/>
  <c r="O1324"/>
  <c r="P1323"/>
  <c r="O1323"/>
  <c r="P1322"/>
  <c r="O1322"/>
  <c r="P1321"/>
  <c r="O1321"/>
  <c r="P1320"/>
  <c r="O1320"/>
  <c r="P1319"/>
  <c r="O1319"/>
  <c r="P1318"/>
  <c r="O1318"/>
  <c r="P1317"/>
  <c r="O1317"/>
  <c r="P1316"/>
  <c r="O1316"/>
  <c r="P1315"/>
  <c r="O1315"/>
  <c r="P1314"/>
  <c r="O1314"/>
  <c r="P1313"/>
  <c r="O1313"/>
  <c r="P1312"/>
  <c r="O1312"/>
  <c r="P1311"/>
  <c r="O1311"/>
  <c r="P1310"/>
  <c r="O1310"/>
  <c r="P1309"/>
  <c r="O1309"/>
  <c r="P1308"/>
  <c r="O1308"/>
  <c r="P1307"/>
  <c r="O1307"/>
  <c r="P1306"/>
  <c r="O1306"/>
  <c r="P1305"/>
  <c r="O1305"/>
  <c r="P1304"/>
  <c r="O1304"/>
  <c r="P1303"/>
  <c r="O1303"/>
  <c r="P1302"/>
  <c r="O1302"/>
  <c r="P1301"/>
  <c r="O1301"/>
  <c r="P1300"/>
  <c r="O1300"/>
  <c r="P1299"/>
  <c r="O1299"/>
  <c r="P1298"/>
  <c r="O1298"/>
  <c r="P1297"/>
  <c r="O1297"/>
  <c r="P1296"/>
  <c r="O1296"/>
  <c r="P1295"/>
  <c r="O1295"/>
  <c r="P1294"/>
  <c r="O1294"/>
  <c r="P1293"/>
  <c r="O1293"/>
  <c r="P1292"/>
  <c r="O1292"/>
  <c r="P1291"/>
  <c r="O1291"/>
  <c r="P1290"/>
  <c r="O1290"/>
  <c r="P1289"/>
  <c r="O1289"/>
  <c r="P1288"/>
  <c r="O1288"/>
  <c r="P1287"/>
  <c r="O1287"/>
  <c r="P1286"/>
  <c r="O1286"/>
  <c r="P1285"/>
  <c r="O1285"/>
  <c r="P1284"/>
  <c r="O1284"/>
  <c r="P1283"/>
  <c r="O1283"/>
  <c r="P1282"/>
  <c r="O1282"/>
  <c r="P1281"/>
  <c r="O1281"/>
  <c r="P1280"/>
  <c r="O1280"/>
  <c r="P1279"/>
  <c r="O1279"/>
  <c r="P1278"/>
  <c r="O1278"/>
  <c r="P1277"/>
  <c r="O1277"/>
  <c r="P1276"/>
  <c r="O1276"/>
  <c r="P1275"/>
  <c r="O1275"/>
  <c r="P1274"/>
  <c r="O1274"/>
  <c r="P1273"/>
  <c r="O1273"/>
  <c r="P1272"/>
  <c r="O1272"/>
  <c r="P1271"/>
  <c r="O1271"/>
  <c r="P1270"/>
  <c r="O1270"/>
  <c r="P1269"/>
  <c r="O1269"/>
  <c r="P1268"/>
  <c r="O1268"/>
  <c r="P1267"/>
  <c r="O1267"/>
  <c r="P1266"/>
  <c r="O1266"/>
  <c r="P1265"/>
  <c r="O1265"/>
  <c r="P1264"/>
  <c r="O1264"/>
  <c r="P1263"/>
  <c r="O1263"/>
  <c r="P1262"/>
  <c r="O1262"/>
  <c r="P1261"/>
  <c r="O1261"/>
  <c r="P1260"/>
  <c r="O1260"/>
  <c r="P1259"/>
  <c r="O1259"/>
  <c r="P1258"/>
  <c r="O1258"/>
  <c r="P1257"/>
  <c r="O1257"/>
  <c r="P1256"/>
  <c r="O1256"/>
  <c r="P1255"/>
  <c r="O1255"/>
  <c r="P1254"/>
  <c r="O1254"/>
  <c r="P1253"/>
  <c r="O1253"/>
  <c r="P1252"/>
  <c r="O1252"/>
  <c r="P1251"/>
  <c r="O1251"/>
  <c r="P1250"/>
  <c r="O1250"/>
  <c r="P1249"/>
  <c r="O1249"/>
  <c r="P1248"/>
  <c r="O1248"/>
  <c r="P1247"/>
  <c r="O1247"/>
  <c r="P1246"/>
  <c r="O1246"/>
  <c r="P1245"/>
  <c r="O1245"/>
  <c r="P1244"/>
  <c r="O1244"/>
  <c r="P1243"/>
  <c r="O1243"/>
  <c r="P1242"/>
  <c r="O1242"/>
  <c r="P1241"/>
  <c r="O1241"/>
  <c r="P1240"/>
  <c r="O1240"/>
  <c r="P1239"/>
  <c r="O1239"/>
  <c r="P1238"/>
  <c r="O1238"/>
  <c r="P1237"/>
  <c r="O1237"/>
  <c r="P1236"/>
  <c r="O1236"/>
  <c r="P1235"/>
  <c r="O1235"/>
  <c r="P1234"/>
  <c r="O1234"/>
  <c r="P1233"/>
  <c r="O1233"/>
  <c r="P1232"/>
  <c r="O1232"/>
  <c r="P1231"/>
  <c r="O1231"/>
  <c r="P1230"/>
  <c r="O1230"/>
  <c r="P1229"/>
  <c r="O1229"/>
  <c r="P1228"/>
  <c r="O1228"/>
  <c r="P1227"/>
  <c r="O1227"/>
  <c r="P1226"/>
  <c r="O1226"/>
  <c r="P1225"/>
  <c r="O1225"/>
  <c r="P1224"/>
  <c r="O1224"/>
  <c r="P1223"/>
  <c r="O1223"/>
  <c r="P1222"/>
  <c r="O1222"/>
  <c r="P1221"/>
  <c r="O1221"/>
  <c r="P1220"/>
  <c r="O1220"/>
  <c r="P1219"/>
  <c r="O1219"/>
  <c r="P1218"/>
  <c r="O1218"/>
  <c r="P1217"/>
  <c r="O1217"/>
  <c r="P1216"/>
  <c r="O1216"/>
  <c r="P1215"/>
  <c r="O1215"/>
  <c r="P1214"/>
  <c r="O1214"/>
  <c r="P1213"/>
  <c r="O1213"/>
  <c r="P1212"/>
  <c r="O1212"/>
  <c r="P1211"/>
  <c r="O1211"/>
  <c r="P1210"/>
  <c r="O1210"/>
  <c r="P1209"/>
  <c r="O1209"/>
  <c r="P1208"/>
  <c r="O1208"/>
  <c r="P1207"/>
  <c r="O1207"/>
  <c r="P1206"/>
  <c r="O1206"/>
  <c r="P1205"/>
  <c r="O1205"/>
  <c r="P1204"/>
  <c r="O1204"/>
  <c r="P1203"/>
  <c r="O1203"/>
  <c r="P1202"/>
  <c r="O1202"/>
  <c r="P1201"/>
  <c r="O1201"/>
  <c r="P1200"/>
  <c r="O1200"/>
  <c r="P1199"/>
  <c r="O1199"/>
  <c r="P1198"/>
  <c r="O1198"/>
  <c r="P1197"/>
  <c r="O1197"/>
  <c r="P1196"/>
  <c r="O1196"/>
  <c r="P1195"/>
  <c r="O1195"/>
  <c r="P1194"/>
  <c r="O1194"/>
  <c r="P1193"/>
  <c r="O1193"/>
  <c r="P1192"/>
  <c r="O1192"/>
  <c r="P1191"/>
  <c r="O1191"/>
  <c r="P1190"/>
  <c r="O1190"/>
  <c r="P1189"/>
  <c r="O1189"/>
  <c r="P1188"/>
  <c r="O1188"/>
  <c r="P1187"/>
  <c r="O1187"/>
  <c r="P1186"/>
  <c r="O1186"/>
  <c r="P1185"/>
  <c r="O1185"/>
  <c r="P1184"/>
  <c r="O1184"/>
  <c r="P1183"/>
  <c r="O1183"/>
  <c r="P1182"/>
  <c r="O1182"/>
  <c r="P1181"/>
  <c r="O1181"/>
  <c r="P1180"/>
  <c r="O1180"/>
  <c r="P1179"/>
  <c r="O1179"/>
  <c r="P1178"/>
  <c r="O1178"/>
  <c r="P1177"/>
  <c r="O1177"/>
  <c r="P1176"/>
  <c r="O1176"/>
  <c r="P1175"/>
  <c r="O1175"/>
  <c r="P1174"/>
  <c r="O1174"/>
  <c r="P1173"/>
  <c r="O1173"/>
  <c r="P1172"/>
  <c r="O1172"/>
  <c r="P1171"/>
  <c r="O1171"/>
  <c r="P1170"/>
  <c r="O1170"/>
  <c r="P1169"/>
  <c r="O1169"/>
  <c r="P1168"/>
  <c r="O1168"/>
  <c r="P1167"/>
  <c r="O1167"/>
  <c r="P1166"/>
  <c r="O1166"/>
  <c r="P1165"/>
  <c r="O1165"/>
  <c r="P1164"/>
  <c r="O1164"/>
  <c r="P1163"/>
  <c r="O1163"/>
  <c r="P1162"/>
  <c r="O1162"/>
  <c r="P1161"/>
  <c r="O1161"/>
  <c r="P1160"/>
  <c r="O1160"/>
  <c r="P1159"/>
  <c r="O1159"/>
  <c r="P1158"/>
  <c r="O1158"/>
  <c r="P1157"/>
  <c r="O1157"/>
  <c r="P1156"/>
  <c r="O1156"/>
  <c r="P1155"/>
  <c r="O1155"/>
  <c r="P1154"/>
  <c r="O1154"/>
  <c r="P1153"/>
  <c r="O1153"/>
  <c r="P1152"/>
  <c r="O1152"/>
  <c r="P1151"/>
  <c r="O1151"/>
  <c r="P1150"/>
  <c r="O1150"/>
  <c r="P1149"/>
  <c r="O1149"/>
  <c r="P1148"/>
  <c r="O1148"/>
  <c r="P1147"/>
  <c r="O1147"/>
  <c r="P1146"/>
  <c r="O1146"/>
  <c r="P1145"/>
  <c r="O1145"/>
  <c r="P1144"/>
  <c r="O1144"/>
  <c r="P1143"/>
  <c r="O1143"/>
  <c r="P1142"/>
  <c r="O1142"/>
  <c r="P1141"/>
  <c r="O1141"/>
  <c r="P1140"/>
  <c r="O1140"/>
  <c r="P1139"/>
  <c r="O1139"/>
  <c r="P1138"/>
  <c r="O1138"/>
  <c r="P1137"/>
  <c r="O1137"/>
  <c r="P1136"/>
  <c r="O1136"/>
  <c r="P1135"/>
  <c r="O1135"/>
  <c r="P1134"/>
  <c r="O1134"/>
  <c r="P1133"/>
  <c r="O1133"/>
  <c r="P1132"/>
  <c r="O1132"/>
  <c r="P1131"/>
  <c r="O1131"/>
  <c r="P1130"/>
  <c r="O1130"/>
  <c r="P1129"/>
  <c r="O1129"/>
  <c r="P1128"/>
  <c r="O1128"/>
  <c r="P1127"/>
  <c r="O1127"/>
  <c r="P1126"/>
  <c r="O1126"/>
  <c r="P1125"/>
  <c r="O1125"/>
  <c r="P1124"/>
  <c r="O1124"/>
  <c r="P1123"/>
  <c r="O1123"/>
  <c r="P1122"/>
  <c r="O1122"/>
  <c r="P1121"/>
  <c r="O1121"/>
  <c r="P1120"/>
  <c r="O1120"/>
  <c r="P1119"/>
  <c r="O1119"/>
  <c r="P1118"/>
  <c r="O1118"/>
  <c r="P1117"/>
  <c r="O1117"/>
  <c r="P1116"/>
  <c r="O1116"/>
  <c r="P1115"/>
  <c r="O1115"/>
  <c r="P1114"/>
  <c r="O1114"/>
  <c r="P1113"/>
  <c r="O1113"/>
  <c r="P1112"/>
  <c r="O1112"/>
  <c r="P1111"/>
  <c r="O1111"/>
  <c r="P1110"/>
  <c r="O1110"/>
  <c r="P1109"/>
  <c r="O1109"/>
  <c r="P1108"/>
  <c r="O1108"/>
  <c r="P1107"/>
  <c r="O1107"/>
  <c r="P1106"/>
  <c r="O1106"/>
  <c r="P1105"/>
  <c r="O1105"/>
  <c r="P1104"/>
  <c r="O1104"/>
  <c r="P1103"/>
  <c r="O1103"/>
  <c r="P1102"/>
  <c r="O1102"/>
  <c r="P1101"/>
  <c r="O1101"/>
  <c r="P1100"/>
  <c r="O1100"/>
  <c r="P1099"/>
  <c r="O1099"/>
  <c r="P1098"/>
  <c r="O1098"/>
  <c r="P1097"/>
  <c r="O1097"/>
  <c r="P1096"/>
  <c r="O1096"/>
  <c r="P1095"/>
  <c r="O1095"/>
  <c r="P1094"/>
  <c r="O1094"/>
  <c r="P1093"/>
  <c r="O1093"/>
  <c r="P1092"/>
  <c r="O1092"/>
  <c r="P1091"/>
  <c r="O1091"/>
  <c r="P1090"/>
  <c r="O1090"/>
  <c r="P1089"/>
  <c r="O1089"/>
  <c r="P1088"/>
  <c r="O1088"/>
  <c r="P1087"/>
  <c r="O1087"/>
  <c r="P1086"/>
  <c r="O1086"/>
  <c r="P1085"/>
  <c r="O1085"/>
  <c r="P1084"/>
  <c r="O1084"/>
  <c r="P1083"/>
  <c r="O1083"/>
  <c r="P1082"/>
  <c r="O1082"/>
  <c r="P1081"/>
  <c r="O1081"/>
  <c r="P1080"/>
  <c r="O1080"/>
  <c r="P1079"/>
  <c r="O1079"/>
  <c r="P1078"/>
  <c r="O1078"/>
  <c r="P1077"/>
  <c r="O1077"/>
  <c r="P1076"/>
  <c r="O1076"/>
  <c r="P1075"/>
  <c r="O1075"/>
  <c r="P1074"/>
  <c r="O1074"/>
  <c r="P1073"/>
  <c r="O1073"/>
  <c r="P1072"/>
  <c r="O1072"/>
  <c r="P1071"/>
  <c r="O1071"/>
  <c r="P1070"/>
  <c r="O1070"/>
  <c r="P1069"/>
  <c r="O1069"/>
  <c r="P1068"/>
  <c r="O1068"/>
  <c r="P1067"/>
  <c r="O1067"/>
  <c r="P1066"/>
  <c r="O1066"/>
  <c r="P1065"/>
  <c r="O1065"/>
  <c r="P1064"/>
  <c r="O1064"/>
  <c r="P1063"/>
  <c r="O1063"/>
  <c r="P1062"/>
  <c r="O1062"/>
  <c r="P1061"/>
  <c r="O1061"/>
  <c r="P1060"/>
  <c r="O1060"/>
  <c r="P1059"/>
  <c r="O1059"/>
  <c r="P1058"/>
  <c r="O1058"/>
  <c r="P1057"/>
  <c r="O1057"/>
  <c r="P1056"/>
  <c r="O1056"/>
  <c r="P1055"/>
  <c r="O1055"/>
  <c r="P1054"/>
  <c r="O1054"/>
  <c r="P1053"/>
  <c r="O1053"/>
  <c r="P1052"/>
  <c r="O1052"/>
  <c r="P1051"/>
  <c r="O1051"/>
  <c r="P1050"/>
  <c r="O1050"/>
  <c r="P1049"/>
  <c r="O1049"/>
  <c r="P1048"/>
  <c r="O1048"/>
  <c r="P1047"/>
  <c r="O1047"/>
  <c r="P1046"/>
  <c r="O1046"/>
  <c r="P1045"/>
  <c r="O1045"/>
  <c r="P1044"/>
  <c r="O1044"/>
  <c r="P1043"/>
  <c r="O1043"/>
  <c r="P1042"/>
  <c r="O1042"/>
  <c r="P1041"/>
  <c r="O1041"/>
  <c r="P1040"/>
  <c r="O1040"/>
  <c r="P1039"/>
  <c r="O1039"/>
  <c r="P1038"/>
  <c r="O1038"/>
  <c r="P1037"/>
  <c r="O1037"/>
  <c r="P1036"/>
  <c r="O1036"/>
  <c r="P1035"/>
  <c r="O1035"/>
  <c r="P1034"/>
  <c r="O1034"/>
  <c r="P1033"/>
  <c r="O1033"/>
  <c r="P1032"/>
  <c r="O1032"/>
  <c r="P1031"/>
  <c r="O1031"/>
  <c r="P1030"/>
  <c r="O1030"/>
  <c r="P1029"/>
  <c r="O1029"/>
  <c r="P1028"/>
  <c r="O1028"/>
  <c r="P1027"/>
  <c r="O1027"/>
  <c r="P1026"/>
  <c r="O1026"/>
  <c r="P1025"/>
  <c r="O1025"/>
  <c r="P1024"/>
  <c r="O1024"/>
  <c r="P1023"/>
  <c r="O1023"/>
  <c r="P1022"/>
  <c r="O1022"/>
  <c r="P1021"/>
  <c r="O1021"/>
  <c r="P1020"/>
  <c r="O1020"/>
  <c r="P1019"/>
  <c r="O1019"/>
  <c r="P1018"/>
  <c r="O1018"/>
  <c r="P1017"/>
  <c r="O1017"/>
  <c r="P1016"/>
  <c r="O1016"/>
  <c r="P1015"/>
  <c r="O1015"/>
  <c r="P1014"/>
  <c r="O1014"/>
  <c r="P1013"/>
  <c r="O1013"/>
  <c r="P1012"/>
  <c r="O1012"/>
  <c r="P1011"/>
  <c r="O1011"/>
  <c r="P1010"/>
  <c r="O1010"/>
  <c r="P1009"/>
  <c r="O1009"/>
  <c r="P1008"/>
  <c r="O1008"/>
  <c r="P1007"/>
  <c r="O1007"/>
  <c r="P1006"/>
  <c r="O1006"/>
  <c r="P1005"/>
  <c r="O1005"/>
  <c r="P1004"/>
  <c r="O1004"/>
  <c r="P1003"/>
  <c r="O1003"/>
  <c r="P1002"/>
  <c r="O1002"/>
  <c r="P1001"/>
  <c r="O1001"/>
  <c r="P1000"/>
  <c r="O1000"/>
  <c r="P999"/>
  <c r="O999"/>
  <c r="P998"/>
  <c r="O998"/>
  <c r="P997"/>
  <c r="O997"/>
  <c r="P996"/>
  <c r="O996"/>
  <c r="P995"/>
  <c r="O995"/>
  <c r="P994"/>
  <c r="O994"/>
  <c r="P993"/>
  <c r="O993"/>
  <c r="P992"/>
  <c r="O992"/>
  <c r="P991"/>
  <c r="O991"/>
  <c r="P990"/>
  <c r="O990"/>
  <c r="P989"/>
  <c r="O989"/>
  <c r="P988"/>
  <c r="O988"/>
  <c r="P987"/>
  <c r="O987"/>
  <c r="P986"/>
  <c r="O986"/>
  <c r="P985"/>
  <c r="O985"/>
  <c r="P984"/>
  <c r="O984"/>
  <c r="P983"/>
  <c r="O983"/>
  <c r="P982"/>
  <c r="O982"/>
  <c r="P981"/>
  <c r="O981"/>
  <c r="P980"/>
  <c r="O980"/>
  <c r="P979"/>
  <c r="O979"/>
  <c r="P978"/>
  <c r="O978"/>
  <c r="P977"/>
  <c r="O977"/>
  <c r="P976"/>
  <c r="O976"/>
  <c r="P975"/>
  <c r="O975"/>
  <c r="P974"/>
  <c r="O974"/>
  <c r="P973"/>
  <c r="O973"/>
  <c r="P972"/>
  <c r="O972"/>
  <c r="P971"/>
  <c r="O971"/>
  <c r="P970"/>
  <c r="O970"/>
  <c r="P969"/>
  <c r="O969"/>
  <c r="P968"/>
  <c r="O968"/>
  <c r="P967"/>
  <c r="O967"/>
  <c r="P966"/>
  <c r="O966"/>
  <c r="P965"/>
  <c r="O965"/>
  <c r="P964"/>
  <c r="O964"/>
  <c r="P963"/>
  <c r="O963"/>
  <c r="P962"/>
  <c r="O962"/>
  <c r="P961"/>
  <c r="O961"/>
  <c r="P960"/>
  <c r="O960"/>
  <c r="P959"/>
  <c r="O959"/>
  <c r="P958"/>
  <c r="O958"/>
  <c r="P957"/>
  <c r="O957"/>
  <c r="P956"/>
  <c r="O956"/>
  <c r="P955"/>
  <c r="O955"/>
  <c r="P954"/>
  <c r="O954"/>
  <c r="P953"/>
  <c r="O953"/>
  <c r="P952"/>
  <c r="O952"/>
  <c r="P951"/>
  <c r="O951"/>
  <c r="P950"/>
  <c r="O950"/>
  <c r="P949"/>
  <c r="O949"/>
  <c r="P948"/>
  <c r="O948"/>
  <c r="P947"/>
  <c r="O947"/>
  <c r="P946"/>
  <c r="O946"/>
  <c r="P945"/>
  <c r="O945"/>
  <c r="P944"/>
  <c r="O944"/>
  <c r="P943"/>
  <c r="O943"/>
  <c r="P942"/>
  <c r="O942"/>
  <c r="P941"/>
  <c r="O941"/>
  <c r="P940"/>
  <c r="O940"/>
  <c r="P939"/>
  <c r="O939"/>
  <c r="P938"/>
  <c r="O938"/>
  <c r="P937"/>
  <c r="O937"/>
  <c r="P936"/>
  <c r="O936"/>
  <c r="P935"/>
  <c r="O935"/>
  <c r="P934"/>
  <c r="O934"/>
  <c r="P933"/>
  <c r="O933"/>
  <c r="P932"/>
  <c r="O932"/>
  <c r="P931"/>
  <c r="O931"/>
  <c r="P930"/>
  <c r="O930"/>
  <c r="P929"/>
  <c r="O929"/>
  <c r="P928"/>
  <c r="O928"/>
  <c r="P927"/>
  <c r="O927"/>
  <c r="P926"/>
  <c r="O926"/>
  <c r="P925"/>
  <c r="O925"/>
  <c r="P924"/>
  <c r="O924"/>
  <c r="P923"/>
  <c r="O923"/>
  <c r="P922"/>
  <c r="O922"/>
  <c r="P921"/>
  <c r="O921"/>
  <c r="P920"/>
  <c r="O920"/>
  <c r="P919"/>
  <c r="O919"/>
  <c r="P918"/>
  <c r="O918"/>
  <c r="P917"/>
  <c r="O917"/>
  <c r="P916"/>
  <c r="O916"/>
  <c r="P915"/>
  <c r="O915"/>
  <c r="P914"/>
  <c r="O914"/>
  <c r="P913"/>
  <c r="O913"/>
  <c r="P912"/>
  <c r="O912"/>
  <c r="P911"/>
  <c r="O911"/>
  <c r="P910"/>
  <c r="O910"/>
  <c r="P909"/>
  <c r="O909"/>
  <c r="P908"/>
  <c r="O908"/>
  <c r="P907"/>
  <c r="O907"/>
  <c r="P906"/>
  <c r="O906"/>
  <c r="P905"/>
  <c r="O905"/>
  <c r="P904"/>
  <c r="O904"/>
  <c r="P903"/>
  <c r="O903"/>
  <c r="P902"/>
  <c r="O902"/>
  <c r="P901"/>
  <c r="O901"/>
  <c r="P900"/>
  <c r="O900"/>
  <c r="P899"/>
  <c r="O899"/>
  <c r="P898"/>
  <c r="O898"/>
  <c r="P897"/>
  <c r="O897"/>
  <c r="P896"/>
  <c r="O896"/>
  <c r="P895"/>
  <c r="O895"/>
  <c r="P894"/>
  <c r="O894"/>
  <c r="P893"/>
  <c r="O893"/>
  <c r="P892"/>
  <c r="O892"/>
  <c r="P891"/>
  <c r="O891"/>
  <c r="P890"/>
  <c r="O890"/>
  <c r="P889"/>
  <c r="O889"/>
  <c r="P888"/>
  <c r="O888"/>
  <c r="P887"/>
  <c r="O887"/>
  <c r="P886"/>
  <c r="O886"/>
  <c r="P885"/>
  <c r="O885"/>
  <c r="P884"/>
  <c r="O884"/>
  <c r="P883"/>
  <c r="O883"/>
  <c r="P882"/>
  <c r="O882"/>
  <c r="P881"/>
  <c r="O881"/>
  <c r="P880"/>
  <c r="O880"/>
  <c r="P879"/>
  <c r="O879"/>
  <c r="P878"/>
  <c r="O878"/>
  <c r="P877"/>
  <c r="O877"/>
  <c r="P876"/>
  <c r="O876"/>
  <c r="P875"/>
  <c r="O875"/>
  <c r="P874"/>
  <c r="O874"/>
  <c r="P873"/>
  <c r="O873"/>
  <c r="P872"/>
  <c r="O872"/>
  <c r="P871"/>
  <c r="O871"/>
  <c r="P870"/>
  <c r="O870"/>
  <c r="P869"/>
  <c r="O869"/>
  <c r="P868"/>
  <c r="O868"/>
  <c r="P867"/>
  <c r="O867"/>
  <c r="P866"/>
  <c r="O866"/>
  <c r="P865"/>
  <c r="O865"/>
  <c r="P864"/>
  <c r="O864"/>
  <c r="P863"/>
  <c r="O863"/>
  <c r="P862"/>
  <c r="O862"/>
  <c r="P861"/>
  <c r="O861"/>
  <c r="P860"/>
  <c r="O860"/>
  <c r="P859"/>
  <c r="O859"/>
  <c r="P858"/>
  <c r="O858"/>
  <c r="P857"/>
  <c r="O857"/>
  <c r="P856"/>
  <c r="O856"/>
  <c r="P855"/>
  <c r="O855"/>
  <c r="P854"/>
  <c r="O854"/>
  <c r="P853"/>
  <c r="O853"/>
  <c r="P852"/>
  <c r="O852"/>
  <c r="P851"/>
  <c r="O851"/>
  <c r="P850"/>
  <c r="O850"/>
  <c r="P849"/>
  <c r="O849"/>
  <c r="P848"/>
  <c r="O848"/>
  <c r="P847"/>
  <c r="O847"/>
  <c r="P846"/>
  <c r="O846"/>
  <c r="P845"/>
  <c r="O845"/>
  <c r="P844"/>
  <c r="O844"/>
  <c r="P843"/>
  <c r="O843"/>
  <c r="P842"/>
  <c r="O842"/>
  <c r="P841"/>
  <c r="O841"/>
  <c r="P840"/>
  <c r="O840"/>
  <c r="P839"/>
  <c r="O839"/>
  <c r="P838"/>
  <c r="O838"/>
  <c r="P837"/>
  <c r="O837"/>
  <c r="P836"/>
  <c r="O836"/>
  <c r="P835"/>
  <c r="O835"/>
  <c r="P834"/>
  <c r="O834"/>
  <c r="P833"/>
  <c r="O833"/>
  <c r="P832"/>
  <c r="O832"/>
  <c r="P831"/>
  <c r="O831"/>
  <c r="P830"/>
  <c r="O830"/>
  <c r="P829"/>
  <c r="O829"/>
  <c r="P828"/>
  <c r="O828"/>
  <c r="P827"/>
  <c r="O827"/>
  <c r="P826"/>
  <c r="O826"/>
  <c r="P825"/>
  <c r="O825"/>
  <c r="P824"/>
  <c r="O824"/>
  <c r="P823"/>
  <c r="O823"/>
  <c r="P822"/>
  <c r="O822"/>
  <c r="P821"/>
  <c r="O821"/>
  <c r="P820"/>
  <c r="O820"/>
  <c r="P819"/>
  <c r="O819"/>
  <c r="P818"/>
  <c r="O818"/>
  <c r="P817"/>
  <c r="O817"/>
  <c r="P816"/>
  <c r="O816"/>
  <c r="P815"/>
  <c r="O815"/>
  <c r="P814"/>
  <c r="O814"/>
  <c r="P813"/>
  <c r="O813"/>
  <c r="P812"/>
  <c r="O812"/>
  <c r="P811"/>
  <c r="O811"/>
  <c r="P810"/>
  <c r="O810"/>
  <c r="P809"/>
  <c r="O809"/>
  <c r="P808"/>
  <c r="O808"/>
  <c r="P807"/>
  <c r="O807"/>
  <c r="P806"/>
  <c r="O806"/>
  <c r="P805"/>
  <c r="O805"/>
  <c r="P804"/>
  <c r="O804"/>
  <c r="P803"/>
  <c r="O803"/>
  <c r="P802"/>
  <c r="O802"/>
  <c r="P801"/>
  <c r="O801"/>
  <c r="P800"/>
  <c r="O800"/>
  <c r="P799"/>
  <c r="O799"/>
  <c r="P798"/>
  <c r="O798"/>
  <c r="P797"/>
  <c r="O797"/>
  <c r="P796"/>
  <c r="O796"/>
  <c r="P795"/>
  <c r="O795"/>
  <c r="P794"/>
  <c r="O794"/>
  <c r="P793"/>
  <c r="O793"/>
  <c r="P792"/>
  <c r="O792"/>
  <c r="P791"/>
  <c r="O791"/>
  <c r="P790"/>
  <c r="O790"/>
  <c r="P789"/>
  <c r="O789"/>
  <c r="P788"/>
  <c r="O788"/>
  <c r="P787"/>
  <c r="O787"/>
  <c r="P786"/>
  <c r="O786"/>
  <c r="P785"/>
  <c r="O785"/>
  <c r="P784"/>
  <c r="O784"/>
  <c r="P783"/>
  <c r="O783"/>
  <c r="P782"/>
  <c r="O782"/>
  <c r="P781"/>
  <c r="O781"/>
  <c r="P780"/>
  <c r="O780"/>
  <c r="P779"/>
  <c r="O779"/>
  <c r="P778"/>
  <c r="O778"/>
  <c r="P777"/>
  <c r="O777"/>
  <c r="P776"/>
  <c r="O776"/>
  <c r="P775"/>
  <c r="O775"/>
  <c r="P774"/>
  <c r="O774"/>
  <c r="P773"/>
  <c r="O773"/>
  <c r="P772"/>
  <c r="O772"/>
  <c r="P771"/>
  <c r="O771"/>
  <c r="P770"/>
  <c r="O770"/>
  <c r="P769"/>
  <c r="O769"/>
  <c r="P768"/>
  <c r="O768"/>
  <c r="P767"/>
  <c r="O767"/>
  <c r="P766"/>
  <c r="O766"/>
  <c r="P765"/>
  <c r="O765"/>
  <c r="P764"/>
  <c r="O764"/>
  <c r="P763"/>
  <c r="O763"/>
  <c r="P762"/>
  <c r="O762"/>
  <c r="P761"/>
  <c r="O761"/>
  <c r="P760"/>
  <c r="O760"/>
  <c r="P759"/>
  <c r="O759"/>
  <c r="P758"/>
  <c r="O758"/>
  <c r="P757"/>
  <c r="O757"/>
  <c r="P756"/>
  <c r="O756"/>
  <c r="P755"/>
  <c r="O755"/>
  <c r="P754"/>
  <c r="O754"/>
  <c r="P753"/>
  <c r="O753"/>
  <c r="P752"/>
  <c r="O752"/>
  <c r="P751"/>
  <c r="O751"/>
  <c r="P750"/>
  <c r="O750"/>
  <c r="P749"/>
  <c r="O749"/>
  <c r="P748"/>
  <c r="O748"/>
  <c r="P747"/>
  <c r="O747"/>
  <c r="P746"/>
  <c r="O746"/>
  <c r="P745"/>
  <c r="O745"/>
  <c r="P744"/>
  <c r="O744"/>
  <c r="P743"/>
  <c r="O743"/>
  <c r="P742"/>
  <c r="O742"/>
  <c r="P741"/>
  <c r="O741"/>
  <c r="P740"/>
  <c r="O740"/>
  <c r="P739"/>
  <c r="O739"/>
  <c r="P738"/>
  <c r="O738"/>
  <c r="P737"/>
  <c r="O737"/>
  <c r="P736"/>
  <c r="O736"/>
  <c r="P735"/>
  <c r="O735"/>
  <c r="P734"/>
  <c r="O734"/>
  <c r="P733"/>
  <c r="O733"/>
  <c r="P732"/>
  <c r="O732"/>
  <c r="P731"/>
  <c r="O731"/>
  <c r="P730"/>
  <c r="O730"/>
  <c r="P729"/>
  <c r="O729"/>
  <c r="P728"/>
  <c r="O728"/>
  <c r="P727"/>
  <c r="O727"/>
  <c r="P726"/>
  <c r="O726"/>
  <c r="P725"/>
  <c r="O725"/>
  <c r="P724"/>
  <c r="O724"/>
  <c r="P723"/>
  <c r="O723"/>
  <c r="P722"/>
  <c r="O722"/>
  <c r="P721"/>
  <c r="O721"/>
  <c r="P720"/>
  <c r="O720"/>
  <c r="P719"/>
  <c r="O719"/>
  <c r="P718"/>
  <c r="O718"/>
  <c r="P717"/>
  <c r="O717"/>
  <c r="P716"/>
  <c r="O716"/>
  <c r="P715"/>
  <c r="O715"/>
  <c r="P714"/>
  <c r="O714"/>
  <c r="P713"/>
  <c r="O713"/>
  <c r="P712"/>
  <c r="O712"/>
  <c r="P711"/>
  <c r="O711"/>
  <c r="P710"/>
  <c r="O710"/>
  <c r="P709"/>
  <c r="O709"/>
  <c r="P708"/>
  <c r="O708"/>
  <c r="P707"/>
  <c r="O707"/>
  <c r="P706"/>
  <c r="O706"/>
  <c r="P705"/>
  <c r="O705"/>
  <c r="P704"/>
  <c r="O704"/>
  <c r="P703"/>
  <c r="O703"/>
  <c r="P702"/>
  <c r="O702"/>
  <c r="P701"/>
  <c r="O701"/>
  <c r="P700"/>
  <c r="O700"/>
  <c r="P699"/>
  <c r="O699"/>
  <c r="P698"/>
  <c r="O698"/>
  <c r="P697"/>
  <c r="O697"/>
  <c r="P696"/>
  <c r="O696"/>
  <c r="P695"/>
  <c r="O695"/>
  <c r="P694"/>
  <c r="O694"/>
  <c r="P693"/>
  <c r="O693"/>
  <c r="P692"/>
  <c r="O692"/>
  <c r="P691"/>
  <c r="O691"/>
  <c r="P690"/>
  <c r="O690"/>
  <c r="P689"/>
  <c r="O689"/>
  <c r="P688"/>
  <c r="O688"/>
  <c r="P687"/>
  <c r="O687"/>
  <c r="P686"/>
  <c r="O686"/>
  <c r="P685"/>
  <c r="O685"/>
  <c r="P684"/>
  <c r="O684"/>
  <c r="P683"/>
  <c r="O683"/>
  <c r="P682"/>
  <c r="O682"/>
  <c r="P681"/>
  <c r="O681"/>
  <c r="P680"/>
  <c r="O680"/>
  <c r="P679"/>
  <c r="O679"/>
  <c r="P678"/>
  <c r="O678"/>
  <c r="P677"/>
  <c r="O677"/>
  <c r="P676"/>
  <c r="O676"/>
  <c r="P675"/>
  <c r="O675"/>
  <c r="P674"/>
  <c r="O674"/>
  <c r="P673"/>
  <c r="O673"/>
  <c r="P672"/>
  <c r="O672"/>
  <c r="P671"/>
  <c r="O671"/>
  <c r="P670"/>
  <c r="O670"/>
  <c r="P669"/>
  <c r="O669"/>
  <c r="P668"/>
  <c r="O668"/>
  <c r="P667"/>
  <c r="O667"/>
  <c r="P666"/>
  <c r="O666"/>
  <c r="P665"/>
  <c r="O665"/>
  <c r="P664"/>
  <c r="O664"/>
  <c r="P663"/>
  <c r="O663"/>
  <c r="P662"/>
  <c r="O662"/>
  <c r="P661"/>
  <c r="O661"/>
  <c r="P660"/>
  <c r="O660"/>
  <c r="P659"/>
  <c r="O659"/>
  <c r="P658"/>
  <c r="O658"/>
  <c r="P657"/>
  <c r="O657"/>
  <c r="P656"/>
  <c r="O656"/>
  <c r="P655"/>
  <c r="O655"/>
  <c r="P654"/>
  <c r="O654"/>
  <c r="P653"/>
  <c r="O653"/>
  <c r="P652"/>
  <c r="O652"/>
  <c r="P651"/>
  <c r="O651"/>
  <c r="P650"/>
  <c r="O650"/>
  <c r="P649"/>
  <c r="O649"/>
  <c r="P648"/>
  <c r="O648"/>
  <c r="P647"/>
  <c r="O647"/>
  <c r="P646"/>
  <c r="O646"/>
  <c r="P645"/>
  <c r="O645"/>
  <c r="P644"/>
  <c r="O644"/>
  <c r="P643"/>
  <c r="O643"/>
  <c r="P642"/>
  <c r="O642"/>
  <c r="P641"/>
  <c r="O641"/>
  <c r="P640"/>
  <c r="O640"/>
  <c r="P639"/>
  <c r="O639"/>
  <c r="P638"/>
  <c r="O638"/>
  <c r="P637"/>
  <c r="O637"/>
  <c r="P636"/>
  <c r="O636"/>
  <c r="P635"/>
  <c r="O635"/>
  <c r="P634"/>
  <c r="O634"/>
  <c r="P633"/>
  <c r="O633"/>
  <c r="P632"/>
  <c r="O632"/>
  <c r="P631"/>
  <c r="O631"/>
  <c r="P630"/>
  <c r="O630"/>
  <c r="P629"/>
  <c r="O629"/>
  <c r="P628"/>
  <c r="O628"/>
  <c r="P627"/>
  <c r="O627"/>
  <c r="P626"/>
  <c r="O626"/>
  <c r="P625"/>
  <c r="O625"/>
  <c r="P624"/>
  <c r="O624"/>
  <c r="P623"/>
  <c r="O623"/>
  <c r="P622"/>
  <c r="O622"/>
  <c r="P621"/>
  <c r="O621"/>
  <c r="P620"/>
  <c r="O620"/>
  <c r="P619"/>
  <c r="O619"/>
  <c r="P618"/>
  <c r="O618"/>
  <c r="P617"/>
  <c r="O617"/>
  <c r="P616"/>
  <c r="O616"/>
  <c r="P615"/>
  <c r="O615"/>
  <c r="P614"/>
  <c r="O614"/>
  <c r="P613"/>
  <c r="O613"/>
  <c r="P612"/>
  <c r="O612"/>
  <c r="P611"/>
  <c r="O611"/>
  <c r="P610"/>
  <c r="O610"/>
  <c r="P609"/>
  <c r="O609"/>
  <c r="P608"/>
  <c r="O608"/>
  <c r="P607"/>
  <c r="O607"/>
  <c r="P606"/>
  <c r="O606"/>
  <c r="P605"/>
  <c r="O605"/>
  <c r="P604"/>
  <c r="O604"/>
  <c r="P603"/>
  <c r="O603"/>
  <c r="P602"/>
  <c r="O602"/>
  <c r="P601"/>
  <c r="O601"/>
  <c r="P600"/>
  <c r="O600"/>
  <c r="P599"/>
  <c r="O599"/>
  <c r="P598"/>
  <c r="O598"/>
  <c r="P597"/>
  <c r="O597"/>
  <c r="P596"/>
  <c r="O596"/>
  <c r="P595"/>
  <c r="O595"/>
  <c r="P594"/>
  <c r="O594"/>
  <c r="P593"/>
  <c r="O593"/>
  <c r="P592"/>
  <c r="O592"/>
  <c r="P591"/>
  <c r="O591"/>
  <c r="P590"/>
  <c r="O590"/>
  <c r="P589"/>
  <c r="O589"/>
  <c r="P588"/>
  <c r="O588"/>
  <c r="P587"/>
  <c r="O587"/>
  <c r="P586"/>
  <c r="O586"/>
  <c r="P585"/>
  <c r="O585"/>
  <c r="P584"/>
  <c r="O584"/>
  <c r="P583"/>
  <c r="O583"/>
  <c r="P582"/>
  <c r="O582"/>
  <c r="P581"/>
  <c r="O581"/>
  <c r="P580"/>
  <c r="O580"/>
  <c r="P579"/>
  <c r="O579"/>
  <c r="P578"/>
  <c r="O578"/>
  <c r="P577"/>
  <c r="O577"/>
  <c r="P576"/>
  <c r="O576"/>
  <c r="P575"/>
  <c r="O575"/>
  <c r="P574"/>
  <c r="O574"/>
  <c r="P573"/>
  <c r="O573"/>
  <c r="P572"/>
  <c r="O572"/>
  <c r="P571"/>
  <c r="O571"/>
  <c r="P570"/>
  <c r="O570"/>
  <c r="P569"/>
  <c r="O569"/>
  <c r="P568"/>
  <c r="O568"/>
  <c r="P567"/>
  <c r="O567"/>
  <c r="P566"/>
  <c r="O566"/>
  <c r="P565"/>
  <c r="O565"/>
  <c r="P564"/>
  <c r="O564"/>
  <c r="P563"/>
  <c r="O563"/>
  <c r="P562"/>
  <c r="O562"/>
  <c r="P561"/>
  <c r="O561"/>
  <c r="P560"/>
  <c r="O560"/>
  <c r="P559"/>
  <c r="O559"/>
  <c r="P558"/>
  <c r="O558"/>
  <c r="P557"/>
  <c r="O557"/>
  <c r="P556"/>
  <c r="O556"/>
  <c r="P555"/>
  <c r="O555"/>
  <c r="P554"/>
  <c r="O554"/>
  <c r="P553"/>
  <c r="O553"/>
  <c r="P552"/>
  <c r="O552"/>
  <c r="P551"/>
  <c r="O551"/>
  <c r="P550"/>
  <c r="O550"/>
  <c r="P549"/>
  <c r="O549"/>
  <c r="P548"/>
  <c r="O548"/>
  <c r="P547"/>
  <c r="O547"/>
  <c r="P546"/>
  <c r="O546"/>
  <c r="P545"/>
  <c r="O545"/>
  <c r="P544"/>
  <c r="O544"/>
  <c r="P543"/>
  <c r="O543"/>
  <c r="P542"/>
  <c r="O542"/>
  <c r="P541"/>
  <c r="O541"/>
  <c r="P540"/>
  <c r="O540"/>
  <c r="P539"/>
  <c r="O539"/>
  <c r="P538"/>
  <c r="O538"/>
  <c r="P537"/>
  <c r="O537"/>
  <c r="P536"/>
  <c r="O536"/>
  <c r="P535"/>
  <c r="O535"/>
  <c r="P534"/>
  <c r="O534"/>
  <c r="P533"/>
  <c r="O533"/>
  <c r="P532"/>
  <c r="O532"/>
  <c r="P531"/>
  <c r="O531"/>
  <c r="P530"/>
  <c r="O530"/>
  <c r="P529"/>
  <c r="O529"/>
  <c r="P528"/>
  <c r="O528"/>
  <c r="P527"/>
  <c r="O527"/>
  <c r="P526"/>
  <c r="O526"/>
  <c r="P525"/>
  <c r="O525"/>
  <c r="P524"/>
  <c r="O524"/>
  <c r="P523"/>
  <c r="O523"/>
  <c r="P522"/>
  <c r="O522"/>
  <c r="P521"/>
  <c r="O521"/>
  <c r="P520"/>
  <c r="O520"/>
  <c r="P519"/>
  <c r="O519"/>
  <c r="P518"/>
  <c r="O518"/>
  <c r="P517"/>
  <c r="O517"/>
  <c r="P516"/>
  <c r="O516"/>
  <c r="P515"/>
  <c r="O515"/>
  <c r="P514"/>
  <c r="O514"/>
  <c r="P513"/>
  <c r="O513"/>
  <c r="P512"/>
  <c r="O512"/>
  <c r="P511"/>
  <c r="O511"/>
  <c r="P510"/>
  <c r="O510"/>
  <c r="P509"/>
  <c r="O509"/>
  <c r="P508"/>
  <c r="O508"/>
  <c r="P507"/>
  <c r="O507"/>
  <c r="P506"/>
  <c r="O506"/>
  <c r="P505"/>
  <c r="O505"/>
  <c r="P504"/>
  <c r="O504"/>
  <c r="P503"/>
  <c r="O503"/>
  <c r="P502"/>
  <c r="O502"/>
  <c r="P501"/>
  <c r="O501"/>
  <c r="P500"/>
  <c r="O500"/>
  <c r="P499"/>
  <c r="O499"/>
  <c r="P498"/>
  <c r="O498"/>
  <c r="P497"/>
  <c r="O497"/>
  <c r="P496"/>
  <c r="O496"/>
  <c r="P495"/>
  <c r="O495"/>
  <c r="P494"/>
  <c r="O494"/>
  <c r="P493"/>
  <c r="O493"/>
  <c r="P492"/>
  <c r="O492"/>
  <c r="P491"/>
  <c r="O491"/>
  <c r="P490"/>
  <c r="O490"/>
  <c r="P489"/>
  <c r="O489"/>
  <c r="P488"/>
  <c r="O488"/>
  <c r="P487"/>
  <c r="O487"/>
  <c r="P486"/>
  <c r="O486"/>
  <c r="P485"/>
  <c r="O485"/>
  <c r="P484"/>
  <c r="O484"/>
  <c r="P483"/>
  <c r="O483"/>
  <c r="P482"/>
  <c r="O482"/>
  <c r="P481"/>
  <c r="O481"/>
  <c r="P480"/>
  <c r="O480"/>
  <c r="P479"/>
  <c r="O479"/>
  <c r="P478"/>
  <c r="O478"/>
  <c r="P477"/>
  <c r="O477"/>
  <c r="P476"/>
  <c r="O476"/>
  <c r="P475"/>
  <c r="O475"/>
  <c r="P474"/>
  <c r="O474"/>
  <c r="P473"/>
  <c r="O473"/>
  <c r="P472"/>
  <c r="O472"/>
  <c r="P471"/>
  <c r="O471"/>
  <c r="P470"/>
  <c r="O470"/>
  <c r="P469"/>
  <c r="O469"/>
  <c r="P468"/>
  <c r="O468"/>
  <c r="P467"/>
  <c r="O467"/>
  <c r="P466"/>
  <c r="O466"/>
  <c r="P465"/>
  <c r="O465"/>
  <c r="P464"/>
  <c r="O464"/>
  <c r="P463"/>
  <c r="O463"/>
  <c r="P462"/>
  <c r="O462"/>
  <c r="P461"/>
  <c r="O461"/>
  <c r="P460"/>
  <c r="O460"/>
  <c r="P459"/>
  <c r="O459"/>
  <c r="P458"/>
  <c r="O458"/>
  <c r="P457"/>
  <c r="O457"/>
  <c r="P456"/>
  <c r="O456"/>
  <c r="P455"/>
  <c r="O455"/>
  <c r="P454"/>
  <c r="O454"/>
  <c r="P453"/>
  <c r="O453"/>
  <c r="P452"/>
  <c r="O452"/>
  <c r="P451"/>
  <c r="O451"/>
  <c r="P450"/>
  <c r="O450"/>
  <c r="P449"/>
  <c r="O449"/>
  <c r="P448"/>
  <c r="O448"/>
  <c r="P447"/>
  <c r="O447"/>
  <c r="P446"/>
  <c r="O446"/>
  <c r="P445"/>
  <c r="O445"/>
  <c r="P444"/>
  <c r="O444"/>
  <c r="P443"/>
  <c r="O443"/>
  <c r="P442"/>
  <c r="O442"/>
  <c r="P441"/>
  <c r="O441"/>
  <c r="P440"/>
  <c r="O440"/>
  <c r="P439"/>
  <c r="O439"/>
  <c r="P438"/>
  <c r="O438"/>
  <c r="P437"/>
  <c r="O437"/>
  <c r="P436"/>
  <c r="O436"/>
  <c r="P435"/>
  <c r="O435"/>
  <c r="P434"/>
  <c r="O434"/>
  <c r="P433"/>
  <c r="O433"/>
  <c r="P432"/>
  <c r="O432"/>
  <c r="P431"/>
  <c r="O431"/>
  <c r="P430"/>
  <c r="O430"/>
  <c r="P429"/>
  <c r="O429"/>
  <c r="P428"/>
  <c r="O428"/>
  <c r="P427"/>
  <c r="O427"/>
  <c r="P426"/>
  <c r="O426"/>
  <c r="P425"/>
  <c r="O425"/>
  <c r="P424"/>
  <c r="O424"/>
  <c r="P423"/>
  <c r="O423"/>
  <c r="P422"/>
  <c r="O422"/>
  <c r="P421"/>
  <c r="O421"/>
  <c r="P420"/>
  <c r="O420"/>
  <c r="P419"/>
  <c r="O419"/>
  <c r="P418"/>
  <c r="O418"/>
  <c r="P417"/>
  <c r="O417"/>
  <c r="P416"/>
  <c r="O416"/>
  <c r="P415"/>
  <c r="O415"/>
  <c r="P414"/>
  <c r="O414"/>
  <c r="P413"/>
  <c r="O413"/>
  <c r="P412"/>
  <c r="O412"/>
  <c r="P411"/>
  <c r="O411"/>
  <c r="P410"/>
  <c r="O410"/>
  <c r="P409"/>
  <c r="O409"/>
  <c r="P408"/>
  <c r="O408"/>
  <c r="P407"/>
  <c r="O407"/>
  <c r="P406"/>
  <c r="O406"/>
  <c r="P405"/>
  <c r="O405"/>
  <c r="P404"/>
  <c r="O404"/>
  <c r="P403"/>
  <c r="O403"/>
  <c r="P402"/>
  <c r="O402"/>
  <c r="P401"/>
  <c r="O401"/>
  <c r="P400"/>
  <c r="O400"/>
  <c r="P399"/>
  <c r="O399"/>
  <c r="P398"/>
  <c r="O398"/>
  <c r="P397"/>
  <c r="O397"/>
  <c r="P396"/>
  <c r="O396"/>
  <c r="P395"/>
  <c r="O395"/>
  <c r="P394"/>
  <c r="O394"/>
  <c r="P393"/>
  <c r="O393"/>
  <c r="P392"/>
  <c r="O392"/>
  <c r="P391"/>
  <c r="O391"/>
  <c r="P390"/>
  <c r="O390"/>
  <c r="P389"/>
  <c r="O389"/>
  <c r="P388"/>
  <c r="O388"/>
  <c r="P387"/>
  <c r="O387"/>
  <c r="P386"/>
  <c r="O386"/>
  <c r="P385"/>
  <c r="O385"/>
  <c r="P384"/>
  <c r="O384"/>
  <c r="P383"/>
  <c r="O383"/>
  <c r="P382"/>
  <c r="O382"/>
  <c r="P381"/>
  <c r="O381"/>
  <c r="P380"/>
  <c r="O380"/>
  <c r="P379"/>
  <c r="O379"/>
  <c r="P378"/>
  <c r="O378"/>
  <c r="P377"/>
  <c r="O377"/>
  <c r="P376"/>
  <c r="O376"/>
  <c r="P375"/>
  <c r="O375"/>
  <c r="P374"/>
  <c r="O374"/>
  <c r="P373"/>
  <c r="O373"/>
  <c r="P372"/>
  <c r="O372"/>
  <c r="P371"/>
  <c r="O371"/>
  <c r="P370"/>
  <c r="O370"/>
  <c r="P369"/>
  <c r="O369"/>
  <c r="P368"/>
  <c r="O368"/>
  <c r="P367"/>
  <c r="O367"/>
  <c r="P366"/>
  <c r="O366"/>
  <c r="P365"/>
  <c r="O365"/>
  <c r="P364"/>
  <c r="O364"/>
  <c r="P363"/>
  <c r="O363"/>
  <c r="P362"/>
  <c r="O362"/>
  <c r="P361"/>
  <c r="O361"/>
  <c r="P360"/>
  <c r="O360"/>
  <c r="P359"/>
  <c r="O359"/>
  <c r="P358"/>
  <c r="O358"/>
  <c r="P357"/>
  <c r="O357"/>
  <c r="P356"/>
  <c r="O356"/>
  <c r="P355"/>
  <c r="O355"/>
  <c r="P354"/>
  <c r="O354"/>
  <c r="P353"/>
  <c r="O353"/>
  <c r="P352"/>
  <c r="O352"/>
  <c r="P351"/>
  <c r="O351"/>
  <c r="P350"/>
  <c r="O350"/>
  <c r="P349"/>
  <c r="O349"/>
  <c r="P348"/>
  <c r="O348"/>
  <c r="P347"/>
  <c r="O347"/>
  <c r="P346"/>
  <c r="O346"/>
  <c r="P345"/>
  <c r="O345"/>
  <c r="P344"/>
  <c r="O344"/>
  <c r="P343"/>
  <c r="O343"/>
  <c r="P342"/>
  <c r="O342"/>
  <c r="P341"/>
  <c r="O341"/>
  <c r="P340"/>
  <c r="O340"/>
  <c r="P339"/>
  <c r="O339"/>
  <c r="P338"/>
  <c r="O338"/>
  <c r="P337"/>
  <c r="O337"/>
  <c r="P336"/>
  <c r="O336"/>
  <c r="P335"/>
  <c r="O335"/>
  <c r="P334"/>
  <c r="O334"/>
  <c r="P333"/>
  <c r="O333"/>
  <c r="P332"/>
  <c r="O332"/>
  <c r="P331"/>
  <c r="O331"/>
  <c r="P330"/>
  <c r="O330"/>
  <c r="P329"/>
  <c r="O329"/>
  <c r="P328"/>
  <c r="O328"/>
  <c r="P327"/>
  <c r="O327"/>
  <c r="P326"/>
  <c r="O326"/>
  <c r="P325"/>
  <c r="O325"/>
  <c r="P324"/>
  <c r="O324"/>
  <c r="P323"/>
  <c r="O323"/>
  <c r="P322"/>
  <c r="O322"/>
  <c r="P321"/>
  <c r="O321"/>
  <c r="P320"/>
  <c r="O320"/>
  <c r="P319"/>
  <c r="O319"/>
  <c r="P318"/>
  <c r="O318"/>
  <c r="P317"/>
  <c r="O317"/>
  <c r="P316"/>
  <c r="O316"/>
  <c r="P315"/>
  <c r="O315"/>
  <c r="P314"/>
  <c r="O314"/>
  <c r="P313"/>
  <c r="O313"/>
  <c r="P312"/>
  <c r="O312"/>
  <c r="P311"/>
  <c r="O311"/>
  <c r="P310"/>
  <c r="O310"/>
  <c r="P309"/>
  <c r="O309"/>
  <c r="P308"/>
  <c r="O308"/>
  <c r="P307"/>
  <c r="O307"/>
  <c r="P306"/>
  <c r="O306"/>
  <c r="P305"/>
  <c r="O305"/>
  <c r="P304"/>
  <c r="O304"/>
  <c r="P303"/>
  <c r="O303"/>
  <c r="P302"/>
  <c r="O302"/>
  <c r="P301"/>
  <c r="O301"/>
  <c r="P300"/>
  <c r="O300"/>
  <c r="P299"/>
  <c r="O299"/>
  <c r="P298"/>
  <c r="O298"/>
  <c r="P297"/>
  <c r="O297"/>
  <c r="P296"/>
  <c r="O296"/>
  <c r="P295"/>
  <c r="O295"/>
  <c r="P294"/>
  <c r="O294"/>
  <c r="P293"/>
  <c r="O293"/>
  <c r="P292"/>
  <c r="O292"/>
  <c r="P291"/>
  <c r="O291"/>
  <c r="P290"/>
  <c r="O290"/>
  <c r="P289"/>
  <c r="O289"/>
  <c r="P288"/>
  <c r="O288"/>
  <c r="P287"/>
  <c r="O287"/>
  <c r="P286"/>
  <c r="O286"/>
  <c r="P285"/>
  <c r="O285"/>
  <c r="P284"/>
  <c r="O284"/>
  <c r="P283"/>
  <c r="O283"/>
  <c r="P282"/>
  <c r="O282"/>
  <c r="P281"/>
  <c r="O281"/>
  <c r="P280"/>
  <c r="O280"/>
  <c r="P279"/>
  <c r="O279"/>
  <c r="P278"/>
  <c r="O278"/>
  <c r="P277"/>
  <c r="O277"/>
  <c r="P276"/>
  <c r="O276"/>
  <c r="P275"/>
  <c r="O275"/>
  <c r="P274"/>
  <c r="O274"/>
  <c r="P273"/>
  <c r="O273"/>
  <c r="P272"/>
  <c r="O272"/>
  <c r="P271"/>
  <c r="O271"/>
  <c r="P270"/>
  <c r="O270"/>
  <c r="P269"/>
  <c r="O269"/>
  <c r="P268"/>
  <c r="O268"/>
  <c r="P267"/>
  <c r="O267"/>
  <c r="P266"/>
  <c r="O266"/>
  <c r="P265"/>
  <c r="O265"/>
  <c r="P264"/>
  <c r="O264"/>
  <c r="P263"/>
  <c r="O263"/>
  <c r="P262"/>
  <c r="O262"/>
  <c r="P261"/>
  <c r="O261"/>
  <c r="P260"/>
  <c r="O260"/>
  <c r="P259"/>
  <c r="O259"/>
  <c r="P258"/>
  <c r="O258"/>
  <c r="P257"/>
  <c r="O257"/>
  <c r="P256"/>
  <c r="O256"/>
  <c r="P255"/>
  <c r="O255"/>
  <c r="P254"/>
  <c r="O254"/>
  <c r="P253"/>
  <c r="O253"/>
  <c r="P252"/>
  <c r="O252"/>
  <c r="P251"/>
  <c r="O251"/>
  <c r="P250"/>
  <c r="O250"/>
  <c r="P249"/>
  <c r="O249"/>
  <c r="P248"/>
  <c r="O248"/>
  <c r="P247"/>
  <c r="O247"/>
  <c r="P246"/>
  <c r="O246"/>
  <c r="P245"/>
  <c r="O245"/>
  <c r="P244"/>
  <c r="O244"/>
  <c r="P243"/>
  <c r="O243"/>
  <c r="P242"/>
  <c r="O242"/>
  <c r="P241"/>
  <c r="O241"/>
  <c r="P240"/>
  <c r="O240"/>
  <c r="P239"/>
  <c r="O239"/>
  <c r="P238"/>
  <c r="O238"/>
  <c r="P237"/>
  <c r="O237"/>
  <c r="P236"/>
  <c r="O236"/>
  <c r="P235"/>
  <c r="O235"/>
  <c r="P234"/>
  <c r="O234"/>
  <c r="P233"/>
  <c r="O233"/>
  <c r="P232"/>
  <c r="O232"/>
  <c r="P231"/>
  <c r="O231"/>
  <c r="P230"/>
  <c r="O230"/>
  <c r="P229"/>
  <c r="O229"/>
  <c r="P228"/>
  <c r="O228"/>
  <c r="P227"/>
  <c r="O227"/>
  <c r="P226"/>
  <c r="O226"/>
  <c r="P225"/>
  <c r="O225"/>
  <c r="P224"/>
  <c r="O224"/>
  <c r="P223"/>
  <c r="O223"/>
  <c r="P222"/>
  <c r="O222"/>
  <c r="P221"/>
  <c r="O221"/>
  <c r="P220"/>
  <c r="O220"/>
  <c r="P219"/>
  <c r="O219"/>
  <c r="P218"/>
  <c r="O218"/>
  <c r="P217"/>
  <c r="O217"/>
  <c r="P216"/>
  <c r="O216"/>
  <c r="P215"/>
  <c r="O215"/>
  <c r="P214"/>
  <c r="O214"/>
  <c r="P213"/>
  <c r="O213"/>
  <c r="P212"/>
  <c r="O212"/>
  <c r="P211"/>
  <c r="O211"/>
  <c r="P210"/>
  <c r="O210"/>
  <c r="P209"/>
  <c r="O209"/>
  <c r="P208"/>
  <c r="O208"/>
  <c r="P207"/>
  <c r="O207"/>
  <c r="P206"/>
  <c r="O206"/>
  <c r="P205"/>
  <c r="O205"/>
  <c r="P204"/>
  <c r="O204"/>
  <c r="P203"/>
  <c r="O203"/>
  <c r="P202"/>
  <c r="O202"/>
  <c r="P201"/>
  <c r="O201"/>
  <c r="P200"/>
  <c r="O200"/>
  <c r="P199"/>
  <c r="O199"/>
  <c r="P198"/>
  <c r="O198"/>
  <c r="P197"/>
  <c r="O197"/>
  <c r="P196"/>
  <c r="O196"/>
  <c r="P195"/>
  <c r="O195"/>
  <c r="P194"/>
  <c r="O194"/>
  <c r="P193"/>
  <c r="O193"/>
  <c r="P192"/>
  <c r="O192"/>
  <c r="P191"/>
  <c r="O191"/>
  <c r="P190"/>
  <c r="O190"/>
  <c r="P189"/>
  <c r="O189"/>
  <c r="P188"/>
  <c r="O188"/>
  <c r="P187"/>
  <c r="O187"/>
  <c r="P186"/>
  <c r="O186"/>
  <c r="P185"/>
  <c r="O185"/>
  <c r="P184"/>
  <c r="O184"/>
  <c r="P183"/>
  <c r="O183"/>
  <c r="P182"/>
  <c r="O182"/>
  <c r="P181"/>
  <c r="O181"/>
  <c r="P180"/>
  <c r="O180"/>
  <c r="P179"/>
  <c r="O179"/>
  <c r="P178"/>
  <c r="O178"/>
  <c r="P177"/>
  <c r="O177"/>
  <c r="P176"/>
  <c r="O176"/>
  <c r="P175"/>
  <c r="O175"/>
  <c r="P174"/>
  <c r="O174"/>
  <c r="P173"/>
  <c r="O173"/>
  <c r="P172"/>
  <c r="O172"/>
  <c r="P171"/>
  <c r="O171"/>
  <c r="P170"/>
  <c r="O170"/>
  <c r="P169"/>
  <c r="O169"/>
  <c r="P168"/>
  <c r="O168"/>
  <c r="P167"/>
  <c r="O167"/>
  <c r="P166"/>
  <c r="O166"/>
  <c r="P165"/>
  <c r="O165"/>
  <c r="P164"/>
  <c r="O164"/>
  <c r="P163"/>
  <c r="O163"/>
  <c r="P162"/>
  <c r="O162"/>
  <c r="P161"/>
  <c r="O161"/>
  <c r="P160"/>
  <c r="O160"/>
  <c r="P159"/>
  <c r="O159"/>
  <c r="P158"/>
  <c r="O158"/>
  <c r="P157"/>
  <c r="O157"/>
  <c r="P156"/>
  <c r="O156"/>
  <c r="P155"/>
  <c r="O155"/>
  <c r="P154"/>
  <c r="O154"/>
  <c r="P153"/>
  <c r="O153"/>
  <c r="P152"/>
  <c r="O152"/>
  <c r="P151"/>
  <c r="O151"/>
  <c r="P150"/>
  <c r="O150"/>
  <c r="P149"/>
  <c r="O149"/>
  <c r="P148"/>
  <c r="O148"/>
  <c r="P147"/>
  <c r="O147"/>
  <c r="P146"/>
  <c r="O146"/>
  <c r="P145"/>
  <c r="O145"/>
  <c r="P144"/>
  <c r="O144"/>
  <c r="P143"/>
  <c r="O143"/>
  <c r="P142"/>
  <c r="O142"/>
  <c r="P141"/>
  <c r="O141"/>
  <c r="P140"/>
  <c r="O140"/>
  <c r="P139"/>
  <c r="O139"/>
  <c r="P138"/>
  <c r="O138"/>
  <c r="P137"/>
  <c r="O137"/>
  <c r="P136"/>
  <c r="O136"/>
  <c r="P135"/>
  <c r="O135"/>
  <c r="P134"/>
  <c r="O134"/>
  <c r="P133"/>
  <c r="O133"/>
  <c r="P132"/>
  <c r="O132"/>
  <c r="P131"/>
  <c r="O131"/>
  <c r="P130"/>
  <c r="O130"/>
  <c r="P129"/>
  <c r="O129"/>
  <c r="P128"/>
  <c r="O128"/>
  <c r="P127"/>
  <c r="O127"/>
  <c r="P126"/>
  <c r="O126"/>
  <c r="P125"/>
  <c r="O125"/>
  <c r="P124"/>
  <c r="O124"/>
  <c r="P123"/>
  <c r="O123"/>
  <c r="P122"/>
  <c r="O122"/>
  <c r="P121"/>
  <c r="O121"/>
  <c r="P120"/>
  <c r="O120"/>
  <c r="P119"/>
  <c r="O119"/>
  <c r="P118"/>
  <c r="O118"/>
  <c r="P117"/>
  <c r="O117"/>
  <c r="P116"/>
  <c r="O116"/>
  <c r="P115"/>
  <c r="O115"/>
  <c r="P114"/>
  <c r="O114"/>
  <c r="P113"/>
  <c r="O113"/>
  <c r="P112"/>
  <c r="O112"/>
  <c r="P111"/>
  <c r="O111"/>
  <c r="P110"/>
  <c r="O110"/>
  <c r="P109"/>
  <c r="O109"/>
  <c r="P108"/>
  <c r="O108"/>
  <c r="P107"/>
  <c r="O107"/>
  <c r="P106"/>
  <c r="O106"/>
  <c r="P105"/>
  <c r="O105"/>
  <c r="P104"/>
  <c r="O104"/>
  <c r="P103"/>
  <c r="O103"/>
  <c r="P102"/>
  <c r="O102"/>
  <c r="P101"/>
  <c r="O101"/>
  <c r="P100"/>
  <c r="O100"/>
  <c r="P99"/>
  <c r="O99"/>
  <c r="P98"/>
  <c r="O98"/>
  <c r="P97"/>
  <c r="O97"/>
  <c r="P96"/>
  <c r="O96"/>
  <c r="P95"/>
  <c r="O95"/>
  <c r="P94"/>
  <c r="O94"/>
  <c r="P93"/>
  <c r="O93"/>
  <c r="P92"/>
  <c r="O92"/>
  <c r="P91"/>
  <c r="O91"/>
  <c r="P90"/>
  <c r="O90"/>
  <c r="P89"/>
  <c r="O89"/>
  <c r="P88"/>
  <c r="O88"/>
  <c r="P87"/>
  <c r="O87"/>
  <c r="P86"/>
  <c r="O86"/>
  <c r="P85"/>
  <c r="O85"/>
  <c r="P84"/>
  <c r="O84"/>
  <c r="P83"/>
  <c r="O83"/>
  <c r="P82"/>
  <c r="O82"/>
  <c r="P81"/>
  <c r="O81"/>
  <c r="P80"/>
  <c r="O80"/>
  <c r="P79"/>
  <c r="O79"/>
  <c r="P78"/>
  <c r="O78"/>
  <c r="P77"/>
  <c r="O77"/>
  <c r="P76"/>
  <c r="O76"/>
  <c r="P75"/>
  <c r="O75"/>
  <c r="P74"/>
  <c r="O74"/>
  <c r="P73"/>
  <c r="O73"/>
  <c r="P72"/>
  <c r="O72"/>
  <c r="P71"/>
  <c r="O71"/>
  <c r="P70"/>
  <c r="O70"/>
  <c r="P69"/>
  <c r="O69"/>
  <c r="P68"/>
  <c r="O68"/>
  <c r="P67"/>
  <c r="O67"/>
  <c r="P66"/>
  <c r="O66"/>
  <c r="P65"/>
  <c r="O65"/>
  <c r="P64"/>
  <c r="O64"/>
  <c r="P63"/>
  <c r="O63"/>
  <c r="P62"/>
  <c r="O62"/>
  <c r="P61"/>
  <c r="O61"/>
  <c r="P60"/>
  <c r="O60"/>
  <c r="P59"/>
  <c r="O59"/>
  <c r="P58"/>
  <c r="O58"/>
  <c r="P57"/>
  <c r="O57"/>
  <c r="P56"/>
  <c r="O56"/>
  <c r="P55"/>
  <c r="O55"/>
  <c r="P54"/>
  <c r="O54"/>
  <c r="P53"/>
  <c r="O53"/>
  <c r="P52"/>
  <c r="O52"/>
  <c r="P51"/>
  <c r="O51"/>
  <c r="P50"/>
  <c r="O50"/>
  <c r="P49"/>
  <c r="O49"/>
  <c r="P48"/>
  <c r="O48"/>
  <c r="P47"/>
  <c r="O47"/>
  <c r="P46"/>
  <c r="O46"/>
  <c r="P45"/>
  <c r="O45"/>
  <c r="P44"/>
  <c r="O44"/>
  <c r="P43"/>
  <c r="O43"/>
  <c r="P42"/>
  <c r="O42"/>
  <c r="P41"/>
  <c r="O41"/>
  <c r="P40"/>
  <c r="O40"/>
  <c r="P39"/>
  <c r="O39"/>
  <c r="P38"/>
  <c r="O38"/>
  <c r="P37"/>
  <c r="O37"/>
  <c r="P36"/>
  <c r="O36"/>
  <c r="P35"/>
  <c r="O35"/>
  <c r="P34"/>
  <c r="O34"/>
  <c r="P33"/>
  <c r="O33"/>
  <c r="P32"/>
  <c r="O32"/>
  <c r="P31"/>
  <c r="O31"/>
  <c r="P30"/>
  <c r="O30"/>
  <c r="P29"/>
  <c r="O29"/>
  <c r="P28"/>
  <c r="O28"/>
  <c r="P27"/>
  <c r="O27"/>
  <c r="P26"/>
  <c r="O26"/>
  <c r="P25"/>
  <c r="O25"/>
  <c r="P24"/>
  <c r="O24"/>
  <c r="P23"/>
  <c r="O23"/>
  <c r="P22"/>
  <c r="O22"/>
  <c r="P21"/>
  <c r="O21"/>
  <c r="P20"/>
  <c r="O20"/>
  <c r="P19"/>
  <c r="O19"/>
  <c r="P18"/>
  <c r="O18"/>
  <c r="P17"/>
  <c r="O17"/>
  <c r="P16"/>
  <c r="O16"/>
  <c r="P15"/>
  <c r="O15"/>
  <c r="P14"/>
  <c r="O14"/>
  <c r="P13"/>
  <c r="O13"/>
  <c r="P12"/>
  <c r="O12"/>
  <c r="P11"/>
  <c r="O11"/>
  <c r="P10"/>
  <c r="O10"/>
  <c r="P9"/>
  <c r="O9"/>
  <c r="P8"/>
  <c r="O8"/>
  <c r="P7"/>
  <c r="O7"/>
  <c r="P6"/>
  <c r="O6"/>
  <c r="P5"/>
  <c r="O5"/>
  <c r="P4"/>
  <c r="O4"/>
  <c r="P3"/>
  <c r="O3"/>
  <c r="P2"/>
  <c r="O2"/>
  <c r="N70" i="6"/>
  <c r="M70"/>
  <c r="N69"/>
  <c r="M69"/>
  <c r="N68"/>
  <c r="M68"/>
  <c r="N67"/>
  <c r="M67"/>
  <c r="N66"/>
  <c r="M66"/>
  <c r="N65"/>
  <c r="M65"/>
  <c r="N64"/>
  <c r="M64"/>
  <c r="N63"/>
  <c r="M63"/>
  <c r="N62"/>
  <c r="M62"/>
  <c r="N61"/>
  <c r="M61"/>
  <c r="N60"/>
  <c r="M60"/>
  <c r="N59"/>
  <c r="M59"/>
  <c r="N58"/>
  <c r="M58"/>
  <c r="N57"/>
  <c r="M57"/>
  <c r="N56"/>
  <c r="M56"/>
  <c r="N55"/>
  <c r="M55"/>
  <c r="N54"/>
  <c r="M54"/>
  <c r="N53"/>
  <c r="M53"/>
  <c r="N52"/>
  <c r="M52"/>
  <c r="N51"/>
  <c r="M51"/>
  <c r="N50"/>
  <c r="M50"/>
  <c r="N49"/>
  <c r="M49"/>
  <c r="N48"/>
  <c r="M48"/>
  <c r="N47"/>
  <c r="M47"/>
  <c r="N46"/>
  <c r="M46"/>
  <c r="N45"/>
  <c r="M45"/>
  <c r="N44"/>
  <c r="M44"/>
  <c r="N43"/>
  <c r="M43"/>
  <c r="N42"/>
  <c r="M42"/>
  <c r="N41"/>
  <c r="M41"/>
  <c r="N40"/>
  <c r="M40"/>
  <c r="N39"/>
  <c r="M39"/>
  <c r="N38"/>
  <c r="M38"/>
  <c r="N37"/>
  <c r="M37"/>
  <c r="N36"/>
  <c r="M36"/>
  <c r="N35"/>
  <c r="M35"/>
  <c r="N34"/>
  <c r="M34"/>
  <c r="N33"/>
  <c r="M33"/>
  <c r="N32"/>
  <c r="M32"/>
  <c r="N31"/>
  <c r="M31"/>
  <c r="N30"/>
  <c r="M30"/>
  <c r="N29"/>
  <c r="M29"/>
  <c r="N28"/>
  <c r="M28"/>
  <c r="N27"/>
  <c r="M27"/>
  <c r="N26"/>
  <c r="M26"/>
  <c r="N25"/>
  <c r="M25"/>
  <c r="N24"/>
  <c r="M24"/>
  <c r="N23"/>
  <c r="M23"/>
  <c r="N22"/>
  <c r="M22"/>
  <c r="N21"/>
  <c r="M21"/>
  <c r="N20"/>
  <c r="M20"/>
  <c r="N19"/>
  <c r="M19"/>
  <c r="N18"/>
  <c r="M18"/>
  <c r="N17"/>
  <c r="M17"/>
  <c r="N16"/>
  <c r="M16"/>
  <c r="N15"/>
  <c r="M15"/>
  <c r="N14"/>
  <c r="M14"/>
  <c r="N13"/>
  <c r="M13"/>
  <c r="N12"/>
  <c r="M12"/>
  <c r="N11"/>
  <c r="M11"/>
  <c r="N10"/>
  <c r="M10"/>
  <c r="N9"/>
  <c r="M9"/>
  <c r="N8"/>
  <c r="M8"/>
  <c r="N7"/>
  <c r="M7"/>
  <c r="N6"/>
  <c r="M6"/>
  <c r="N5"/>
  <c r="M5"/>
  <c r="N4"/>
  <c r="M4"/>
  <c r="N3"/>
  <c r="M3"/>
  <c r="N2"/>
  <c r="M2"/>
  <c r="N13" i="5"/>
  <c r="M13"/>
  <c r="N12"/>
  <c r="M12"/>
  <c r="N11"/>
  <c r="M11"/>
  <c r="N10"/>
  <c r="M10"/>
  <c r="N9"/>
  <c r="M9"/>
  <c r="N8"/>
  <c r="M8"/>
  <c r="N7"/>
  <c r="M7"/>
  <c r="N6"/>
  <c r="M6"/>
  <c r="N5"/>
  <c r="M5"/>
  <c r="N4"/>
  <c r="M4"/>
  <c r="N3"/>
  <c r="M3"/>
  <c r="N2"/>
  <c r="M2"/>
  <c r="N86" i="4"/>
  <c r="M86"/>
  <c r="N85"/>
  <c r="M85"/>
  <c r="N84"/>
  <c r="M84"/>
  <c r="N83"/>
  <c r="M83"/>
  <c r="N82"/>
  <c r="M82"/>
  <c r="N81"/>
  <c r="M81"/>
  <c r="N80"/>
  <c r="M80"/>
  <c r="N79"/>
  <c r="M79"/>
  <c r="N78"/>
  <c r="M78"/>
  <c r="N77"/>
  <c r="M77"/>
  <c r="N76"/>
  <c r="M76"/>
  <c r="N75"/>
  <c r="M75"/>
  <c r="N74"/>
  <c r="M74"/>
  <c r="N73"/>
  <c r="M73"/>
  <c r="N72"/>
  <c r="M72"/>
  <c r="N71"/>
  <c r="M71"/>
  <c r="N70"/>
  <c r="M70"/>
  <c r="N69"/>
  <c r="M69"/>
  <c r="N68"/>
  <c r="M68"/>
  <c r="N67"/>
  <c r="M67"/>
  <c r="N66"/>
  <c r="M66"/>
  <c r="N65"/>
  <c r="M65"/>
  <c r="N64"/>
  <c r="M64"/>
  <c r="N63"/>
  <c r="M63"/>
  <c r="N62"/>
  <c r="M62"/>
  <c r="N61"/>
  <c r="M61"/>
  <c r="N60"/>
  <c r="M60"/>
  <c r="N59"/>
  <c r="M59"/>
  <c r="N58"/>
  <c r="M58"/>
  <c r="N57"/>
  <c r="M57"/>
  <c r="N56"/>
  <c r="M56"/>
  <c r="N55"/>
  <c r="M55"/>
  <c r="N54"/>
  <c r="M54"/>
  <c r="N53"/>
  <c r="M53"/>
  <c r="N52"/>
  <c r="M52"/>
  <c r="N51"/>
  <c r="M51"/>
  <c r="N50"/>
  <c r="M50"/>
  <c r="N49"/>
  <c r="M49"/>
  <c r="N48"/>
  <c r="M48"/>
  <c r="N47"/>
  <c r="M47"/>
  <c r="N46"/>
  <c r="M46"/>
  <c r="N45"/>
  <c r="M45"/>
  <c r="N44"/>
  <c r="M44"/>
  <c r="N43"/>
  <c r="M43"/>
  <c r="N42"/>
  <c r="M42"/>
  <c r="N41"/>
  <c r="M41"/>
  <c r="N40"/>
  <c r="M40"/>
  <c r="N39"/>
  <c r="M39"/>
  <c r="N38"/>
  <c r="M38"/>
  <c r="N37"/>
  <c r="M37"/>
  <c r="N36"/>
  <c r="M36"/>
  <c r="N35"/>
  <c r="M35"/>
  <c r="N34"/>
  <c r="M34"/>
  <c r="N33"/>
  <c r="M33"/>
  <c r="N32"/>
  <c r="M32"/>
  <c r="N31"/>
  <c r="M31"/>
  <c r="N30"/>
  <c r="M30"/>
  <c r="N29"/>
  <c r="M29"/>
  <c r="N28"/>
  <c r="M28"/>
  <c r="N27"/>
  <c r="M27"/>
  <c r="N26"/>
  <c r="M26"/>
  <c r="N25"/>
  <c r="M25"/>
  <c r="N24"/>
  <c r="M24"/>
  <c r="N23"/>
  <c r="M23"/>
  <c r="N22"/>
  <c r="M22"/>
  <c r="N21"/>
  <c r="M21"/>
  <c r="N20"/>
  <c r="M20"/>
  <c r="N19"/>
  <c r="M19"/>
  <c r="N18"/>
  <c r="M18"/>
  <c r="N17"/>
  <c r="M17"/>
  <c r="N16"/>
  <c r="M16"/>
  <c r="N15"/>
  <c r="M15"/>
  <c r="N14"/>
  <c r="M14"/>
  <c r="N13"/>
  <c r="M13"/>
  <c r="N12"/>
  <c r="M12"/>
  <c r="N11"/>
  <c r="M11"/>
  <c r="N10"/>
  <c r="M10"/>
  <c r="N9"/>
  <c r="M9"/>
  <c r="N8"/>
  <c r="M8"/>
  <c r="N7"/>
  <c r="M7"/>
  <c r="N6"/>
  <c r="M6"/>
  <c r="N5"/>
  <c r="M5"/>
  <c r="N4"/>
  <c r="M4"/>
  <c r="N3"/>
  <c r="M3"/>
  <c r="N2"/>
  <c r="M2"/>
  <c r="N237" i="3"/>
  <c r="M237"/>
  <c r="N236"/>
  <c r="M236"/>
  <c r="N235"/>
  <c r="M235"/>
  <c r="N234"/>
  <c r="M234"/>
  <c r="N233"/>
  <c r="M233"/>
  <c r="N232"/>
  <c r="M232"/>
  <c r="N231"/>
  <c r="M231"/>
  <c r="N230"/>
  <c r="M230"/>
  <c r="N229"/>
  <c r="M229"/>
  <c r="N228"/>
  <c r="M228"/>
  <c r="N227"/>
  <c r="M227"/>
  <c r="N226"/>
  <c r="M226"/>
  <c r="N225"/>
  <c r="M225"/>
  <c r="N224"/>
  <c r="M224"/>
  <c r="N223"/>
  <c r="M223"/>
  <c r="N222"/>
  <c r="M222"/>
  <c r="N221"/>
  <c r="M221"/>
  <c r="N220"/>
  <c r="M220"/>
  <c r="N219"/>
  <c r="M219"/>
  <c r="N218"/>
  <c r="M218"/>
  <c r="N217"/>
  <c r="M217"/>
  <c r="N216"/>
  <c r="M216"/>
  <c r="N215"/>
  <c r="M215"/>
  <c r="N214"/>
  <c r="M214"/>
  <c r="N213"/>
  <c r="M213"/>
  <c r="N212"/>
  <c r="M212"/>
  <c r="N211"/>
  <c r="M211"/>
  <c r="N210"/>
  <c r="M210"/>
  <c r="N209"/>
  <c r="M209"/>
  <c r="N208"/>
  <c r="M208"/>
  <c r="N207"/>
  <c r="M207"/>
  <c r="N206"/>
  <c r="M206"/>
  <c r="N205"/>
  <c r="M205"/>
  <c r="N204"/>
  <c r="M204"/>
  <c r="N203"/>
  <c r="M203"/>
  <c r="N202"/>
  <c r="M202"/>
  <c r="N201"/>
  <c r="M201"/>
  <c r="N200"/>
  <c r="M200"/>
  <c r="N199"/>
  <c r="M199"/>
  <c r="N198"/>
  <c r="M198"/>
  <c r="N197"/>
  <c r="M197"/>
  <c r="N196"/>
  <c r="M196"/>
  <c r="N195"/>
  <c r="M195"/>
  <c r="N194"/>
  <c r="M194"/>
  <c r="N193"/>
  <c r="M193"/>
  <c r="N192"/>
  <c r="M192"/>
  <c r="N191"/>
  <c r="M191"/>
  <c r="N190"/>
  <c r="M190"/>
  <c r="N189"/>
  <c r="M189"/>
  <c r="N188"/>
  <c r="M188"/>
  <c r="N187"/>
  <c r="M187"/>
  <c r="N186"/>
  <c r="M186"/>
  <c r="N185"/>
  <c r="M185"/>
  <c r="N184"/>
  <c r="M184"/>
  <c r="N183"/>
  <c r="M183"/>
  <c r="N182"/>
  <c r="M182"/>
  <c r="N181"/>
  <c r="M181"/>
  <c r="N180"/>
  <c r="M180"/>
  <c r="N179"/>
  <c r="M179"/>
  <c r="N178"/>
  <c r="M178"/>
  <c r="N177"/>
  <c r="M177"/>
  <c r="N176"/>
  <c r="M176"/>
  <c r="N175"/>
  <c r="M175"/>
  <c r="N174"/>
  <c r="M174"/>
  <c r="N173"/>
  <c r="M173"/>
  <c r="N172"/>
  <c r="M172"/>
  <c r="N171"/>
  <c r="M171"/>
  <c r="N170"/>
  <c r="M170"/>
  <c r="N169"/>
  <c r="M169"/>
  <c r="N168"/>
  <c r="M168"/>
  <c r="N167"/>
  <c r="M167"/>
  <c r="N166"/>
  <c r="M166"/>
  <c r="N165"/>
  <c r="M165"/>
  <c r="N164"/>
  <c r="M164"/>
  <c r="N163"/>
  <c r="M163"/>
  <c r="N162"/>
  <c r="M162"/>
  <c r="N161"/>
  <c r="M161"/>
  <c r="N160"/>
  <c r="M160"/>
  <c r="N159"/>
  <c r="M159"/>
  <c r="N158"/>
  <c r="M158"/>
  <c r="N157"/>
  <c r="M157"/>
  <c r="N156"/>
  <c r="M156"/>
  <c r="N155"/>
  <c r="M155"/>
  <c r="N154"/>
  <c r="M154"/>
  <c r="N153"/>
  <c r="M153"/>
  <c r="N152"/>
  <c r="M152"/>
  <c r="N151"/>
  <c r="M151"/>
  <c r="N150"/>
  <c r="M150"/>
  <c r="N149"/>
  <c r="M149"/>
  <c r="N148"/>
  <c r="M148"/>
  <c r="N147"/>
  <c r="M147"/>
  <c r="N146"/>
  <c r="M146"/>
  <c r="N145"/>
  <c r="M145"/>
  <c r="N144"/>
  <c r="M144"/>
  <c r="N143"/>
  <c r="M143"/>
  <c r="N142"/>
  <c r="M142"/>
  <c r="N141"/>
  <c r="M141"/>
  <c r="N140"/>
  <c r="M140"/>
  <c r="N139"/>
  <c r="M139"/>
  <c r="N138"/>
  <c r="M138"/>
  <c r="N137"/>
  <c r="M137"/>
  <c r="N136"/>
  <c r="M136"/>
  <c r="N135"/>
  <c r="M135"/>
  <c r="N134"/>
  <c r="M134"/>
  <c r="N133"/>
  <c r="M133"/>
  <c r="N132"/>
  <c r="M132"/>
  <c r="N131"/>
  <c r="M131"/>
  <c r="N130"/>
  <c r="M130"/>
  <c r="N129"/>
  <c r="M129"/>
  <c r="N128"/>
  <c r="M128"/>
  <c r="N127"/>
  <c r="M127"/>
  <c r="N126"/>
  <c r="M126"/>
  <c r="N125"/>
  <c r="M125"/>
  <c r="N124"/>
  <c r="M124"/>
  <c r="N123"/>
  <c r="M123"/>
  <c r="N122"/>
  <c r="M122"/>
  <c r="N121"/>
  <c r="M121"/>
  <c r="N120"/>
  <c r="M120"/>
  <c r="N119"/>
  <c r="M119"/>
  <c r="N118"/>
  <c r="M118"/>
  <c r="N117"/>
  <c r="M117"/>
  <c r="N116"/>
  <c r="M116"/>
  <c r="N115"/>
  <c r="M115"/>
  <c r="N114"/>
  <c r="M114"/>
  <c r="N113"/>
  <c r="M113"/>
  <c r="N112"/>
  <c r="M112"/>
  <c r="N111"/>
  <c r="M111"/>
  <c r="N110"/>
  <c r="M110"/>
  <c r="N109"/>
  <c r="M109"/>
  <c r="N108"/>
  <c r="M108"/>
  <c r="N107"/>
  <c r="M107"/>
  <c r="N106"/>
  <c r="M106"/>
  <c r="N105"/>
  <c r="M105"/>
  <c r="N104"/>
  <c r="M104"/>
  <c r="N103"/>
  <c r="M103"/>
  <c r="N102"/>
  <c r="M102"/>
  <c r="N101"/>
  <c r="M101"/>
  <c r="N100"/>
  <c r="M100"/>
  <c r="N99"/>
  <c r="M99"/>
  <c r="N98"/>
  <c r="M98"/>
  <c r="N97"/>
  <c r="M97"/>
  <c r="N96"/>
  <c r="M96"/>
  <c r="N95"/>
  <c r="M95"/>
  <c r="N94"/>
  <c r="M94"/>
  <c r="N93"/>
  <c r="M93"/>
  <c r="N92"/>
  <c r="M92"/>
  <c r="N91"/>
  <c r="M91"/>
  <c r="N90"/>
  <c r="M90"/>
  <c r="N89"/>
  <c r="M89"/>
  <c r="N88"/>
  <c r="M88"/>
  <c r="N87"/>
  <c r="M87"/>
  <c r="N86"/>
  <c r="M86"/>
  <c r="N85"/>
  <c r="M85"/>
  <c r="N84"/>
  <c r="M84"/>
  <c r="N83"/>
  <c r="M83"/>
  <c r="N82"/>
  <c r="M82"/>
  <c r="N81"/>
  <c r="M81"/>
  <c r="N80"/>
  <c r="M80"/>
  <c r="N79"/>
  <c r="M79"/>
  <c r="N78"/>
  <c r="M78"/>
  <c r="N77"/>
  <c r="M77"/>
  <c r="N76"/>
  <c r="M76"/>
  <c r="N75"/>
  <c r="M75"/>
  <c r="N74"/>
  <c r="M74"/>
  <c r="N73"/>
  <c r="M73"/>
  <c r="N72"/>
  <c r="M72"/>
  <c r="N71"/>
  <c r="M71"/>
  <c r="N70"/>
  <c r="M70"/>
  <c r="N69"/>
  <c r="M69"/>
  <c r="N68"/>
  <c r="M68"/>
  <c r="N67"/>
  <c r="M67"/>
  <c r="N66"/>
  <c r="M66"/>
  <c r="N65"/>
  <c r="M65"/>
  <c r="N64"/>
  <c r="M64"/>
  <c r="N63"/>
  <c r="M63"/>
  <c r="N62"/>
  <c r="M62"/>
  <c r="N61"/>
  <c r="M61"/>
  <c r="N60"/>
  <c r="M60"/>
  <c r="N59"/>
  <c r="M59"/>
  <c r="N58"/>
  <c r="M58"/>
  <c r="N57"/>
  <c r="M57"/>
  <c r="N56"/>
  <c r="M56"/>
  <c r="N55"/>
  <c r="M55"/>
  <c r="N54"/>
  <c r="M54"/>
  <c r="N53"/>
  <c r="M53"/>
  <c r="N52"/>
  <c r="M52"/>
  <c r="N51"/>
  <c r="M51"/>
  <c r="N50"/>
  <c r="M50"/>
  <c r="N49"/>
  <c r="M49"/>
  <c r="N48"/>
  <c r="M48"/>
  <c r="N47"/>
  <c r="M47"/>
  <c r="N46"/>
  <c r="M46"/>
  <c r="N45"/>
  <c r="M45"/>
  <c r="N44"/>
  <c r="M44"/>
  <c r="N43"/>
  <c r="M43"/>
  <c r="N42"/>
  <c r="M42"/>
  <c r="N41"/>
  <c r="M41"/>
  <c r="N40"/>
  <c r="M40"/>
  <c r="N39"/>
  <c r="M39"/>
  <c r="N38"/>
  <c r="M38"/>
  <c r="N37"/>
  <c r="M37"/>
  <c r="N36"/>
  <c r="M36"/>
  <c r="N35"/>
  <c r="M35"/>
  <c r="N34"/>
  <c r="M34"/>
  <c r="N33"/>
  <c r="M33"/>
  <c r="N32"/>
  <c r="M32"/>
  <c r="N31"/>
  <c r="M31"/>
  <c r="N30"/>
  <c r="M30"/>
  <c r="N29"/>
  <c r="M29"/>
  <c r="N28"/>
  <c r="M28"/>
  <c r="N27"/>
  <c r="M27"/>
  <c r="N26"/>
  <c r="M26"/>
  <c r="N25"/>
  <c r="M25"/>
  <c r="N24"/>
  <c r="M24"/>
  <c r="N23"/>
  <c r="M23"/>
  <c r="N22"/>
  <c r="M22"/>
  <c r="N21"/>
  <c r="M21"/>
  <c r="N20"/>
  <c r="M20"/>
  <c r="N19"/>
  <c r="M19"/>
  <c r="N18"/>
  <c r="M18"/>
  <c r="N17"/>
  <c r="M17"/>
  <c r="N16"/>
  <c r="M16"/>
  <c r="N15"/>
  <c r="M15"/>
  <c r="N14"/>
  <c r="M14"/>
  <c r="N13"/>
  <c r="M13"/>
  <c r="N12"/>
  <c r="M12"/>
  <c r="N11"/>
  <c r="M11"/>
  <c r="N10"/>
  <c r="M10"/>
  <c r="N9"/>
  <c r="M9"/>
  <c r="N8"/>
  <c r="M8"/>
  <c r="N7"/>
  <c r="M7"/>
  <c r="N6"/>
  <c r="M6"/>
  <c r="N5"/>
  <c r="M5"/>
  <c r="N4"/>
  <c r="M4"/>
  <c r="N3"/>
  <c r="M3"/>
  <c r="N2"/>
  <c r="M2"/>
  <c r="N1349" i="2"/>
  <c r="M1349"/>
  <c r="N1348"/>
  <c r="M1348"/>
  <c r="N1347"/>
  <c r="M1347"/>
  <c r="N1346"/>
  <c r="M1346"/>
  <c r="N1345"/>
  <c r="M1345"/>
  <c r="N1344"/>
  <c r="M1344"/>
  <c r="N1343"/>
  <c r="M1343"/>
  <c r="N1342"/>
  <c r="M1342"/>
  <c r="N1341"/>
  <c r="M1341"/>
  <c r="N1340"/>
  <c r="M1340"/>
  <c r="N1339"/>
  <c r="M1339"/>
  <c r="N1338"/>
  <c r="M1338"/>
  <c r="N1337"/>
  <c r="M1337"/>
  <c r="N1336"/>
  <c r="M1336"/>
  <c r="N1335"/>
  <c r="M1335"/>
  <c r="N1334"/>
  <c r="M1334"/>
  <c r="N1333"/>
  <c r="M1333"/>
  <c r="N1332"/>
  <c r="M1332"/>
  <c r="N1331"/>
  <c r="M1331"/>
  <c r="N1330"/>
  <c r="M1330"/>
  <c r="N1329"/>
  <c r="M1329"/>
  <c r="N1328"/>
  <c r="M1328"/>
  <c r="N1327"/>
  <c r="M1327"/>
  <c r="N1326"/>
  <c r="M1326"/>
  <c r="N1325"/>
  <c r="M1325"/>
  <c r="N1324"/>
  <c r="M1324"/>
  <c r="N1323"/>
  <c r="M1323"/>
  <c r="N1322"/>
  <c r="M1322"/>
  <c r="N1321"/>
  <c r="M1321"/>
  <c r="N1320"/>
  <c r="M1320"/>
  <c r="N1319"/>
  <c r="M1319"/>
  <c r="N1318"/>
  <c r="M1318"/>
  <c r="N1317"/>
  <c r="M1317"/>
  <c r="N1316"/>
  <c r="M1316"/>
  <c r="N1315"/>
  <c r="M1315"/>
  <c r="N1314"/>
  <c r="M1314"/>
  <c r="N1313"/>
  <c r="M1313"/>
  <c r="N1312"/>
  <c r="M1312"/>
  <c r="N1311"/>
  <c r="M1311"/>
  <c r="N1310"/>
  <c r="M1310"/>
  <c r="N1309"/>
  <c r="M1309"/>
  <c r="N1308"/>
  <c r="M1308"/>
  <c r="N1307"/>
  <c r="M1307"/>
  <c r="N1306"/>
  <c r="M1306"/>
  <c r="N1305"/>
  <c r="M1305"/>
  <c r="N1304"/>
  <c r="M1304"/>
  <c r="N1303"/>
  <c r="M1303"/>
  <c r="N1302"/>
  <c r="M1302"/>
  <c r="N1301"/>
  <c r="M1301"/>
  <c r="N1300"/>
  <c r="M1300"/>
  <c r="N1299"/>
  <c r="M1299"/>
  <c r="N1298"/>
  <c r="M1298"/>
  <c r="N1297"/>
  <c r="M1297"/>
  <c r="N1296"/>
  <c r="M1296"/>
  <c r="N1295"/>
  <c r="M1295"/>
  <c r="N1294"/>
  <c r="M1294"/>
  <c r="N1293"/>
  <c r="M1293"/>
  <c r="N1292"/>
  <c r="M1292"/>
  <c r="N1291"/>
  <c r="M1291"/>
  <c r="N1290"/>
  <c r="M1290"/>
  <c r="N1289"/>
  <c r="M1289"/>
  <c r="N1288"/>
  <c r="M1288"/>
  <c r="N1287"/>
  <c r="M1287"/>
  <c r="N1286"/>
  <c r="M1286"/>
  <c r="N1285"/>
  <c r="M1285"/>
  <c r="N1284"/>
  <c r="M1284"/>
  <c r="N1283"/>
  <c r="M1283"/>
  <c r="N1282"/>
  <c r="M1282"/>
  <c r="N1281"/>
  <c r="M1281"/>
  <c r="N1280"/>
  <c r="M1280"/>
  <c r="N1279"/>
  <c r="M1279"/>
  <c r="N1278"/>
  <c r="M1278"/>
  <c r="N1277"/>
  <c r="M1277"/>
  <c r="N1276"/>
  <c r="M1276"/>
  <c r="N1275"/>
  <c r="M1275"/>
  <c r="N1274"/>
  <c r="M1274"/>
  <c r="N1273"/>
  <c r="M1273"/>
  <c r="N1272"/>
  <c r="M1272"/>
  <c r="N1271"/>
  <c r="M1271"/>
  <c r="N1270"/>
  <c r="M1270"/>
  <c r="N1269"/>
  <c r="M1269"/>
  <c r="N1268"/>
  <c r="M1268"/>
  <c r="N1267"/>
  <c r="M1267"/>
  <c r="N1266"/>
  <c r="M1266"/>
  <c r="N1265"/>
  <c r="M1265"/>
  <c r="N1264"/>
  <c r="M1264"/>
  <c r="N1263"/>
  <c r="M1263"/>
  <c r="N1262"/>
  <c r="M1262"/>
  <c r="N1261"/>
  <c r="M1261"/>
  <c r="N1260"/>
  <c r="M1260"/>
  <c r="N1259"/>
  <c r="M1259"/>
  <c r="N1258"/>
  <c r="M1258"/>
  <c r="N1257"/>
  <c r="M1257"/>
  <c r="N1256"/>
  <c r="M1256"/>
  <c r="N1255"/>
  <c r="M1255"/>
  <c r="N1254"/>
  <c r="M1254"/>
  <c r="N1253"/>
  <c r="M1253"/>
  <c r="N1252"/>
  <c r="M1252"/>
  <c r="N1251"/>
  <c r="M1251"/>
  <c r="N1250"/>
  <c r="M1250"/>
  <c r="N1249"/>
  <c r="M1249"/>
  <c r="N1248"/>
  <c r="M1248"/>
  <c r="N1247"/>
  <c r="M1247"/>
  <c r="N1246"/>
  <c r="M1246"/>
  <c r="N1245"/>
  <c r="M1245"/>
  <c r="N1244"/>
  <c r="M1244"/>
  <c r="N1243"/>
  <c r="M1243"/>
  <c r="N1242"/>
  <c r="M1242"/>
  <c r="N1241"/>
  <c r="M1241"/>
  <c r="N1240"/>
  <c r="M1240"/>
  <c r="N1239"/>
  <c r="M1239"/>
  <c r="N1238"/>
  <c r="M1238"/>
  <c r="N1237"/>
  <c r="M1237"/>
  <c r="N1236"/>
  <c r="M1236"/>
  <c r="N1235"/>
  <c r="M1235"/>
  <c r="N1234"/>
  <c r="M1234"/>
  <c r="N1233"/>
  <c r="M1233"/>
  <c r="N1232"/>
  <c r="M1232"/>
  <c r="N1231"/>
  <c r="M1231"/>
  <c r="N1230"/>
  <c r="M1230"/>
  <c r="N1229"/>
  <c r="M1229"/>
  <c r="N1228"/>
  <c r="M1228"/>
  <c r="N1227"/>
  <c r="M1227"/>
  <c r="N1226"/>
  <c r="M1226"/>
  <c r="N1225"/>
  <c r="M1225"/>
  <c r="N1224"/>
  <c r="M1224"/>
  <c r="N1223"/>
  <c r="M1223"/>
  <c r="N1222"/>
  <c r="M1222"/>
  <c r="N1221"/>
  <c r="M1221"/>
  <c r="N1220"/>
  <c r="M1220"/>
  <c r="N1219"/>
  <c r="M1219"/>
  <c r="N1218"/>
  <c r="M1218"/>
  <c r="N1217"/>
  <c r="M1217"/>
  <c r="N1216"/>
  <c r="M1216"/>
  <c r="N1215"/>
  <c r="M1215"/>
  <c r="N1214"/>
  <c r="M1214"/>
  <c r="N1213"/>
  <c r="M1213"/>
  <c r="N1212"/>
  <c r="M1212"/>
  <c r="N1211"/>
  <c r="M1211"/>
  <c r="N1210"/>
  <c r="M1210"/>
  <c r="N1209"/>
  <c r="M1209"/>
  <c r="N1208"/>
  <c r="M1208"/>
  <c r="N1207"/>
  <c r="M1207"/>
  <c r="N1206"/>
  <c r="M1206"/>
  <c r="N1205"/>
  <c r="M1205"/>
  <c r="N1204"/>
  <c r="M1204"/>
  <c r="N1203"/>
  <c r="M1203"/>
  <c r="N1202"/>
  <c r="M1202"/>
  <c r="N1201"/>
  <c r="M1201"/>
  <c r="N1200"/>
  <c r="M1200"/>
  <c r="N1199"/>
  <c r="M1199"/>
  <c r="N1198"/>
  <c r="M1198"/>
  <c r="N1197"/>
  <c r="M1197"/>
  <c r="N1196"/>
  <c r="M1196"/>
  <c r="N1195"/>
  <c r="M1195"/>
  <c r="N1194"/>
  <c r="M1194"/>
  <c r="N1193"/>
  <c r="M1193"/>
  <c r="N1192"/>
  <c r="M1192"/>
  <c r="N1191"/>
  <c r="M1191"/>
  <c r="N1190"/>
  <c r="M1190"/>
  <c r="N1189"/>
  <c r="M1189"/>
  <c r="N1188"/>
  <c r="M1188"/>
  <c r="N1187"/>
  <c r="M1187"/>
  <c r="N1186"/>
  <c r="M1186"/>
  <c r="N1185"/>
  <c r="M1185"/>
  <c r="N1184"/>
  <c r="M1184"/>
  <c r="N1183"/>
  <c r="M1183"/>
  <c r="N1182"/>
  <c r="M1182"/>
  <c r="N1181"/>
  <c r="M1181"/>
  <c r="N1180"/>
  <c r="M1180"/>
  <c r="N1179"/>
  <c r="M1179"/>
  <c r="N1178"/>
  <c r="M1178"/>
  <c r="N1177"/>
  <c r="M1177"/>
  <c r="N1176"/>
  <c r="M1176"/>
  <c r="N1175"/>
  <c r="M1175"/>
  <c r="N1174"/>
  <c r="M1174"/>
  <c r="N1173"/>
  <c r="M1173"/>
  <c r="N1172"/>
  <c r="M1172"/>
  <c r="N1171"/>
  <c r="M1171"/>
  <c r="N1170"/>
  <c r="M1170"/>
  <c r="N1169"/>
  <c r="M1169"/>
  <c r="N1168"/>
  <c r="M1168"/>
  <c r="N1167"/>
  <c r="M1167"/>
  <c r="N1166"/>
  <c r="M1166"/>
  <c r="N1165"/>
  <c r="M1165"/>
  <c r="N1164"/>
  <c r="M1164"/>
  <c r="N1163"/>
  <c r="M1163"/>
  <c r="N1162"/>
  <c r="M1162"/>
  <c r="N1161"/>
  <c r="M1161"/>
  <c r="N1160"/>
  <c r="M1160"/>
  <c r="N1159"/>
  <c r="M1159"/>
  <c r="N1158"/>
  <c r="M1158"/>
  <c r="N1157"/>
  <c r="M1157"/>
  <c r="N1156"/>
  <c r="M1156"/>
  <c r="N1155"/>
  <c r="M1155"/>
  <c r="N1154"/>
  <c r="M1154"/>
  <c r="N1153"/>
  <c r="M1153"/>
  <c r="N1152"/>
  <c r="M1152"/>
  <c r="N1151"/>
  <c r="M1151"/>
  <c r="N1150"/>
  <c r="M1150"/>
  <c r="N1149"/>
  <c r="M1149"/>
  <c r="N1148"/>
  <c r="M1148"/>
  <c r="N1147"/>
  <c r="M1147"/>
  <c r="N1146"/>
  <c r="M1146"/>
  <c r="N1145"/>
  <c r="M1145"/>
  <c r="N1144"/>
  <c r="M1144"/>
  <c r="N1143"/>
  <c r="M1143"/>
  <c r="N1142"/>
  <c r="M1142"/>
  <c r="N1141"/>
  <c r="M1141"/>
  <c r="N1140"/>
  <c r="M1140"/>
  <c r="N1139"/>
  <c r="M1139"/>
  <c r="N1138"/>
  <c r="M1138"/>
  <c r="N1137"/>
  <c r="M1137"/>
  <c r="N1136"/>
  <c r="M1136"/>
  <c r="N1135"/>
  <c r="M1135"/>
  <c r="N1134"/>
  <c r="M1134"/>
  <c r="N1133"/>
  <c r="M1133"/>
  <c r="N1132"/>
  <c r="M1132"/>
  <c r="N1131"/>
  <c r="M1131"/>
  <c r="N1130"/>
  <c r="M1130"/>
  <c r="N1129"/>
  <c r="M1129"/>
  <c r="N1128"/>
  <c r="M1128"/>
  <c r="N1127"/>
  <c r="M1127"/>
  <c r="N1126"/>
  <c r="M1126"/>
  <c r="N1125"/>
  <c r="M1125"/>
  <c r="N1124"/>
  <c r="M1124"/>
  <c r="N1123"/>
  <c r="M1123"/>
  <c r="N1122"/>
  <c r="M1122"/>
  <c r="N1121"/>
  <c r="M1121"/>
  <c r="N1120"/>
  <c r="M1120"/>
  <c r="N1119"/>
  <c r="M1119"/>
  <c r="N1118"/>
  <c r="M1118"/>
  <c r="N1117"/>
  <c r="M1117"/>
  <c r="N1116"/>
  <c r="M1116"/>
  <c r="N1115"/>
  <c r="M1115"/>
  <c r="N1114"/>
  <c r="M1114"/>
  <c r="N1113"/>
  <c r="M1113"/>
  <c r="N1112"/>
  <c r="M1112"/>
  <c r="N1111"/>
  <c r="M1111"/>
  <c r="N1110"/>
  <c r="M1110"/>
  <c r="N1109"/>
  <c r="M1109"/>
  <c r="N1108"/>
  <c r="M1108"/>
  <c r="N1107"/>
  <c r="M1107"/>
  <c r="N1106"/>
  <c r="M1106"/>
  <c r="N1105"/>
  <c r="M1105"/>
  <c r="N1104"/>
  <c r="M1104"/>
  <c r="N1103"/>
  <c r="M1103"/>
  <c r="N1102"/>
  <c r="M1102"/>
  <c r="N1101"/>
  <c r="M1101"/>
  <c r="N1100"/>
  <c r="M1100"/>
  <c r="N1099"/>
  <c r="M1099"/>
  <c r="N1098"/>
  <c r="M1098"/>
  <c r="N1097"/>
  <c r="M1097"/>
  <c r="N1096"/>
  <c r="M1096"/>
  <c r="N1095"/>
  <c r="M1095"/>
  <c r="N1094"/>
  <c r="M1094"/>
  <c r="N1093"/>
  <c r="M1093"/>
  <c r="N1092"/>
  <c r="M1092"/>
  <c r="N1091"/>
  <c r="M1091"/>
  <c r="N1090"/>
  <c r="M1090"/>
  <c r="N1089"/>
  <c r="M1089"/>
  <c r="N1088"/>
  <c r="M1088"/>
  <c r="N1087"/>
  <c r="M1087"/>
  <c r="N1086"/>
  <c r="M1086"/>
  <c r="N1085"/>
  <c r="M1085"/>
  <c r="N1084"/>
  <c r="M1084"/>
  <c r="N1083"/>
  <c r="M1083"/>
  <c r="N1082"/>
  <c r="M1082"/>
  <c r="N1081"/>
  <c r="M1081"/>
  <c r="N1080"/>
  <c r="M1080"/>
  <c r="N1079"/>
  <c r="M1079"/>
  <c r="N1078"/>
  <c r="M1078"/>
  <c r="N1077"/>
  <c r="M1077"/>
  <c r="N1076"/>
  <c r="M1076"/>
  <c r="N1075"/>
  <c r="M1075"/>
  <c r="N1074"/>
  <c r="M1074"/>
  <c r="N1073"/>
  <c r="M1073"/>
  <c r="N1072"/>
  <c r="M1072"/>
  <c r="N1071"/>
  <c r="M1071"/>
  <c r="N1070"/>
  <c r="M1070"/>
  <c r="N1069"/>
  <c r="M1069"/>
  <c r="N1068"/>
  <c r="M1068"/>
  <c r="N1067"/>
  <c r="M1067"/>
  <c r="N1066"/>
  <c r="M1066"/>
  <c r="N1065"/>
  <c r="M1065"/>
  <c r="N1064"/>
  <c r="M1064"/>
  <c r="N1063"/>
  <c r="M1063"/>
  <c r="N1062"/>
  <c r="M1062"/>
  <c r="N1061"/>
  <c r="M1061"/>
  <c r="N1060"/>
  <c r="M1060"/>
  <c r="N1059"/>
  <c r="M1059"/>
  <c r="N1058"/>
  <c r="M1058"/>
  <c r="N1057"/>
  <c r="M1057"/>
  <c r="N1056"/>
  <c r="M1056"/>
  <c r="N1055"/>
  <c r="M1055"/>
  <c r="N1054"/>
  <c r="M1054"/>
  <c r="N1053"/>
  <c r="M1053"/>
  <c r="N1052"/>
  <c r="M1052"/>
  <c r="N1051"/>
  <c r="M1051"/>
  <c r="N1050"/>
  <c r="M1050"/>
  <c r="N1049"/>
  <c r="M1049"/>
  <c r="N1048"/>
  <c r="M1048"/>
  <c r="N1047"/>
  <c r="M1047"/>
  <c r="N1046"/>
  <c r="M1046"/>
  <c r="N1045"/>
  <c r="M1045"/>
  <c r="N1044"/>
  <c r="M1044"/>
  <c r="N1043"/>
  <c r="M1043"/>
  <c r="N1042"/>
  <c r="M1042"/>
  <c r="N1041"/>
  <c r="M1041"/>
  <c r="N1040"/>
  <c r="M1040"/>
  <c r="N1039"/>
  <c r="M1039"/>
  <c r="N1038"/>
  <c r="M1038"/>
  <c r="N1037"/>
  <c r="M1037"/>
  <c r="N1036"/>
  <c r="M1036"/>
  <c r="N1035"/>
  <c r="M1035"/>
  <c r="N1034"/>
  <c r="M1034"/>
  <c r="N1033"/>
  <c r="M1033"/>
  <c r="N1032"/>
  <c r="M1032"/>
  <c r="N1031"/>
  <c r="M1031"/>
  <c r="N1030"/>
  <c r="M1030"/>
  <c r="N1029"/>
  <c r="M1029"/>
  <c r="N1028"/>
  <c r="M1028"/>
  <c r="N1027"/>
  <c r="M1027"/>
  <c r="N1026"/>
  <c r="M1026"/>
  <c r="N1025"/>
  <c r="M1025"/>
  <c r="N1024"/>
  <c r="M1024"/>
  <c r="N1023"/>
  <c r="M1023"/>
  <c r="N1022"/>
  <c r="M1022"/>
  <c r="N1021"/>
  <c r="M1021"/>
  <c r="N1020"/>
  <c r="M1020"/>
  <c r="N1019"/>
  <c r="M1019"/>
  <c r="N1018"/>
  <c r="M1018"/>
  <c r="N1017"/>
  <c r="M1017"/>
  <c r="N1016"/>
  <c r="M1016"/>
  <c r="N1015"/>
  <c r="M1015"/>
  <c r="N1014"/>
  <c r="M1014"/>
  <c r="N1013"/>
  <c r="M1013"/>
  <c r="N1012"/>
  <c r="M1012"/>
  <c r="N1011"/>
  <c r="M1011"/>
  <c r="N1010"/>
  <c r="M1010"/>
  <c r="N1009"/>
  <c r="M1009"/>
  <c r="N1008"/>
  <c r="M1008"/>
  <c r="N1007"/>
  <c r="M1007"/>
  <c r="N1006"/>
  <c r="M1006"/>
  <c r="N1005"/>
  <c r="M1005"/>
  <c r="N1004"/>
  <c r="M1004"/>
  <c r="N1003"/>
  <c r="M1003"/>
  <c r="N1002"/>
  <c r="M1002"/>
  <c r="N1001"/>
  <c r="M1001"/>
  <c r="N1000"/>
  <c r="M1000"/>
  <c r="N999"/>
  <c r="M999"/>
  <c r="N998"/>
  <c r="M998"/>
  <c r="N997"/>
  <c r="M997"/>
  <c r="N996"/>
  <c r="M996"/>
  <c r="N995"/>
  <c r="M995"/>
  <c r="N994"/>
  <c r="M994"/>
  <c r="N993"/>
  <c r="M993"/>
  <c r="N992"/>
  <c r="M992"/>
  <c r="N991"/>
  <c r="M991"/>
  <c r="N990"/>
  <c r="M990"/>
  <c r="N989"/>
  <c r="M989"/>
  <c r="N988"/>
  <c r="M988"/>
  <c r="N987"/>
  <c r="M987"/>
  <c r="N986"/>
  <c r="M986"/>
  <c r="N985"/>
  <c r="M985"/>
  <c r="N984"/>
  <c r="M984"/>
  <c r="N983"/>
  <c r="M983"/>
  <c r="N982"/>
  <c r="M982"/>
  <c r="N981"/>
  <c r="M981"/>
  <c r="N980"/>
  <c r="M980"/>
  <c r="N979"/>
  <c r="M979"/>
  <c r="N978"/>
  <c r="M978"/>
  <c r="N977"/>
  <c r="M977"/>
  <c r="N976"/>
  <c r="M976"/>
  <c r="N975"/>
  <c r="M975"/>
  <c r="N974"/>
  <c r="M974"/>
  <c r="N973"/>
  <c r="M973"/>
  <c r="N972"/>
  <c r="M972"/>
  <c r="N971"/>
  <c r="M971"/>
  <c r="N970"/>
  <c r="M970"/>
  <c r="N969"/>
  <c r="M969"/>
  <c r="N968"/>
  <c r="M968"/>
  <c r="N967"/>
  <c r="M967"/>
  <c r="N966"/>
  <c r="M966"/>
  <c r="N965"/>
  <c r="M965"/>
  <c r="N964"/>
  <c r="M964"/>
  <c r="N963"/>
  <c r="M963"/>
  <c r="N962"/>
  <c r="M962"/>
  <c r="N961"/>
  <c r="M961"/>
  <c r="N960"/>
  <c r="M960"/>
  <c r="N959"/>
  <c r="M959"/>
  <c r="N958"/>
  <c r="M958"/>
  <c r="N957"/>
  <c r="M957"/>
  <c r="N956"/>
  <c r="M956"/>
  <c r="N955"/>
  <c r="M955"/>
  <c r="N954"/>
  <c r="M954"/>
  <c r="N953"/>
  <c r="M953"/>
  <c r="N952"/>
  <c r="M952"/>
  <c r="N951"/>
  <c r="M951"/>
  <c r="N950"/>
  <c r="M950"/>
  <c r="N949"/>
  <c r="M949"/>
  <c r="N948"/>
  <c r="M948"/>
  <c r="N947"/>
  <c r="M947"/>
  <c r="N946"/>
  <c r="M946"/>
  <c r="N945"/>
  <c r="M945"/>
  <c r="N944"/>
  <c r="M944"/>
  <c r="N943"/>
  <c r="M943"/>
  <c r="N942"/>
  <c r="M942"/>
  <c r="N941"/>
  <c r="M941"/>
  <c r="N940"/>
  <c r="M940"/>
  <c r="N939"/>
  <c r="M939"/>
  <c r="N938"/>
  <c r="M938"/>
  <c r="N937"/>
  <c r="M937"/>
  <c r="N936"/>
  <c r="M936"/>
  <c r="N935"/>
  <c r="M935"/>
  <c r="N934"/>
  <c r="M934"/>
  <c r="N933"/>
  <c r="M933"/>
  <c r="N932"/>
  <c r="M932"/>
  <c r="N931"/>
  <c r="M931"/>
  <c r="N930"/>
  <c r="M930"/>
  <c r="N929"/>
  <c r="M929"/>
  <c r="N928"/>
  <c r="M928"/>
  <c r="N927"/>
  <c r="M927"/>
  <c r="N926"/>
  <c r="M926"/>
  <c r="N925"/>
  <c r="M925"/>
  <c r="N924"/>
  <c r="M924"/>
  <c r="N923"/>
  <c r="M923"/>
  <c r="N922"/>
  <c r="M922"/>
  <c r="N921"/>
  <c r="M921"/>
  <c r="N920"/>
  <c r="M920"/>
  <c r="N919"/>
  <c r="M919"/>
  <c r="N918"/>
  <c r="M918"/>
  <c r="N917"/>
  <c r="M917"/>
  <c r="N916"/>
  <c r="M916"/>
  <c r="N915"/>
  <c r="M915"/>
  <c r="N914"/>
  <c r="M914"/>
  <c r="N913"/>
  <c r="M913"/>
  <c r="N912"/>
  <c r="M912"/>
  <c r="N911"/>
  <c r="M911"/>
  <c r="N910"/>
  <c r="M910"/>
  <c r="N909"/>
  <c r="M909"/>
  <c r="N908"/>
  <c r="M908"/>
  <c r="N907"/>
  <c r="M907"/>
  <c r="N906"/>
  <c r="M906"/>
  <c r="N905"/>
  <c r="M905"/>
  <c r="N904"/>
  <c r="M904"/>
  <c r="N903"/>
  <c r="M903"/>
  <c r="N902"/>
  <c r="M902"/>
  <c r="N901"/>
  <c r="M901"/>
  <c r="N900"/>
  <c r="M900"/>
  <c r="N899"/>
  <c r="M899"/>
  <c r="N898"/>
  <c r="M898"/>
  <c r="N897"/>
  <c r="M897"/>
  <c r="N896"/>
  <c r="M896"/>
  <c r="N895"/>
  <c r="M895"/>
  <c r="N894"/>
  <c r="M894"/>
  <c r="N893"/>
  <c r="M893"/>
  <c r="N892"/>
  <c r="M892"/>
  <c r="N891"/>
  <c r="M891"/>
  <c r="N890"/>
  <c r="M890"/>
  <c r="N889"/>
  <c r="M889"/>
  <c r="N888"/>
  <c r="M888"/>
  <c r="N887"/>
  <c r="M887"/>
  <c r="N886"/>
  <c r="M886"/>
  <c r="N885"/>
  <c r="M885"/>
  <c r="N884"/>
  <c r="M884"/>
  <c r="N883"/>
  <c r="M883"/>
  <c r="N882"/>
  <c r="M882"/>
  <c r="N881"/>
  <c r="M881"/>
  <c r="N880"/>
  <c r="M880"/>
  <c r="N879"/>
  <c r="M879"/>
  <c r="N878"/>
  <c r="M878"/>
  <c r="N877"/>
  <c r="M877"/>
  <c r="N876"/>
  <c r="M876"/>
  <c r="N875"/>
  <c r="M875"/>
  <c r="N874"/>
  <c r="M874"/>
  <c r="N873"/>
  <c r="M873"/>
  <c r="N872"/>
  <c r="M872"/>
  <c r="N871"/>
  <c r="M871"/>
  <c r="N870"/>
  <c r="M870"/>
  <c r="N869"/>
  <c r="M869"/>
  <c r="N868"/>
  <c r="M868"/>
  <c r="N867"/>
  <c r="M867"/>
  <c r="N866"/>
  <c r="M866"/>
  <c r="N865"/>
  <c r="M865"/>
  <c r="N864"/>
  <c r="M864"/>
  <c r="N863"/>
  <c r="M863"/>
  <c r="N862"/>
  <c r="M862"/>
  <c r="N860"/>
  <c r="M860"/>
  <c r="N859"/>
  <c r="M859"/>
  <c r="N858"/>
  <c r="M858"/>
  <c r="N857"/>
  <c r="M857"/>
  <c r="N856"/>
  <c r="M856"/>
  <c r="N855"/>
  <c r="M855"/>
  <c r="N854"/>
  <c r="M854"/>
  <c r="N853"/>
  <c r="M853"/>
  <c r="N852"/>
  <c r="M852"/>
  <c r="N851"/>
  <c r="M851"/>
  <c r="N850"/>
  <c r="M850"/>
  <c r="N849"/>
  <c r="M849"/>
  <c r="N848"/>
  <c r="M848"/>
  <c r="N847"/>
  <c r="M847"/>
  <c r="N846"/>
  <c r="M846"/>
  <c r="N845"/>
  <c r="M845"/>
  <c r="N844"/>
  <c r="M844"/>
  <c r="N843"/>
  <c r="M843"/>
  <c r="N842"/>
  <c r="M842"/>
  <c r="N841"/>
  <c r="M841"/>
  <c r="N840"/>
  <c r="M840"/>
  <c r="N839"/>
  <c r="M839"/>
  <c r="N838"/>
  <c r="M838"/>
  <c r="N837"/>
  <c r="M837"/>
  <c r="N836"/>
  <c r="M836"/>
  <c r="N835"/>
  <c r="M835"/>
  <c r="N834"/>
  <c r="M834"/>
  <c r="N833"/>
  <c r="M833"/>
  <c r="N832"/>
  <c r="M832"/>
  <c r="N831"/>
  <c r="M831"/>
  <c r="N830"/>
  <c r="M830"/>
  <c r="N829"/>
  <c r="M829"/>
  <c r="N828"/>
  <c r="M828"/>
  <c r="N827"/>
  <c r="M827"/>
  <c r="N826"/>
  <c r="M826"/>
  <c r="N825"/>
  <c r="M825"/>
  <c r="N824"/>
  <c r="M824"/>
  <c r="N823"/>
  <c r="M823"/>
  <c r="N822"/>
  <c r="M822"/>
  <c r="N821"/>
  <c r="M821"/>
  <c r="N820"/>
  <c r="M820"/>
  <c r="N819"/>
  <c r="M819"/>
  <c r="N818"/>
  <c r="M818"/>
  <c r="N817"/>
  <c r="M817"/>
  <c r="N816"/>
  <c r="M816"/>
  <c r="N815"/>
  <c r="M815"/>
  <c r="N814"/>
  <c r="M814"/>
  <c r="N813"/>
  <c r="M813"/>
  <c r="N812"/>
  <c r="M812"/>
  <c r="N811"/>
  <c r="M811"/>
  <c r="N810"/>
  <c r="M810"/>
  <c r="N809"/>
  <c r="M809"/>
  <c r="N808"/>
  <c r="M808"/>
  <c r="N807"/>
  <c r="M807"/>
  <c r="N806"/>
  <c r="M806"/>
  <c r="N805"/>
  <c r="M805"/>
  <c r="N804"/>
  <c r="M804"/>
  <c r="N803"/>
  <c r="M803"/>
  <c r="N802"/>
  <c r="M802"/>
  <c r="N801"/>
  <c r="M801"/>
  <c r="N800"/>
  <c r="M800"/>
  <c r="N799"/>
  <c r="M799"/>
  <c r="N798"/>
  <c r="M798"/>
  <c r="N797"/>
  <c r="M797"/>
  <c r="N796"/>
  <c r="M796"/>
  <c r="N795"/>
  <c r="M795"/>
  <c r="N794"/>
  <c r="M794"/>
  <c r="N793"/>
  <c r="M793"/>
  <c r="N792"/>
  <c r="M792"/>
  <c r="N791"/>
  <c r="M791"/>
  <c r="N790"/>
  <c r="M790"/>
  <c r="N789"/>
  <c r="M789"/>
  <c r="N788"/>
  <c r="M788"/>
  <c r="N787"/>
  <c r="M787"/>
  <c r="N786"/>
  <c r="M786"/>
  <c r="N785"/>
  <c r="M785"/>
  <c r="N784"/>
  <c r="M784"/>
  <c r="N783"/>
  <c r="M783"/>
  <c r="N782"/>
  <c r="M782"/>
  <c r="N781"/>
  <c r="M781"/>
  <c r="N780"/>
  <c r="M780"/>
  <c r="N779"/>
  <c r="M779"/>
  <c r="N778"/>
  <c r="M778"/>
  <c r="N777"/>
  <c r="M777"/>
  <c r="N776"/>
  <c r="M776"/>
  <c r="N775"/>
  <c r="M775"/>
  <c r="N774"/>
  <c r="M774"/>
  <c r="N773"/>
  <c r="M773"/>
  <c r="N772"/>
  <c r="M772"/>
  <c r="N771"/>
  <c r="M771"/>
  <c r="N770"/>
  <c r="M770"/>
  <c r="N769"/>
  <c r="M769"/>
  <c r="N768"/>
  <c r="M768"/>
  <c r="N767"/>
  <c r="M767"/>
  <c r="N766"/>
  <c r="M766"/>
  <c r="N765"/>
  <c r="M765"/>
  <c r="N764"/>
  <c r="M764"/>
  <c r="N763"/>
  <c r="M763"/>
  <c r="N762"/>
  <c r="M762"/>
  <c r="N761"/>
  <c r="M761"/>
  <c r="N760"/>
  <c r="M760"/>
  <c r="N759"/>
  <c r="M759"/>
  <c r="N758"/>
  <c r="M758"/>
  <c r="N757"/>
  <c r="M757"/>
  <c r="N756"/>
  <c r="M756"/>
  <c r="N755"/>
  <c r="M755"/>
  <c r="N754"/>
  <c r="M754"/>
  <c r="N753"/>
  <c r="M753"/>
  <c r="N752"/>
  <c r="M752"/>
  <c r="N751"/>
  <c r="M751"/>
  <c r="N750"/>
  <c r="M750"/>
  <c r="N749"/>
  <c r="M749"/>
  <c r="N748"/>
  <c r="M748"/>
  <c r="N747"/>
  <c r="M747"/>
  <c r="N746"/>
  <c r="M746"/>
  <c r="N745"/>
  <c r="M745"/>
  <c r="N744"/>
  <c r="M744"/>
  <c r="N743"/>
  <c r="M743"/>
  <c r="N742"/>
  <c r="M742"/>
  <c r="N741"/>
  <c r="M741"/>
  <c r="N740"/>
  <c r="M740"/>
  <c r="N739"/>
  <c r="M739"/>
  <c r="N738"/>
  <c r="M738"/>
  <c r="N737"/>
  <c r="M737"/>
  <c r="N736"/>
  <c r="M736"/>
  <c r="N735"/>
  <c r="M735"/>
  <c r="N734"/>
  <c r="M734"/>
  <c r="N733"/>
  <c r="M733"/>
  <c r="N732"/>
  <c r="M732"/>
  <c r="N731"/>
  <c r="M731"/>
  <c r="N730"/>
  <c r="M730"/>
  <c r="N729"/>
  <c r="M729"/>
  <c r="N728"/>
  <c r="M728"/>
  <c r="N727"/>
  <c r="M727"/>
  <c r="N726"/>
  <c r="M726"/>
  <c r="N725"/>
  <c r="M725"/>
  <c r="N724"/>
  <c r="M724"/>
  <c r="N723"/>
  <c r="M723"/>
  <c r="N722"/>
  <c r="M722"/>
  <c r="N721"/>
  <c r="M721"/>
  <c r="N720"/>
  <c r="M720"/>
  <c r="N719"/>
  <c r="M719"/>
  <c r="N718"/>
  <c r="M718"/>
  <c r="N717"/>
  <c r="M717"/>
  <c r="N716"/>
  <c r="M716"/>
  <c r="N715"/>
  <c r="M715"/>
  <c r="N714"/>
  <c r="M714"/>
  <c r="N713"/>
  <c r="M713"/>
  <c r="N712"/>
  <c r="M712"/>
  <c r="N711"/>
  <c r="M711"/>
  <c r="N710"/>
  <c r="M710"/>
  <c r="N709"/>
  <c r="M709"/>
  <c r="N708"/>
  <c r="M708"/>
  <c r="N707"/>
  <c r="M707"/>
  <c r="N706"/>
  <c r="M706"/>
  <c r="N705"/>
  <c r="M705"/>
  <c r="N704"/>
  <c r="M704"/>
  <c r="N703"/>
  <c r="M703"/>
  <c r="N702"/>
  <c r="M702"/>
  <c r="N701"/>
  <c r="M701"/>
  <c r="N700"/>
  <c r="M700"/>
  <c r="N699"/>
  <c r="M699"/>
  <c r="N698"/>
  <c r="M698"/>
  <c r="N697"/>
  <c r="M697"/>
  <c r="N696"/>
  <c r="M696"/>
  <c r="N695"/>
  <c r="M695"/>
  <c r="N694"/>
  <c r="M694"/>
  <c r="N693"/>
  <c r="M693"/>
  <c r="N692"/>
  <c r="M692"/>
  <c r="N691"/>
  <c r="M691"/>
  <c r="N690"/>
  <c r="M690"/>
  <c r="N689"/>
  <c r="M689"/>
  <c r="N688"/>
  <c r="M688"/>
  <c r="N687"/>
  <c r="M687"/>
  <c r="N686"/>
  <c r="M686"/>
  <c r="N685"/>
  <c r="M685"/>
  <c r="N684"/>
  <c r="M684"/>
  <c r="N683"/>
  <c r="M683"/>
  <c r="N682"/>
  <c r="M682"/>
  <c r="N681"/>
  <c r="M681"/>
  <c r="N680"/>
  <c r="M680"/>
  <c r="N679"/>
  <c r="M679"/>
  <c r="N678"/>
  <c r="M678"/>
  <c r="N677"/>
  <c r="M677"/>
  <c r="N676"/>
  <c r="M676"/>
  <c r="N675"/>
  <c r="M675"/>
  <c r="N674"/>
  <c r="M674"/>
  <c r="N673"/>
  <c r="M673"/>
  <c r="N672"/>
  <c r="M672"/>
  <c r="N671"/>
  <c r="M671"/>
  <c r="N670"/>
  <c r="M670"/>
  <c r="N669"/>
  <c r="M669"/>
  <c r="N668"/>
  <c r="M668"/>
  <c r="N667"/>
  <c r="M667"/>
  <c r="N666"/>
  <c r="M666"/>
  <c r="N665"/>
  <c r="M665"/>
  <c r="N664"/>
  <c r="M664"/>
  <c r="N663"/>
  <c r="M663"/>
  <c r="N662"/>
  <c r="M662"/>
  <c r="N661"/>
  <c r="M661"/>
  <c r="N660"/>
  <c r="M660"/>
  <c r="N659"/>
  <c r="M659"/>
  <c r="N658"/>
  <c r="M658"/>
  <c r="N657"/>
  <c r="M657"/>
  <c r="N656"/>
  <c r="M656"/>
  <c r="N655"/>
  <c r="M655"/>
  <c r="N654"/>
  <c r="M654"/>
  <c r="N653"/>
  <c r="M653"/>
  <c r="N652"/>
  <c r="M652"/>
  <c r="N651"/>
  <c r="M651"/>
  <c r="N650"/>
  <c r="M650"/>
  <c r="N649"/>
  <c r="M649"/>
  <c r="N648"/>
  <c r="M648"/>
  <c r="N647"/>
  <c r="M647"/>
  <c r="N646"/>
  <c r="M646"/>
  <c r="N645"/>
  <c r="M645"/>
  <c r="N644"/>
  <c r="M644"/>
  <c r="N643"/>
  <c r="M643"/>
  <c r="N642"/>
  <c r="M642"/>
  <c r="N641"/>
  <c r="M641"/>
  <c r="N640"/>
  <c r="M640"/>
  <c r="N639"/>
  <c r="M639"/>
  <c r="N638"/>
  <c r="M638"/>
  <c r="N637"/>
  <c r="M637"/>
  <c r="N636"/>
  <c r="M636"/>
  <c r="N635"/>
  <c r="M635"/>
  <c r="N634"/>
  <c r="M634"/>
  <c r="N633"/>
  <c r="M633"/>
  <c r="N632"/>
  <c r="M632"/>
  <c r="N631"/>
  <c r="M631"/>
  <c r="N630"/>
  <c r="M630"/>
  <c r="N629"/>
  <c r="M629"/>
  <c r="N628"/>
  <c r="M628"/>
  <c r="N627"/>
  <c r="M627"/>
  <c r="N626"/>
  <c r="M626"/>
  <c r="N625"/>
  <c r="M625"/>
  <c r="N624"/>
  <c r="M624"/>
  <c r="N623"/>
  <c r="M623"/>
  <c r="N622"/>
  <c r="M622"/>
  <c r="N621"/>
  <c r="M621"/>
  <c r="N620"/>
  <c r="M620"/>
  <c r="N619"/>
  <c r="M619"/>
  <c r="N618"/>
  <c r="M618"/>
  <c r="N617"/>
  <c r="M617"/>
  <c r="N616"/>
  <c r="M616"/>
  <c r="N615"/>
  <c r="M615"/>
  <c r="N614"/>
  <c r="M614"/>
  <c r="N613"/>
  <c r="M613"/>
  <c r="N612"/>
  <c r="M612"/>
  <c r="N611"/>
  <c r="M611"/>
  <c r="N610"/>
  <c r="M610"/>
  <c r="N609"/>
  <c r="M609"/>
  <c r="N608"/>
  <c r="M608"/>
  <c r="N607"/>
  <c r="M607"/>
  <c r="N606"/>
  <c r="M606"/>
  <c r="N605"/>
  <c r="M605"/>
  <c r="N604"/>
  <c r="M604"/>
  <c r="N603"/>
  <c r="M603"/>
  <c r="N602"/>
  <c r="M602"/>
  <c r="N600"/>
  <c r="M600"/>
  <c r="N599"/>
  <c r="M599"/>
  <c r="N598"/>
  <c r="M598"/>
  <c r="N597"/>
  <c r="M597"/>
  <c r="N596"/>
  <c r="M596"/>
  <c r="N595"/>
  <c r="M595"/>
  <c r="N594"/>
  <c r="M594"/>
  <c r="N593"/>
  <c r="M593"/>
  <c r="N592"/>
  <c r="M592"/>
  <c r="N591"/>
  <c r="M591"/>
  <c r="N590"/>
  <c r="M590"/>
  <c r="N589"/>
  <c r="M589"/>
  <c r="N588"/>
  <c r="M588"/>
  <c r="N587"/>
  <c r="M587"/>
  <c r="N586"/>
  <c r="M586"/>
  <c r="N585"/>
  <c r="M585"/>
  <c r="N584"/>
  <c r="M584"/>
  <c r="N583"/>
  <c r="M583"/>
  <c r="N582"/>
  <c r="M582"/>
  <c r="N581"/>
  <c r="M581"/>
  <c r="N580"/>
  <c r="M580"/>
  <c r="N579"/>
  <c r="M579"/>
  <c r="N578"/>
  <c r="M578"/>
  <c r="N577"/>
  <c r="M577"/>
  <c r="N576"/>
  <c r="M576"/>
  <c r="N575"/>
  <c r="M575"/>
  <c r="N574"/>
  <c r="M574"/>
  <c r="N573"/>
  <c r="M573"/>
  <c r="N572"/>
  <c r="M572"/>
  <c r="N571"/>
  <c r="M571"/>
  <c r="N570"/>
  <c r="M570"/>
  <c r="N569"/>
  <c r="M569"/>
  <c r="N568"/>
  <c r="M568"/>
  <c r="N567"/>
  <c r="M567"/>
  <c r="N566"/>
  <c r="M566"/>
  <c r="N565"/>
  <c r="M565"/>
  <c r="N564"/>
  <c r="M564"/>
  <c r="N563"/>
  <c r="M563"/>
  <c r="N562"/>
  <c r="M562"/>
  <c r="N561"/>
  <c r="M561"/>
  <c r="N560"/>
  <c r="M560"/>
  <c r="N559"/>
  <c r="M559"/>
  <c r="N558"/>
  <c r="M558"/>
  <c r="N557"/>
  <c r="M557"/>
  <c r="N556"/>
  <c r="M556"/>
  <c r="N555"/>
  <c r="M555"/>
  <c r="N554"/>
  <c r="M554"/>
  <c r="N553"/>
  <c r="M553"/>
  <c r="N552"/>
  <c r="M552"/>
  <c r="N551"/>
  <c r="M551"/>
  <c r="N550"/>
  <c r="M550"/>
  <c r="N549"/>
  <c r="M549"/>
  <c r="N548"/>
  <c r="M548"/>
  <c r="N547"/>
  <c r="M547"/>
  <c r="N546"/>
  <c r="M546"/>
  <c r="N545"/>
  <c r="M545"/>
  <c r="N544"/>
  <c r="M544"/>
  <c r="N543"/>
  <c r="M543"/>
  <c r="N542"/>
  <c r="M542"/>
  <c r="N541"/>
  <c r="M541"/>
  <c r="N540"/>
  <c r="M540"/>
  <c r="N539"/>
  <c r="M539"/>
  <c r="N538"/>
  <c r="M538"/>
  <c r="N537"/>
  <c r="M537"/>
  <c r="N536"/>
  <c r="M536"/>
  <c r="N535"/>
  <c r="M535"/>
  <c r="N534"/>
  <c r="M534"/>
  <c r="N533"/>
  <c r="M533"/>
  <c r="N532"/>
  <c r="M532"/>
  <c r="N531"/>
  <c r="M531"/>
  <c r="N530"/>
  <c r="M530"/>
  <c r="N529"/>
  <c r="M529"/>
  <c r="N528"/>
  <c r="M528"/>
  <c r="N527"/>
  <c r="M527"/>
  <c r="N526"/>
  <c r="M526"/>
  <c r="N525"/>
  <c r="M525"/>
  <c r="N524"/>
  <c r="M524"/>
  <c r="N523"/>
  <c r="M523"/>
  <c r="N522"/>
  <c r="M522"/>
  <c r="N521"/>
  <c r="M521"/>
  <c r="N520"/>
  <c r="M520"/>
  <c r="N519"/>
  <c r="M519"/>
  <c r="N518"/>
  <c r="M518"/>
  <c r="N517"/>
  <c r="M517"/>
  <c r="N516"/>
  <c r="M516"/>
  <c r="N515"/>
  <c r="M515"/>
  <c r="N514"/>
  <c r="M514"/>
  <c r="N513"/>
  <c r="M513"/>
  <c r="N512"/>
  <c r="M512"/>
  <c r="N511"/>
  <c r="M511"/>
  <c r="N510"/>
  <c r="M510"/>
  <c r="N509"/>
  <c r="M509"/>
  <c r="N508"/>
  <c r="M508"/>
  <c r="N507"/>
  <c r="M507"/>
  <c r="N506"/>
  <c r="M506"/>
  <c r="N505"/>
  <c r="M505"/>
  <c r="N504"/>
  <c r="M504"/>
  <c r="N503"/>
  <c r="M503"/>
  <c r="N502"/>
  <c r="M502"/>
  <c r="N501"/>
  <c r="M501"/>
  <c r="N500"/>
  <c r="M500"/>
  <c r="N499"/>
  <c r="M499"/>
  <c r="N498"/>
  <c r="M498"/>
  <c r="N497"/>
  <c r="M497"/>
  <c r="N496"/>
  <c r="M496"/>
  <c r="N495"/>
  <c r="M495"/>
  <c r="N494"/>
  <c r="M494"/>
  <c r="N493"/>
  <c r="M493"/>
  <c r="N492"/>
  <c r="M492"/>
  <c r="N491"/>
  <c r="M491"/>
  <c r="N490"/>
  <c r="M490"/>
  <c r="N489"/>
  <c r="M489"/>
  <c r="N488"/>
  <c r="M488"/>
  <c r="N487"/>
  <c r="M487"/>
  <c r="N486"/>
  <c r="M486"/>
  <c r="N485"/>
  <c r="M485"/>
  <c r="N484"/>
  <c r="M484"/>
  <c r="N483"/>
  <c r="M483"/>
  <c r="N482"/>
  <c r="M482"/>
  <c r="N481"/>
  <c r="M481"/>
  <c r="N480"/>
  <c r="M480"/>
  <c r="N479"/>
  <c r="M479"/>
  <c r="N478"/>
  <c r="M478"/>
  <c r="N477"/>
  <c r="M477"/>
  <c r="N476"/>
  <c r="M476"/>
  <c r="N475"/>
  <c r="M475"/>
  <c r="N474"/>
  <c r="M474"/>
  <c r="N473"/>
  <c r="M473"/>
  <c r="N472"/>
  <c r="M472"/>
  <c r="N471"/>
  <c r="M471"/>
  <c r="N470"/>
  <c r="M470"/>
  <c r="N469"/>
  <c r="M469"/>
  <c r="N468"/>
  <c r="M468"/>
  <c r="N467"/>
  <c r="M467"/>
  <c r="N466"/>
  <c r="M466"/>
  <c r="N465"/>
  <c r="M465"/>
  <c r="N464"/>
  <c r="M464"/>
  <c r="N463"/>
  <c r="M463"/>
  <c r="N462"/>
  <c r="M462"/>
  <c r="N461"/>
  <c r="M461"/>
  <c r="N460"/>
  <c r="M460"/>
  <c r="N459"/>
  <c r="M459"/>
  <c r="N458"/>
  <c r="M458"/>
  <c r="N457"/>
  <c r="M457"/>
  <c r="N456"/>
  <c r="M456"/>
  <c r="N455"/>
  <c r="M455"/>
  <c r="N454"/>
  <c r="M454"/>
  <c r="N453"/>
  <c r="M453"/>
  <c r="N452"/>
  <c r="M452"/>
  <c r="N451"/>
  <c r="M451"/>
  <c r="N450"/>
  <c r="M450"/>
  <c r="N449"/>
  <c r="M449"/>
  <c r="N448"/>
  <c r="M448"/>
  <c r="N447"/>
  <c r="M447"/>
  <c r="N446"/>
  <c r="M446"/>
  <c r="N445"/>
  <c r="M445"/>
  <c r="N444"/>
  <c r="M444"/>
  <c r="N443"/>
  <c r="M443"/>
  <c r="N442"/>
  <c r="M442"/>
  <c r="N441"/>
  <c r="M441"/>
  <c r="N440"/>
  <c r="M440"/>
  <c r="N439"/>
  <c r="M439"/>
  <c r="N438"/>
  <c r="M438"/>
  <c r="N437"/>
  <c r="M437"/>
  <c r="N436"/>
  <c r="M436"/>
  <c r="N435"/>
  <c r="M435"/>
  <c r="N434"/>
  <c r="M434"/>
  <c r="N433"/>
  <c r="M433"/>
  <c r="N432"/>
  <c r="M432"/>
  <c r="N431"/>
  <c r="M431"/>
  <c r="N430"/>
  <c r="M430"/>
  <c r="N429"/>
  <c r="M429"/>
  <c r="N428"/>
  <c r="M428"/>
  <c r="N427"/>
  <c r="M427"/>
  <c r="N426"/>
  <c r="M426"/>
  <c r="N425"/>
  <c r="M425"/>
  <c r="N424"/>
  <c r="M424"/>
  <c r="N423"/>
  <c r="M423"/>
  <c r="N422"/>
  <c r="M422"/>
  <c r="N421"/>
  <c r="M421"/>
  <c r="N420"/>
  <c r="M420"/>
  <c r="N419"/>
  <c r="M419"/>
  <c r="N418"/>
  <c r="M418"/>
  <c r="N417"/>
  <c r="M417"/>
  <c r="N416"/>
  <c r="M416"/>
  <c r="N415"/>
  <c r="M415"/>
  <c r="N414"/>
  <c r="M414"/>
  <c r="N413"/>
  <c r="M413"/>
  <c r="N412"/>
  <c r="M412"/>
  <c r="N411"/>
  <c r="M411"/>
  <c r="N410"/>
  <c r="M410"/>
  <c r="N409"/>
  <c r="M409"/>
  <c r="N408"/>
  <c r="M408"/>
  <c r="N407"/>
  <c r="M407"/>
  <c r="N406"/>
  <c r="M406"/>
  <c r="N405"/>
  <c r="M405"/>
  <c r="N404"/>
  <c r="M404"/>
  <c r="N403"/>
  <c r="M403"/>
  <c r="N402"/>
  <c r="M402"/>
  <c r="N401"/>
  <c r="M401"/>
  <c r="N400"/>
  <c r="M400"/>
  <c r="N399"/>
  <c r="M399"/>
  <c r="N398"/>
  <c r="M398"/>
  <c r="N397"/>
  <c r="M397"/>
  <c r="N396"/>
  <c r="M396"/>
  <c r="N395"/>
  <c r="M395"/>
  <c r="N394"/>
  <c r="M394"/>
  <c r="N393"/>
  <c r="M393"/>
  <c r="N392"/>
  <c r="M392"/>
  <c r="N391"/>
  <c r="M391"/>
  <c r="N390"/>
  <c r="M390"/>
  <c r="N389"/>
  <c r="M389"/>
  <c r="N388"/>
  <c r="M388"/>
  <c r="N387"/>
  <c r="M387"/>
  <c r="N386"/>
  <c r="M386"/>
  <c r="N385"/>
  <c r="M385"/>
  <c r="N384"/>
  <c r="M384"/>
  <c r="N383"/>
  <c r="M383"/>
  <c r="N382"/>
  <c r="M382"/>
  <c r="N381"/>
  <c r="M381"/>
  <c r="N380"/>
  <c r="M380"/>
  <c r="N379"/>
  <c r="M379"/>
  <c r="N378"/>
  <c r="M378"/>
  <c r="N377"/>
  <c r="M377"/>
  <c r="N376"/>
  <c r="M376"/>
  <c r="N375"/>
  <c r="M375"/>
  <c r="N374"/>
  <c r="M374"/>
  <c r="N373"/>
  <c r="M373"/>
  <c r="N372"/>
  <c r="M372"/>
  <c r="N371"/>
  <c r="M371"/>
  <c r="N370"/>
  <c r="M370"/>
  <c r="N369"/>
  <c r="M369"/>
  <c r="N368"/>
  <c r="M368"/>
  <c r="N367"/>
  <c r="M367"/>
  <c r="N366"/>
  <c r="M366"/>
  <c r="N365"/>
  <c r="M365"/>
  <c r="N364"/>
  <c r="M364"/>
  <c r="N363"/>
  <c r="M363"/>
  <c r="N362"/>
  <c r="M362"/>
  <c r="N361"/>
  <c r="M361"/>
  <c r="N360"/>
  <c r="M360"/>
  <c r="N359"/>
  <c r="M359"/>
  <c r="N358"/>
  <c r="M358"/>
  <c r="N357"/>
  <c r="M357"/>
  <c r="N356"/>
  <c r="M356"/>
  <c r="N355"/>
  <c r="M355"/>
  <c r="N354"/>
  <c r="M354"/>
  <c r="N353"/>
  <c r="M353"/>
  <c r="N352"/>
  <c r="M352"/>
  <c r="N351"/>
  <c r="M351"/>
  <c r="N350"/>
  <c r="M350"/>
  <c r="N349"/>
  <c r="M349"/>
  <c r="N348"/>
  <c r="M348"/>
  <c r="N347"/>
  <c r="M347"/>
  <c r="N346"/>
  <c r="M346"/>
  <c r="N345"/>
  <c r="M345"/>
  <c r="N344"/>
  <c r="M344"/>
  <c r="N343"/>
  <c r="M343"/>
  <c r="N342"/>
  <c r="M342"/>
  <c r="N341"/>
  <c r="M341"/>
  <c r="N340"/>
  <c r="M340"/>
  <c r="N339"/>
  <c r="M339"/>
  <c r="N338"/>
  <c r="M338"/>
  <c r="N337"/>
  <c r="M337"/>
  <c r="N336"/>
  <c r="M336"/>
  <c r="N335"/>
  <c r="M335"/>
  <c r="N334"/>
  <c r="M334"/>
  <c r="N333"/>
  <c r="M333"/>
  <c r="N332"/>
  <c r="M332"/>
  <c r="N331"/>
  <c r="M331"/>
  <c r="N330"/>
  <c r="M330"/>
  <c r="N329"/>
  <c r="M329"/>
  <c r="N328"/>
  <c r="M328"/>
  <c r="N327"/>
  <c r="M327"/>
  <c r="N326"/>
  <c r="M326"/>
  <c r="N325"/>
  <c r="M325"/>
  <c r="N324"/>
  <c r="M324"/>
  <c r="N323"/>
  <c r="M323"/>
  <c r="N322"/>
  <c r="M322"/>
  <c r="N321"/>
  <c r="M321"/>
  <c r="N320"/>
  <c r="M320"/>
  <c r="N319"/>
  <c r="M319"/>
  <c r="N318"/>
  <c r="M318"/>
  <c r="N317"/>
  <c r="M317"/>
  <c r="N316"/>
  <c r="M316"/>
  <c r="N315"/>
  <c r="M315"/>
  <c r="N314"/>
  <c r="M314"/>
  <c r="N313"/>
  <c r="M313"/>
  <c r="N312"/>
  <c r="M312"/>
  <c r="N311"/>
  <c r="M311"/>
  <c r="N310"/>
  <c r="M310"/>
  <c r="N309"/>
  <c r="M309"/>
  <c r="N308"/>
  <c r="M308"/>
  <c r="N307"/>
  <c r="M307"/>
  <c r="N306"/>
  <c r="M306"/>
  <c r="N305"/>
  <c r="M305"/>
  <c r="N304"/>
  <c r="M304"/>
  <c r="N303"/>
  <c r="M303"/>
  <c r="N302"/>
  <c r="M302"/>
  <c r="N301"/>
  <c r="M301"/>
  <c r="N300"/>
  <c r="M300"/>
  <c r="N299"/>
  <c r="M299"/>
  <c r="N298"/>
  <c r="M298"/>
  <c r="N297"/>
  <c r="M297"/>
  <c r="N296"/>
  <c r="M296"/>
  <c r="N295"/>
  <c r="M295"/>
  <c r="N294"/>
  <c r="M294"/>
  <c r="N293"/>
  <c r="M293"/>
  <c r="N292"/>
  <c r="M292"/>
  <c r="N291"/>
  <c r="M291"/>
  <c r="N290"/>
  <c r="M290"/>
  <c r="N289"/>
  <c r="M289"/>
  <c r="N288"/>
  <c r="M288"/>
  <c r="N287"/>
  <c r="M287"/>
  <c r="N286"/>
  <c r="M286"/>
  <c r="N285"/>
  <c r="M285"/>
  <c r="N284"/>
  <c r="M284"/>
  <c r="N283"/>
  <c r="M283"/>
  <c r="N282"/>
  <c r="M282"/>
  <c r="N281"/>
  <c r="M281"/>
  <c r="N280"/>
  <c r="M280"/>
  <c r="N279"/>
  <c r="M279"/>
  <c r="N278"/>
  <c r="M278"/>
  <c r="N277"/>
  <c r="M277"/>
  <c r="N276"/>
  <c r="M276"/>
  <c r="N275"/>
  <c r="M275"/>
  <c r="N274"/>
  <c r="M274"/>
  <c r="N273"/>
  <c r="M273"/>
  <c r="N272"/>
  <c r="M272"/>
  <c r="N271"/>
  <c r="M271"/>
  <c r="N270"/>
  <c r="M270"/>
  <c r="N269"/>
  <c r="M269"/>
  <c r="N268"/>
  <c r="M268"/>
  <c r="N267"/>
  <c r="M267"/>
  <c r="N266"/>
  <c r="M266"/>
  <c r="N265"/>
  <c r="M265"/>
  <c r="N264"/>
  <c r="M264"/>
  <c r="N263"/>
  <c r="M263"/>
  <c r="N262"/>
  <c r="M262"/>
  <c r="N261"/>
  <c r="M261"/>
  <c r="N260"/>
  <c r="M260"/>
  <c r="N259"/>
  <c r="M259"/>
  <c r="N258"/>
  <c r="M258"/>
  <c r="N257"/>
  <c r="M257"/>
  <c r="N256"/>
  <c r="M256"/>
  <c r="N255"/>
  <c r="M255"/>
  <c r="N254"/>
  <c r="M254"/>
  <c r="N253"/>
  <c r="M253"/>
  <c r="N252"/>
  <c r="M252"/>
  <c r="N251"/>
  <c r="M251"/>
  <c r="N250"/>
  <c r="M250"/>
  <c r="N249"/>
  <c r="M249"/>
  <c r="N248"/>
  <c r="M248"/>
  <c r="N247"/>
  <c r="M247"/>
  <c r="N246"/>
  <c r="M246"/>
  <c r="N245"/>
  <c r="M245"/>
  <c r="N244"/>
  <c r="M244"/>
  <c r="N243"/>
  <c r="M243"/>
  <c r="N242"/>
  <c r="M242"/>
  <c r="N241"/>
  <c r="M241"/>
  <c r="N240"/>
  <c r="M240"/>
  <c r="N239"/>
  <c r="M239"/>
  <c r="N238"/>
  <c r="M238"/>
  <c r="N237"/>
  <c r="M237"/>
  <c r="N236"/>
  <c r="M236"/>
  <c r="N235"/>
  <c r="M235"/>
  <c r="N234"/>
  <c r="M234"/>
  <c r="N233"/>
  <c r="M233"/>
  <c r="N232"/>
  <c r="M232"/>
  <c r="N231"/>
  <c r="M231"/>
  <c r="N230"/>
  <c r="M230"/>
  <c r="N229"/>
  <c r="M229"/>
  <c r="N228"/>
  <c r="M228"/>
  <c r="N227"/>
  <c r="M227"/>
  <c r="N226"/>
  <c r="M226"/>
  <c r="N225"/>
  <c r="M225"/>
  <c r="N224"/>
  <c r="M224"/>
  <c r="N223"/>
  <c r="M223"/>
  <c r="N222"/>
  <c r="M222"/>
  <c r="N221"/>
  <c r="M221"/>
  <c r="N220"/>
  <c r="M220"/>
  <c r="N219"/>
  <c r="M219"/>
  <c r="N218"/>
  <c r="M218"/>
  <c r="N217"/>
  <c r="M217"/>
  <c r="N216"/>
  <c r="M216"/>
  <c r="N215"/>
  <c r="M215"/>
  <c r="N214"/>
  <c r="M214"/>
  <c r="N213"/>
  <c r="M213"/>
  <c r="N212"/>
  <c r="M212"/>
  <c r="N211"/>
  <c r="M211"/>
  <c r="N210"/>
  <c r="M210"/>
  <c r="N209"/>
  <c r="M209"/>
  <c r="N208"/>
  <c r="M208"/>
  <c r="N207"/>
  <c r="M207"/>
  <c r="N206"/>
  <c r="M206"/>
  <c r="N205"/>
  <c r="M205"/>
  <c r="N204"/>
  <c r="M204"/>
  <c r="N203"/>
  <c r="M203"/>
  <c r="N202"/>
  <c r="M202"/>
  <c r="N201"/>
  <c r="M201"/>
  <c r="N200"/>
  <c r="M200"/>
  <c r="N199"/>
  <c r="M199"/>
  <c r="N198"/>
  <c r="M198"/>
  <c r="N197"/>
  <c r="M197"/>
  <c r="N196"/>
  <c r="M196"/>
  <c r="N195"/>
  <c r="M195"/>
  <c r="N194"/>
  <c r="M194"/>
  <c r="N193"/>
  <c r="M193"/>
  <c r="N192"/>
  <c r="M192"/>
  <c r="N191"/>
  <c r="M191"/>
  <c r="N190"/>
  <c r="M190"/>
  <c r="N189"/>
  <c r="M189"/>
  <c r="N188"/>
  <c r="M188"/>
  <c r="N187"/>
  <c r="M187"/>
  <c r="N186"/>
  <c r="M186"/>
  <c r="N185"/>
  <c r="M185"/>
  <c r="N184"/>
  <c r="M184"/>
  <c r="N183"/>
  <c r="M183"/>
  <c r="N182"/>
  <c r="M182"/>
  <c r="N181"/>
  <c r="M181"/>
  <c r="N180"/>
  <c r="M180"/>
  <c r="N179"/>
  <c r="M179"/>
  <c r="N178"/>
  <c r="M178"/>
  <c r="N177"/>
  <c r="M177"/>
  <c r="N176"/>
  <c r="M176"/>
  <c r="N175"/>
  <c r="M175"/>
  <c r="N174"/>
  <c r="M174"/>
  <c r="N173"/>
  <c r="M173"/>
  <c r="N172"/>
  <c r="M172"/>
  <c r="N171"/>
  <c r="M171"/>
  <c r="N170"/>
  <c r="M170"/>
  <c r="N169"/>
  <c r="M169"/>
  <c r="N168"/>
  <c r="M168"/>
  <c r="N167"/>
  <c r="M167"/>
  <c r="N166"/>
  <c r="M166"/>
  <c r="N165"/>
  <c r="M165"/>
  <c r="N164"/>
  <c r="M164"/>
  <c r="N163"/>
  <c r="M163"/>
  <c r="N162"/>
  <c r="M162"/>
  <c r="N161"/>
  <c r="M161"/>
  <c r="N160"/>
  <c r="M160"/>
  <c r="N159"/>
  <c r="M159"/>
  <c r="N158"/>
  <c r="M158"/>
  <c r="N157"/>
  <c r="M157"/>
  <c r="N156"/>
  <c r="M156"/>
  <c r="N155"/>
  <c r="M155"/>
  <c r="N154"/>
  <c r="M154"/>
  <c r="N153"/>
  <c r="M153"/>
  <c r="N152"/>
  <c r="M152"/>
  <c r="N151"/>
  <c r="M151"/>
  <c r="N150"/>
  <c r="M150"/>
  <c r="N149"/>
  <c r="M149"/>
  <c r="N148"/>
  <c r="M148"/>
  <c r="N147"/>
  <c r="M147"/>
  <c r="N146"/>
  <c r="M146"/>
  <c r="N145"/>
  <c r="M145"/>
  <c r="N144"/>
  <c r="M144"/>
  <c r="N143"/>
  <c r="M143"/>
  <c r="N142"/>
  <c r="M142"/>
  <c r="N141"/>
  <c r="M141"/>
  <c r="N140"/>
  <c r="M140"/>
  <c r="N139"/>
  <c r="M139"/>
  <c r="N138"/>
  <c r="M138"/>
  <c r="N137"/>
  <c r="M137"/>
  <c r="N136"/>
  <c r="M136"/>
  <c r="N135"/>
  <c r="M135"/>
  <c r="N134"/>
  <c r="M134"/>
  <c r="N133"/>
  <c r="M133"/>
  <c r="N132"/>
  <c r="M132"/>
  <c r="N131"/>
  <c r="M131"/>
  <c r="N130"/>
  <c r="M130"/>
  <c r="N129"/>
  <c r="M129"/>
  <c r="N128"/>
  <c r="M128"/>
  <c r="N127"/>
  <c r="M127"/>
  <c r="N126"/>
  <c r="M126"/>
  <c r="N125"/>
  <c r="M125"/>
  <c r="N124"/>
  <c r="M124"/>
  <c r="N123"/>
  <c r="M123"/>
  <c r="N122"/>
  <c r="M122"/>
  <c r="N121"/>
  <c r="M121"/>
  <c r="N120"/>
  <c r="M120"/>
  <c r="N119"/>
  <c r="M119"/>
  <c r="N118"/>
  <c r="M118"/>
  <c r="N117"/>
  <c r="M117"/>
  <c r="N116"/>
  <c r="M116"/>
  <c r="N115"/>
  <c r="M115"/>
  <c r="N114"/>
  <c r="M114"/>
  <c r="N113"/>
  <c r="M113"/>
  <c r="N112"/>
  <c r="M112"/>
  <c r="N111"/>
  <c r="M111"/>
  <c r="N110"/>
  <c r="M110"/>
  <c r="N109"/>
  <c r="M109"/>
  <c r="N108"/>
  <c r="M108"/>
  <c r="N107"/>
  <c r="M107"/>
  <c r="N106"/>
  <c r="M106"/>
  <c r="N105"/>
  <c r="M105"/>
  <c r="N104"/>
  <c r="M104"/>
  <c r="N103"/>
  <c r="M103"/>
  <c r="N102"/>
  <c r="M102"/>
  <c r="N101"/>
  <c r="M101"/>
  <c r="N100"/>
  <c r="M100"/>
  <c r="N99"/>
  <c r="M99"/>
  <c r="N98"/>
  <c r="M98"/>
  <c r="N97"/>
  <c r="M97"/>
  <c r="N96"/>
  <c r="M96"/>
  <c r="N95"/>
  <c r="M95"/>
  <c r="N94"/>
  <c r="M94"/>
  <c r="N93"/>
  <c r="M93"/>
  <c r="N92"/>
  <c r="M92"/>
  <c r="N91"/>
  <c r="M91"/>
  <c r="N90"/>
  <c r="M90"/>
  <c r="N89"/>
  <c r="M89"/>
  <c r="N88"/>
  <c r="M88"/>
  <c r="N87"/>
  <c r="M87"/>
  <c r="N86"/>
  <c r="M86"/>
  <c r="N85"/>
  <c r="M85"/>
  <c r="N84"/>
  <c r="M84"/>
  <c r="N83"/>
  <c r="M83"/>
  <c r="N82"/>
  <c r="M82"/>
  <c r="N81"/>
  <c r="M81"/>
  <c r="N80"/>
  <c r="M80"/>
  <c r="N79"/>
  <c r="M79"/>
  <c r="N78"/>
  <c r="M78"/>
  <c r="N77"/>
  <c r="M77"/>
  <c r="N76"/>
  <c r="M76"/>
  <c r="N75"/>
  <c r="M75"/>
  <c r="N74"/>
  <c r="M74"/>
  <c r="N73"/>
  <c r="M73"/>
  <c r="N72"/>
  <c r="M72"/>
  <c r="N71"/>
  <c r="M71"/>
  <c r="N70"/>
  <c r="M70"/>
  <c r="N69"/>
  <c r="M69"/>
  <c r="N68"/>
  <c r="M68"/>
  <c r="N67"/>
  <c r="M67"/>
  <c r="N66"/>
  <c r="M66"/>
  <c r="N65"/>
  <c r="M65"/>
  <c r="N64"/>
  <c r="M64"/>
  <c r="N63"/>
  <c r="M63"/>
  <c r="N62"/>
  <c r="M62"/>
  <c r="N61"/>
  <c r="M61"/>
  <c r="N60"/>
  <c r="M60"/>
  <c r="N59"/>
  <c r="M59"/>
  <c r="N58"/>
  <c r="M58"/>
  <c r="N57"/>
  <c r="M57"/>
  <c r="N56"/>
  <c r="M56"/>
  <c r="N55"/>
  <c r="M55"/>
  <c r="N54"/>
  <c r="M54"/>
  <c r="N53"/>
  <c r="M53"/>
  <c r="N52"/>
  <c r="M52"/>
  <c r="N51"/>
  <c r="M51"/>
  <c r="N50"/>
  <c r="M50"/>
  <c r="N49"/>
  <c r="M49"/>
  <c r="N48"/>
  <c r="M48"/>
  <c r="N47"/>
  <c r="M47"/>
  <c r="N46"/>
  <c r="M46"/>
  <c r="N45"/>
  <c r="M45"/>
  <c r="N44"/>
  <c r="M44"/>
  <c r="N43"/>
  <c r="M43"/>
  <c r="N42"/>
  <c r="M42"/>
  <c r="N41"/>
  <c r="M41"/>
  <c r="N40"/>
  <c r="M40"/>
  <c r="N39"/>
  <c r="M39"/>
  <c r="N38"/>
  <c r="M38"/>
  <c r="N37"/>
  <c r="M37"/>
  <c r="N36"/>
  <c r="M36"/>
  <c r="N35"/>
  <c r="M35"/>
  <c r="N34"/>
  <c r="M34"/>
  <c r="N33"/>
  <c r="M33"/>
  <c r="N32"/>
  <c r="M32"/>
  <c r="N31"/>
  <c r="M31"/>
  <c r="N30"/>
  <c r="M30"/>
  <c r="N29"/>
  <c r="M29"/>
  <c r="N28"/>
  <c r="M28"/>
  <c r="N27"/>
  <c r="M27"/>
  <c r="N26"/>
  <c r="M26"/>
  <c r="N25"/>
  <c r="M25"/>
  <c r="N24"/>
  <c r="M24"/>
  <c r="N23"/>
  <c r="M23"/>
  <c r="N22"/>
  <c r="M22"/>
  <c r="N21"/>
  <c r="M21"/>
  <c r="N20"/>
  <c r="M20"/>
  <c r="N19"/>
  <c r="M19"/>
  <c r="N18"/>
  <c r="M18"/>
  <c r="N17"/>
  <c r="M17"/>
  <c r="N16"/>
  <c r="M16"/>
  <c r="N15"/>
  <c r="M15"/>
  <c r="N14"/>
  <c r="M14"/>
  <c r="N13"/>
  <c r="M13"/>
  <c r="N12"/>
  <c r="M12"/>
  <c r="N11"/>
  <c r="M11"/>
  <c r="N10"/>
  <c r="M10"/>
  <c r="N9"/>
  <c r="M9"/>
  <c r="N8"/>
  <c r="M8"/>
  <c r="N7"/>
  <c r="M7"/>
  <c r="N6"/>
  <c r="M6"/>
  <c r="N5"/>
  <c r="M5"/>
  <c r="N4"/>
  <c r="M4"/>
  <c r="N3"/>
  <c r="M3"/>
  <c r="N2"/>
  <c r="M2"/>
</calcChain>
</file>

<file path=xl/sharedStrings.xml><?xml version="1.0" encoding="utf-8"?>
<sst xmlns="http://schemas.openxmlformats.org/spreadsheetml/2006/main" count="42014" uniqueCount="6922">
  <si>
    <t>Ability Grouping Status</t>
  </si>
  <si>
    <t>An indication of whether the school has students who are ability grouped for classroom instruction in mathematics or English/reading/language arts.</t>
  </si>
  <si>
    <t>K-12 -&gt; Civil Rights Data Collection</t>
  </si>
  <si>
    <t>Association</t>
  </si>
  <si>
    <t>000328</t>
  </si>
  <si>
    <t>AbilityGroupingStatus</t>
  </si>
  <si>
    <t>Absent Attendance Category</t>
  </si>
  <si>
    <t>The category that describes how the student spends his or her time not physically present on school grounds and not participating in instruction or instruction-related activities at an approved off-grounds location.</t>
  </si>
  <si>
    <t>K12 -&gt; K12 Student -&gt; Attendance</t>
  </si>
  <si>
    <t>000599</t>
  </si>
  <si>
    <t>AbsentAttendanceCategory</t>
  </si>
  <si>
    <t>Academic Award Date</t>
  </si>
  <si>
    <t>The year, month and day or year and month on which the academic award was conferred.</t>
  </si>
  <si>
    <t>None</t>
  </si>
  <si>
    <t>Postsecondary -&gt; PS Student -&gt; Academic Record</t>
  </si>
  <si>
    <t>YYYY-MM-DD or YYYY-MM</t>
  </si>
  <si>
    <t>000001</t>
  </si>
  <si>
    <t>AcademicAwardDate</t>
  </si>
  <si>
    <t>Academic Award Level Conferred</t>
  </si>
  <si>
    <t>An indicator of the category of award conferred by a college, university, or other postsecondary education institution as official recognition for the successful completion of a program of study.</t>
  </si>
  <si>
    <t>000002</t>
  </si>
  <si>
    <t>AcademicAwardLevelConferred</t>
  </si>
  <si>
    <t>Academic Award Title</t>
  </si>
  <si>
    <t>The descriptive title for the academic award.</t>
  </si>
  <si>
    <t>Postsecondary Education -&gt; Transition</t>
  </si>
  <si>
    <t>Alphanumeric - 80 characters maximum</t>
  </si>
  <si>
    <t>000003</t>
  </si>
  <si>
    <t>AcademicAwardTitle</t>
  </si>
  <si>
    <t>Academic Honors Type</t>
  </si>
  <si>
    <t>A designation of the type of academic distinctions earned by or awarded to the student.</t>
  </si>
  <si>
    <t>K12 -&gt; K12 Student -&gt; Academic Record</t>
  </si>
  <si>
    <t>000004</t>
  </si>
  <si>
    <t>AcademicHonorsType</t>
  </si>
  <si>
    <t>Academic Rank</t>
  </si>
  <si>
    <t>The academic rank of staff whose primary responsibility is instruction, research, and/or public service. Institutions without standard academic ranks should code staff whose primary responsibility is instruction, research, and/or public service as "No Academic Rank."</t>
  </si>
  <si>
    <t>Postsecondary -&gt; PS Staff -&gt; Employment</t>
  </si>
  <si>
    <t>Postsecondary Education -&gt; IPEDS -&gt; HR</t>
  </si>
  <si>
    <t>Element definition and option set defined in IPEDS. Adjunct is not included since it can be determined from a combination of the elements Instructional Staff Faculty Tenure Status and Full-time Status.</t>
  </si>
  <si>
    <t>000740</t>
  </si>
  <si>
    <t>AcademicRank</t>
  </si>
  <si>
    <t>Academic Term Designator</t>
  </si>
  <si>
    <t>The academic term for which the data apply.</t>
  </si>
  <si>
    <t>Postsecondary Education -&gt; Complete College America</t>
  </si>
  <si>
    <t>Needs to be used in combination with Predominant Calendar System element in order to determine if the option set is referring to a semester, quarter, or some other term length.</t>
  </si>
  <si>
    <t>000727</t>
  </si>
  <si>
    <t>AcademicTermDesignator</t>
  </si>
  <si>
    <t>Academic Year Designator</t>
  </si>
  <si>
    <t>The academic year for which the data apply.</t>
  </si>
  <si>
    <t>YYYY-YY</t>
  </si>
  <si>
    <t>000726</t>
  </si>
  <si>
    <t>AcademicYearDesignator</t>
  </si>
  <si>
    <t>Accommodations Needed Type</t>
  </si>
  <si>
    <t>Codes identifying the set of health accommodations.</t>
  </si>
  <si>
    <t>Postsecondary -&gt; PS Student</t>
  </si>
  <si>
    <t>New</t>
  </si>
  <si>
    <t>001277</t>
  </si>
  <si>
    <t>AccommodationsNeededType</t>
  </si>
  <si>
    <t>Accountability Report Title</t>
  </si>
  <si>
    <t>The title of the accountability report.</t>
  </si>
  <si>
    <t>K12 -&gt; LEA -&gt; Accountability</t>
  </si>
  <si>
    <t>000005</t>
  </si>
  <si>
    <t>AccountabilityReportTitle</t>
  </si>
  <si>
    <t>Accreditation Agency</t>
  </si>
  <si>
    <t>The agency that accredited a program.</t>
  </si>
  <si>
    <t>Early Learning -&gt; EL Organization -&gt; Accreditation</t>
  </si>
  <si>
    <t>Early Learning -&gt; Program Quality</t>
  </si>
  <si>
    <t>Updated</t>
  </si>
  <si>
    <t>Added "Other" to option set.</t>
  </si>
  <si>
    <t>Organization Name may be used with Organization Type='Accrediting Organization' when Accreditation Agency is set to 'Other Accreditation Agency.</t>
  </si>
  <si>
    <t>000982</t>
  </si>
  <si>
    <t>AccreditationAgency</t>
  </si>
  <si>
    <t>Accreditation Award Date</t>
  </si>
  <si>
    <t>The year, month and day when an accreditation was awarded.</t>
  </si>
  <si>
    <t>YYYY-MM-DD</t>
  </si>
  <si>
    <t>000840</t>
  </si>
  <si>
    <t>AccreditationAwardDate</t>
  </si>
  <si>
    <t>Accreditation Expiration Date</t>
  </si>
  <si>
    <t>The year, month and day when an accreditation expires.</t>
  </si>
  <si>
    <t>000841</t>
  </si>
  <si>
    <t>AccreditationExpirationDate</t>
  </si>
  <si>
    <t>Achievement Award Expires Date</t>
  </si>
  <si>
    <t>Date on which the award expires.</t>
  </si>
  <si>
    <t>Removed</t>
  </si>
  <si>
    <t>This is only used for achievements that have a credential that can expire, e.g. a CPR certificate that must be renewed. If omitted, the award never expires.</t>
  </si>
  <si>
    <t>000899</t>
  </si>
  <si>
    <t>AchievementAwardExpiresDate</t>
  </si>
  <si>
    <t>Achievement Award Issuer Name</t>
  </si>
  <si>
    <t>The name of the agent issuing the award.</t>
  </si>
  <si>
    <t>Alphanumeric - 128 characters maximum</t>
  </si>
  <si>
    <t>000898</t>
  </si>
  <si>
    <t>AchievementAwardIssuerName</t>
  </si>
  <si>
    <t>Achievement Award Issuer Origin URL</t>
  </si>
  <si>
    <t>The Uniform Resource Locator (URL) from which the award was issued.</t>
  </si>
  <si>
    <t>Alphanumeric - 300 characters maximum</t>
  </si>
  <si>
    <t>Updated definition.</t>
  </si>
  <si>
    <t>Used only if an award is issued electronically for the achievement.</t>
  </si>
  <si>
    <t>000900</t>
  </si>
  <si>
    <t>AchievementAwardIssuerOriginURL</t>
  </si>
  <si>
    <t>Achievement Category System</t>
  </si>
  <si>
    <t>The system that defines the categories by which an achievement is attributed to the learner.</t>
  </si>
  <si>
    <t>Alphanumeric - 30 characters maximum</t>
  </si>
  <si>
    <t>This element recognizes formal adoption of categories for the Achievement Category Type to aid in comparability of data when a formally adopted vocabulary is used.</t>
  </si>
  <si>
    <t>001245</t>
  </si>
  <si>
    <t>AchievementCategorySystem</t>
  </si>
  <si>
    <t>Achievement Category Type</t>
  </si>
  <si>
    <t>The category of achievement attributed to the learner.</t>
  </si>
  <si>
    <t>Alphanumeric - 60 characters maximum</t>
  </si>
  <si>
    <t>Categories could include "Competency Mastered", "Competency Retained", "Course Completed", "Level Completed", "Certificate Earned", "Diploma Earned", "License Earned", "License Endorsement Earned", "Participation", "Academic Honor", "Non-Academic Honor", etc. (This element supports an emerging use case, therefore a complete set of options are not known. Future CEDS versions may define an Achievement Type element when a fixed option set can be compiled.) Note: The Achievement entity is most valuable when linked to a specific competency set that defined the learning standards related to the achievement.</t>
  </si>
  <si>
    <t>000892</t>
  </si>
  <si>
    <t>AchievementCategoryType</t>
  </si>
  <si>
    <t>Achievement Criteria</t>
  </si>
  <si>
    <t>The criteria for competency-based completion of the achievement/award.</t>
  </si>
  <si>
    <t>000896</t>
  </si>
  <si>
    <t>AchievementCriteria</t>
  </si>
  <si>
    <t>Achievement Criteria URL</t>
  </si>
  <si>
    <t>The Uniform Resource Locator (URL) for the unique address of a web page describing the competency-based completion criteria for the achievement/award.</t>
  </si>
  <si>
    <t>001153</t>
  </si>
  <si>
    <t>AchievementCriteriaURL</t>
  </si>
  <si>
    <t>Achievement Date</t>
  </si>
  <si>
    <t>The year, month and day or year and month on which the achievement was recognized.</t>
  </si>
  <si>
    <t>000897</t>
  </si>
  <si>
    <t>AchievementDate</t>
  </si>
  <si>
    <t>Achievement Description</t>
  </si>
  <si>
    <t>A description of the achievement.</t>
  </si>
  <si>
    <t>000895</t>
  </si>
  <si>
    <t>AchievementDescription</t>
  </si>
  <si>
    <t>Achievement End Date</t>
  </si>
  <si>
    <t>The date, if any, on which the award or achievement expires or requires renewal.</t>
  </si>
  <si>
    <t>001164</t>
  </si>
  <si>
    <t>AchievementEndDate</t>
  </si>
  <si>
    <t>Achievement Evidence Statement</t>
  </si>
  <si>
    <t>A statement or reference describing the evidence that the learner met the criteria for attainment of the achievement.</t>
  </si>
  <si>
    <t>000901</t>
  </si>
  <si>
    <t>AchievementEvidenceStatement</t>
  </si>
  <si>
    <t>Achievement Image URL</t>
  </si>
  <si>
    <t>The Uniform Resource Locator (URL) for the unique address of an image representing an award or badge associated with the achievement.</t>
  </si>
  <si>
    <t>Typical use is for online display of a badge image.</t>
  </si>
  <si>
    <t>000894</t>
  </si>
  <si>
    <t>AchievementImageURL</t>
  </si>
  <si>
    <t>Achievement Start Date</t>
  </si>
  <si>
    <t>The date on which the achievement was conferred.</t>
  </si>
  <si>
    <t>001163</t>
  </si>
  <si>
    <t>AchievementStartDate</t>
  </si>
  <si>
    <t>Achievement Title</t>
  </si>
  <si>
    <t>The title assigned to the achievement.</t>
  </si>
  <si>
    <t>000893</t>
  </si>
  <si>
    <t>AchievementTitle</t>
  </si>
  <si>
    <t>Activity Identifier</t>
  </si>
  <si>
    <t>A unique number or alphanumeric code used in the local system to identify an activity, such as a co-curricular or extra-curricular activity that is offered at an education institution.</t>
  </si>
  <si>
    <t>Alphanumeric - 40 characters maximum</t>
  </si>
  <si>
    <t>000006</t>
  </si>
  <si>
    <t>ActivityIdentifier</t>
  </si>
  <si>
    <t>Activity Involvement Begin Date</t>
  </si>
  <si>
    <t>The year, month and day on which the person began to participate in the activity.</t>
  </si>
  <si>
    <t>K12 -&gt; K12 Student -&gt; Enrollment</t>
  </si>
  <si>
    <t>000007</t>
  </si>
  <si>
    <t>ActivityInvolvementBeginDate</t>
  </si>
  <si>
    <t>Activity Involvement End Date</t>
  </si>
  <si>
    <t>The year, month and day on which the person ceased to participate in the activity.</t>
  </si>
  <si>
    <t>000008</t>
  </si>
  <si>
    <t>ActivityInvolvementEndDate</t>
  </si>
  <si>
    <t>Activity Title</t>
  </si>
  <si>
    <t>The title for a particular activity, such as a co-curricular or extra-curricular activity.</t>
  </si>
  <si>
    <t>000009</t>
  </si>
  <si>
    <t>ActivityTitle</t>
  </si>
  <si>
    <t>Additional Credit Type</t>
  </si>
  <si>
    <t>The type of credits or units of value available for the completion of a course in addition to Carnegie Units.</t>
  </si>
  <si>
    <t>Name changed. Was Additional Credit Type Awarded. Definition updated. Additions to option set.</t>
  </si>
  <si>
    <t>000596</t>
  </si>
  <si>
    <t>AdditionalCreditType</t>
  </si>
  <si>
    <t>Address Apartment Room or Suite Number</t>
  </si>
  <si>
    <t>The apartment, room, or suite number of an address.</t>
  </si>
  <si>
    <t>000019</t>
  </si>
  <si>
    <t>AddressApartmentRoomOrSuiteNumber</t>
  </si>
  <si>
    <t>Address City</t>
  </si>
  <si>
    <t>The name of the city in which an address is located.</t>
  </si>
  <si>
    <t>000040</t>
  </si>
  <si>
    <t>AddressCity</t>
  </si>
  <si>
    <t>Address County Name</t>
  </si>
  <si>
    <t>The name of the county, parish, borough, or comparable unit (within a state) in which an address is located.</t>
  </si>
  <si>
    <t>000190</t>
  </si>
  <si>
    <t>AddressCountyName</t>
  </si>
  <si>
    <t>Address Postal Code</t>
  </si>
  <si>
    <t>A number that identifies each postal delivery area in the United States used as a portion of an address.</t>
  </si>
  <si>
    <t>Alphanumeric - 17 characters maximum</t>
  </si>
  <si>
    <t>000214</t>
  </si>
  <si>
    <t>AddressPostalCode</t>
  </si>
  <si>
    <t>Address Street Number and Name</t>
  </si>
  <si>
    <t>The street number and street name or post office box number of an address.</t>
  </si>
  <si>
    <t>000269</t>
  </si>
  <si>
    <t>AddressStreetNumberAndName</t>
  </si>
  <si>
    <t>Address Type for Learner or Family</t>
  </si>
  <si>
    <t>The type of address listed for a learner or a parent, guardian, family member or related person.</t>
  </si>
  <si>
    <t>Option set updated.</t>
  </si>
  <si>
    <t>000010</t>
  </si>
  <si>
    <t>AddressTypeForLearnerOrFamily</t>
  </si>
  <si>
    <t>Address Type for Organization</t>
  </si>
  <si>
    <t>The type of address listed for an organization.</t>
  </si>
  <si>
    <t>001066</t>
  </si>
  <si>
    <t>AddressTypeForOrganization</t>
  </si>
  <si>
    <t>Address Type for Staff</t>
  </si>
  <si>
    <t>The address type for a staff member.</t>
  </si>
  <si>
    <t>Early Learning -&gt; Staff Quality</t>
  </si>
  <si>
    <t>000722</t>
  </si>
  <si>
    <t>AddressTypeForStaff</t>
  </si>
  <si>
    <t>Adequate Yearly Progress Appeal Changed Designation</t>
  </si>
  <si>
    <t>An indication that the appeal resulted in a change in a school or district's AYP designation.</t>
  </si>
  <si>
    <t>K-12 -&gt; Consolidated State Performance Report</t>
  </si>
  <si>
    <t>000443</t>
  </si>
  <si>
    <t>AYP Appeal Changed Designation</t>
  </si>
  <si>
    <t>AYPAppealChangedDesignation</t>
  </si>
  <si>
    <t>Adequate Yearly Progress Appeal Process Date</t>
  </si>
  <si>
    <t>The last date that an appeal of an AYP designation was processed.</t>
  </si>
  <si>
    <t>000444</t>
  </si>
  <si>
    <t>AYP Appeal Process Date</t>
  </si>
  <si>
    <t>AYPAppealProcessDate</t>
  </si>
  <si>
    <t>Adequate Yearly Progress Status</t>
  </si>
  <si>
    <t>An indication of whether the state, district, or school met the Adequate Yearly Progress (AYP) requirements for the school year, as determined by the state-established criteria.</t>
  </si>
  <si>
    <t>K-12 -&gt; EDFacts</t>
  </si>
  <si>
    <t>000011</t>
  </si>
  <si>
    <t>AYP Status</t>
  </si>
  <si>
    <t>AYPStatus</t>
  </si>
  <si>
    <t>Administrative Funding Control</t>
  </si>
  <si>
    <t>The type of education institution as classified by its funding source.</t>
  </si>
  <si>
    <t>K12 -&gt; K12 School -&gt; Directory</t>
  </si>
  <si>
    <t>000012</t>
  </si>
  <si>
    <t>AdministrativeFundingControl</t>
  </si>
  <si>
    <t>Administrative Policy Type</t>
  </si>
  <si>
    <t>A type of administrative policy used by a program.</t>
  </si>
  <si>
    <t>Early Learning -&gt; EL Organization -&gt; Policies</t>
  </si>
  <si>
    <t>Name changed from Administrative Policies. Definition updated.</t>
  </si>
  <si>
    <t>More than one Administrative Policy Type may apply.</t>
  </si>
  <si>
    <t>000983</t>
  </si>
  <si>
    <t>AdministrativePolicyType</t>
  </si>
  <si>
    <t>Admitted Student</t>
  </si>
  <si>
    <t>Applicant who has been granted an official offer to enroll in a postsecondary institution. Admitted applicants should include wait-listed students who were subsequently offered admission.</t>
  </si>
  <si>
    <t>Postsecondary -&gt; PS Applicant</t>
  </si>
  <si>
    <t>Postsecondary Education -&gt; Common Data Set</t>
  </si>
  <si>
    <t>First sentence from IPEDS, not CDS; Second sentence from CDS instructions. All options except "No" should be able to be collapsed into "Yes" for IPEDS reporting.</t>
  </si>
  <si>
    <t>000756</t>
  </si>
  <si>
    <t>AdmittedStudent</t>
  </si>
  <si>
    <t>Adult Education Certification Type</t>
  </si>
  <si>
    <t>An indication of the category of certification a person holds.</t>
  </si>
  <si>
    <t>Adult Education -&gt; AE Staff -&gt; Certification</t>
  </si>
  <si>
    <t>001085</t>
  </si>
  <si>
    <t>AdultEducationCertificationType</t>
  </si>
  <si>
    <t>Adult Education Instructional Program Type</t>
  </si>
  <si>
    <t>The type of instructional program in which an adult is enrolled.</t>
  </si>
  <si>
    <t>Adult Education -&gt; AE Student -&gt; Program Participation</t>
  </si>
  <si>
    <t>001077</t>
  </si>
  <si>
    <t>AdultEducationInstructionalProgramType</t>
  </si>
  <si>
    <t>Adult Education Postsecondary Transition Action</t>
  </si>
  <si>
    <t>The action taken with respect to postsecondary enrollment by the learner after program exit or when co-enrolled in ABE and postsecondary with respect to enrollment in a postsecondary educational or occupational skills program building on prior services or training received.</t>
  </si>
  <si>
    <t>000784</t>
  </si>
  <si>
    <t>AdultEducationPostsecondaryTransitionAction</t>
  </si>
  <si>
    <t>Adult Education Postsecondary Transition Date</t>
  </si>
  <si>
    <t>The year, month and day on which a person previously enrolled in adult education entered and began to receive instructional services or training at a postsecondary institution.</t>
  </si>
  <si>
    <t>001081</t>
  </si>
  <si>
    <t>AdultEducationPostsecondaryTransitionDate</t>
  </si>
  <si>
    <t>Adult Education Provider Type</t>
  </si>
  <si>
    <t>The type of institution responsible for providing adult education instructional services.</t>
  </si>
  <si>
    <t>Adult Education -&gt; AE Provider</t>
  </si>
  <si>
    <t>001078</t>
  </si>
  <si>
    <t>AdultEducationProviderType</t>
  </si>
  <si>
    <t>Adult Education Service Provider Identification System</t>
  </si>
  <si>
    <t>A coding scheme that is used for identification and record-keeping purposes by schools, social services, or other agencies to refer to an institution.</t>
  </si>
  <si>
    <t>000781</t>
  </si>
  <si>
    <t>AdultEducationServiceProviderIdentificationSystem</t>
  </si>
  <si>
    <t>Adult Education Service Provider Identifier</t>
  </si>
  <si>
    <t>A unique number or alphanumeric code assigned to an institution by a school, school system, a state, or other agency or entity.</t>
  </si>
  <si>
    <t>001076</t>
  </si>
  <si>
    <t>AdultEducationServiceProviderIdentifier</t>
  </si>
  <si>
    <t>Adult Education Special Program Type</t>
  </si>
  <si>
    <t>The type, by location or delivery mode , of adult education instruction program in which an adult participates.</t>
  </si>
  <si>
    <t>Name changed from Adult Education Program Environment. Definition updated.</t>
  </si>
  <si>
    <t>Also see Adult Education Instructional Program Type</t>
  </si>
  <si>
    <t>000782</t>
  </si>
  <si>
    <t>AdultEducationSpecialProgramType</t>
  </si>
  <si>
    <t>Adult Education Staff Classification</t>
  </si>
  <si>
    <t>The titles of employment, official status, or rank of adult education staff.</t>
  </si>
  <si>
    <t>Adult Education -&gt; AE Staff -&gt; Employment</t>
  </si>
  <si>
    <t>Option set updated with three new options.</t>
  </si>
  <si>
    <t>000786</t>
  </si>
  <si>
    <t>AdultEducationStaffClassification</t>
  </si>
  <si>
    <t>Adult Education Staff Employment Status</t>
  </si>
  <si>
    <t>The condition under which a person has agreed to serve an employer.</t>
  </si>
  <si>
    <t>001083</t>
  </si>
  <si>
    <t>AdultEducationStaffEmploymentStatus</t>
  </si>
  <si>
    <t>Adult Educational Functioning Level at Intake</t>
  </si>
  <si>
    <t>An individual's entering skill level, as defined by the National Reporting System for Adult Education and determined by an approved standardized assessment at program intake.</t>
  </si>
  <si>
    <t>000779</t>
  </si>
  <si>
    <t>AEFunctioningLevelAtIntake</t>
  </si>
  <si>
    <t>Adult Educational Functioning Level at Posttest</t>
  </si>
  <si>
    <t>An individual's skill level, as defined by the National Reporting System for Adult Education and determined by an approved standardized assessment after a set time period or number of instructional hours.</t>
  </si>
  <si>
    <t>000780</t>
  </si>
  <si>
    <t>AEFunctioningLevelAtPosttest</t>
  </si>
  <si>
    <t>Advanced Placement Course Code</t>
  </si>
  <si>
    <t>Course areas for advanced placement or credit. For a list of codes see http://apcentral.collegeboard.com/apc/public/courses/teachers_corner/index.html .</t>
  </si>
  <si>
    <t>001278</t>
  </si>
  <si>
    <t>AP Course Code</t>
  </si>
  <si>
    <t>AdvancedPlacementCourseCode</t>
  </si>
  <si>
    <t>Advanced Placement Course Self Selection</t>
  </si>
  <si>
    <t>An indication of whether enrollment via self-selection by the student is permitted for all Advanced Placement (AP) courses offered.</t>
  </si>
  <si>
    <t>000017</t>
  </si>
  <si>
    <t>AP Course Self Selection</t>
  </si>
  <si>
    <t>APCourseSelfSelection</t>
  </si>
  <si>
    <t>Advanced Placement Credits Awarded</t>
  </si>
  <si>
    <t>The number of credits awarded a student by the postsecondary institution based on successful completion of advanced placement courses and/or advanced placement tests.</t>
  </si>
  <si>
    <t>Numeric - integer greater than or equal to 0</t>
  </si>
  <si>
    <t>000018</t>
  </si>
  <si>
    <t>AP Credits Awarded</t>
  </si>
  <si>
    <t>APCreditsAwarded</t>
  </si>
  <si>
    <t>Agency Course Identifier</t>
  </si>
  <si>
    <t>The course identifier as it may be recorded at the regional or state level to conform to a standardized course classification system.</t>
  </si>
  <si>
    <t>Postsecondary -&gt; PS Section -&gt; Course</t>
  </si>
  <si>
    <t>001280</t>
  </si>
  <si>
    <t>AgencyCourseIdentifier</t>
  </si>
  <si>
    <t>Allergy Reaction Description</t>
  </si>
  <si>
    <t>Describes symptoms know to be associated with a person's reaction to an allergen.</t>
  </si>
  <si>
    <t>Alphanumeric</t>
  </si>
  <si>
    <t>001281</t>
  </si>
  <si>
    <t>AllergyReactionDescription</t>
  </si>
  <si>
    <t>Allergy Severity</t>
  </si>
  <si>
    <t>The level of severity of a person's reaction to an allergen.</t>
  </si>
  <si>
    <t>001282</t>
  </si>
  <si>
    <t>AllergySeverity</t>
  </si>
  <si>
    <t>Allergy Type</t>
  </si>
  <si>
    <t>Type of allergy condition attributed to a person as defined by the SNOWMED Clinical Terms(r) vocabulary.</t>
  </si>
  <si>
    <t>This material includes SNOMED Clinical Terms® (SNOMED CT®) which is used by permission of the International Health Terminology Standards Development Organisation (IHTSDO). All rights reserved. SNOMED CT®, was originally created by The College of American Pathologists. “SNOMED” and “SNOMED CT” are registered trademarks of the IHTSDO.</t>
  </si>
  <si>
    <t>001283</t>
  </si>
  <si>
    <t>AllergyType</t>
  </si>
  <si>
    <t>Alternate Adequate Yearly Progress Approach Indicator</t>
  </si>
  <si>
    <t>An indication of whether the district or school used an approved alternate approach for calculating Adequate Yearly Progress (AYP).</t>
  </si>
  <si>
    <t>000014</t>
  </si>
  <si>
    <t>Alternate AYP Approach Indicator</t>
  </si>
  <si>
    <t>AlternateAYPApproachIndicator</t>
  </si>
  <si>
    <t>Alternate Day Name</t>
  </si>
  <si>
    <t>An alternate name used for the school day, typically used for the bell schedule (e.g., Blue day, Red day).</t>
  </si>
  <si>
    <t>K12 -&gt; Calendar -&gt; Period</t>
  </si>
  <si>
    <t>000598</t>
  </si>
  <si>
    <t>AlternateDayName</t>
  </si>
  <si>
    <t>Alternative Route to Certification or Licensure</t>
  </si>
  <si>
    <t>An indication of whether a person is enrolled in an alternative teacher preparation program as defined by Title II.</t>
  </si>
  <si>
    <t>Postsecondary -&gt; PS Student -&gt; Teacher Education/Preparation</t>
  </si>
  <si>
    <t>Postsecondary Education -&gt; Teacher Education</t>
  </si>
  <si>
    <t>000769</t>
  </si>
  <si>
    <t>AlternativeRouteToCertificationOrLicensure</t>
  </si>
  <si>
    <t>Alternative School Focus Type</t>
  </si>
  <si>
    <t>An indication of the specific group of students whose needs the alternative school is designed to meet.</t>
  </si>
  <si>
    <t>000015</t>
  </si>
  <si>
    <t>AlternativeSchoolFocusType</t>
  </si>
  <si>
    <t>American Indian or Alaska Native</t>
  </si>
  <si>
    <t>A person having origins in any of the original peoples of North and South America (including Central America), and who maintains cultural identification through tribal affiliation or community attachment.</t>
  </si>
  <si>
    <t>K12: Use cases support Yes and No as options. Postsecondary: - Use cases support Yes and Not Selected as options - As defined in IPEDS</t>
  </si>
  <si>
    <t>000016</t>
  </si>
  <si>
    <t>AmericanIndianOrAlaskaNative</t>
  </si>
  <si>
    <t>Annual Base Contractual Salary</t>
  </si>
  <si>
    <t>The total annual base contractual salary of a person.</t>
  </si>
  <si>
    <t>As defined in IPEDS</t>
  </si>
  <si>
    <t>000744</t>
  </si>
  <si>
    <t>AnnualBaseContractualSalary</t>
  </si>
  <si>
    <t>Annual Measurable Achievement Objective AYP Progress Attainment Status for LEP Students</t>
  </si>
  <si>
    <t>An indication of whether the state or district met the annual measurable objectives for the Limited English Proficient (LEP) student subgroup in mathematics and reading/language arts.</t>
  </si>
  <si>
    <t>000579</t>
  </si>
  <si>
    <t>AMAO AYP Progress Attainment Status for LEP Students</t>
  </si>
  <si>
    <t>AMAOAYPProgressAttainmentStatusForLEPStudents</t>
  </si>
  <si>
    <t>Annual Measurable Achievement Objective Proficiency Attainment Status for LEP Students</t>
  </si>
  <si>
    <t>An indication whether the state, district or school met the Annual Measurable Achievement Objectives (AMAO) for attaining English proficiency for limited English proficient (LEP) students under Title III of ESEA.</t>
  </si>
  <si>
    <t>000544</t>
  </si>
  <si>
    <t>AMAO Proficiency Attainment Status for LEP Students</t>
  </si>
  <si>
    <t>AMAOProficiencyAttainmentStatusForLEPStudents</t>
  </si>
  <si>
    <t>Annual Measurable Achievement Objective Progress Attainment Status for LEP Students</t>
  </si>
  <si>
    <t>An indication whether the state, district, or school met the Annual Measurable Achievement Objective (AMAO) for making progress in learning English for limited English proficient (LEP) students under Title III of ESEA as amended.</t>
  </si>
  <si>
    <t>000554</t>
  </si>
  <si>
    <t>AMAO Progress Attainment Status for LEP Students</t>
  </si>
  <si>
    <t>AMAOProgressAttainmentStatusForLEPStudents</t>
  </si>
  <si>
    <t>Appealed Adequate Yearly Progress Designation</t>
  </si>
  <si>
    <t>An indication that a school or district appealed its AYP designation.</t>
  </si>
  <si>
    <t>000442</t>
  </si>
  <si>
    <t>Appealed AYP Designation</t>
  </si>
  <si>
    <t>AppealedAYPDesignation</t>
  </si>
  <si>
    <t>Application Date</t>
  </si>
  <si>
    <t>The year, month and day on which an individual application is received by the organization.</t>
  </si>
  <si>
    <t>Early Learning -&gt; EL Child -&gt; EL Educational Experiences</t>
  </si>
  <si>
    <t>000323</t>
  </si>
  <si>
    <t>ApplicationDate</t>
  </si>
  <si>
    <t>Approved Early Childhood Credits Earned By a Non-ECE Degree Holder</t>
  </si>
  <si>
    <t>Total semester credits earned by professionals who do not possess an early childhood degree.</t>
  </si>
  <si>
    <t>Early Learning -&gt; EL Staff -&gt; Education</t>
  </si>
  <si>
    <t>Numeric - up to 2 digits after decimal place.</t>
  </si>
  <si>
    <t>000791</t>
  </si>
  <si>
    <t>ApprovedEarlyChildhoodCreditsEarnedByNon-ECEDegreeHolder</t>
  </si>
  <si>
    <t>Asian</t>
  </si>
  <si>
    <t>A person having origins in any of the original peoples of the Far East, Southeast Asia, or the Indian Subcontinent. This area includes, for example, Cambodia, China, India, Japan, Korea, Malaysia, Pakistan, the Philippine Islands, Thailand, and Vietnam.</t>
  </si>
  <si>
    <t>000020</t>
  </si>
  <si>
    <t>Assessment Academic Subject</t>
  </si>
  <si>
    <t>The description of the academic content or subject area (e.g., arts, mathematics, reading, or a foreign language) being evaluated.</t>
  </si>
  <si>
    <t>000021</t>
  </si>
  <si>
    <t>AssessmentAcademicSubject</t>
  </si>
  <si>
    <t>Assessment Accommodation Category</t>
  </si>
  <si>
    <t>A category of accommodations needed for a given assessment.</t>
  </si>
  <si>
    <t>000383</t>
  </si>
  <si>
    <t>AssessmentAccommodationCategory</t>
  </si>
  <si>
    <t>Assessment Accommodation Other Description</t>
  </si>
  <si>
    <t>The description of the accommodation when 'Assessment Accommodation Type' is set to 'Other'.</t>
  </si>
  <si>
    <t>001157</t>
  </si>
  <si>
    <t>AssessmentAccommodationOtherDescription</t>
  </si>
  <si>
    <t>Assessment Accommodation Type</t>
  </si>
  <si>
    <t>The specific accommodation necessary for the administration of the assessment.</t>
  </si>
  <si>
    <t>000385</t>
  </si>
  <si>
    <t>AssessmentAccommodationType</t>
  </si>
  <si>
    <t>Assessment Administration Assessment Family</t>
  </si>
  <si>
    <t>The title of the assessment family to be administered.</t>
  </si>
  <si>
    <t>A typical scenario for an assessment administration is a state-wide administration of an accountability test. For example, in Florida "Florida Comprehensive Assessment Test".</t>
  </si>
  <si>
    <t>000967</t>
  </si>
  <si>
    <t>AssessmentAdministrationAssessmentFamily</t>
  </si>
  <si>
    <t>Assessment Administration Code</t>
  </si>
  <si>
    <t>The code given to the assessment event by a state or other authority directing overall administration.</t>
  </si>
  <si>
    <t>000961</t>
  </si>
  <si>
    <t>AssessmentAdministrationCode</t>
  </si>
  <si>
    <t>Assessment Administration Finish Date</t>
  </si>
  <si>
    <t>The finish date of the time period designated for the assessment administration.</t>
  </si>
  <si>
    <t>000964</t>
  </si>
  <si>
    <t>AssessmentAdministrationFinishDate</t>
  </si>
  <si>
    <t>Assessment Administration Finish Time</t>
  </si>
  <si>
    <t>The finish time of the time period designated for the assessment administration.</t>
  </si>
  <si>
    <t>HH:MM:SS</t>
  </si>
  <si>
    <t>000965</t>
  </si>
  <si>
    <t>AssessmentAdministrationFinishTime</t>
  </si>
  <si>
    <t>Assessment Administration Name</t>
  </si>
  <si>
    <t>The name given to an assessment event.</t>
  </si>
  <si>
    <t>000977</t>
  </si>
  <si>
    <t>AssessmentAdministrationName</t>
  </si>
  <si>
    <t>Assessment Administration Organization Name</t>
  </si>
  <si>
    <t>The name of the organization with overall responsibility for the assessment event.</t>
  </si>
  <si>
    <t>000966</t>
  </si>
  <si>
    <t>AssessmentAdministrationOrganizationName</t>
  </si>
  <si>
    <t>Assessment Administration Start Date</t>
  </si>
  <si>
    <t>The start date of the time period designated for the assessment administration.</t>
  </si>
  <si>
    <t>000962</t>
  </si>
  <si>
    <t>AssessmentAdministrationStartDate</t>
  </si>
  <si>
    <t>Assessment Administration Start Time</t>
  </si>
  <si>
    <t>The start time of the time period designated for the assessment administration.</t>
  </si>
  <si>
    <t>000963</t>
  </si>
  <si>
    <t>AssessmentAdministrationStartTime</t>
  </si>
  <si>
    <t>Assessment Asset Content Mime Type</t>
  </si>
  <si>
    <t>MIME type to specifically indicate the Assessment Asset content type.</t>
  </si>
  <si>
    <t>001203</t>
  </si>
  <si>
    <t>AssessmentAssetContentMimeType</t>
  </si>
  <si>
    <t>Assessment Asset Content URL</t>
  </si>
  <si>
    <t>The Uniform Resource Locator (URL) location of the external Assessment Asset content.</t>
  </si>
  <si>
    <t>001204</t>
  </si>
  <si>
    <t>AssessmentAssetContentURL</t>
  </si>
  <si>
    <t>Assessment Asset Content XML</t>
  </si>
  <si>
    <t>XML encoded in UTF-8 representing the content of the Assessment Asset.</t>
  </si>
  <si>
    <t>001202</t>
  </si>
  <si>
    <t>AssessmentAssetContentXML</t>
  </si>
  <si>
    <t>Assessment Asset Identifier</t>
  </si>
  <si>
    <t>A unique code identifying the Assessment Asset provided by the authoring system.</t>
  </si>
  <si>
    <t>001198</t>
  </si>
  <si>
    <t>AssessmentAssetIdentifier</t>
  </si>
  <si>
    <t>Assessment Asset Identifier Type</t>
  </si>
  <si>
    <t>The type of identifier that is provided for this asset.</t>
  </si>
  <si>
    <t>001199</t>
  </si>
  <si>
    <t>AssessmentAssetIdentifierType</t>
  </si>
  <si>
    <t>Assessment Asset Name</t>
  </si>
  <si>
    <t>The name of the Assessment Asset.</t>
  </si>
  <si>
    <t>001200</t>
  </si>
  <si>
    <t>AssessmentAssetName</t>
  </si>
  <si>
    <t>Assessment Asset Owner</t>
  </si>
  <si>
    <t>The name of the ownership rights holder or publisher of the asset.</t>
  </si>
  <si>
    <t>001201</t>
  </si>
  <si>
    <t>AssessmentAssetOwner</t>
  </si>
  <si>
    <t>Assessment Asset Published Date</t>
  </si>
  <si>
    <t>The date that this version of the asset was made available for use.</t>
  </si>
  <si>
    <t>001197</t>
  </si>
  <si>
    <t>AssessmentAssetPublishedDate</t>
  </si>
  <si>
    <t>Assessment Asset Type</t>
  </si>
  <si>
    <t>Specifies a predominant type of assessment asset represented by the Learning Resource. Assessment assets represent any content used to compose an assessment item, is referenced by an item but not part of the item content itself, or is content that is included as part of a section within an assessment form. Assets can be static content such as art work or dynamic assets such as calculators.</t>
  </si>
  <si>
    <t>The standard option set may be extended based on local and implementation-specific requirements. Commonly used options may be submitted for inclusion in future versions of CEDS.</t>
  </si>
  <si>
    <t>001196</t>
  </si>
  <si>
    <t>AssessmentAssetType</t>
  </si>
  <si>
    <t>Assessment Asset Version</t>
  </si>
  <si>
    <t>A version number or label defined by the publisher.</t>
  </si>
  <si>
    <t>In some use cases a date, such as Learning Resource Date Created may be used as an alternative to a version number. Each use case may adopt different rules depending on the application requirements for maintenance of current version only or the multiple objects/records representing the complete version history.</t>
  </si>
  <si>
    <t>001195</t>
  </si>
  <si>
    <t>AssessmentAssetVersion</t>
  </si>
  <si>
    <t>Assessment Content Standard Type</t>
  </si>
  <si>
    <t>An indication as to whether an assessment conforms to a standard.</t>
  </si>
  <si>
    <t>000605</t>
  </si>
  <si>
    <t>AssessmentContentStandardType</t>
  </si>
  <si>
    <t>Assessment Early Learning Developmental Domain</t>
  </si>
  <si>
    <t>The developmental domains related to early learning.</t>
  </si>
  <si>
    <t>School Readiness</t>
  </si>
  <si>
    <t>001000</t>
  </si>
  <si>
    <t>AssessmentEarlyLearningDevelopmentalDomain</t>
  </si>
  <si>
    <t>Assessment Family Short Name</t>
  </si>
  <si>
    <t>The abbreviated title of the Assessment Family. An Assessment Family is a set of assessments with a common name, jurisdiction, or focus.</t>
  </si>
  <si>
    <t>Examples: SAT, GRE, NAEP</t>
  </si>
  <si>
    <t>000933</t>
  </si>
  <si>
    <t>AssessmentFamilyShortName</t>
  </si>
  <si>
    <t>Assessment Family Title</t>
  </si>
  <si>
    <t>The full title of the Assessment Family. An Assessment Family is a set of assessments with a common name, jurisdiction, or focus, such as Graduate Record Exam or National Assessment of Educational Progress.</t>
  </si>
  <si>
    <t>000932</t>
  </si>
  <si>
    <t>AssessmentFamilyTitle</t>
  </si>
  <si>
    <t>Assessment Form Accommodation List</t>
  </si>
  <si>
    <t>The human readable list of one or more of the specific accommodations available. If no accommodations are provided, then this list will not be present.</t>
  </si>
  <si>
    <t>001185</t>
  </si>
  <si>
    <t>AssessmentFormAccommodationList</t>
  </si>
  <si>
    <t>Assessment Form Intended Administration End Date</t>
  </si>
  <si>
    <t>The ending date of the time period in which the assessment form is intended to be administered.</t>
  </si>
  <si>
    <t>Rename “Intended Administration End Date” to “Assessment Form Intended Administration End Date”. Name change to conform to CEDS naming conventions.</t>
  </si>
  <si>
    <t>001187</t>
  </si>
  <si>
    <t>AssessmentFormIntendedAdministrationEndDate</t>
  </si>
  <si>
    <t>Assessment Form Name</t>
  </si>
  <si>
    <t>The name of a given assessment form.</t>
  </si>
  <si>
    <t>000024</t>
  </si>
  <si>
    <t>AssessmentFormName</t>
  </si>
  <si>
    <t>Assessment Form Number</t>
  </si>
  <si>
    <t>The number of a given assessment form.</t>
  </si>
  <si>
    <t>000366</t>
  </si>
  <si>
    <t>AssessmentFormNumber</t>
  </si>
  <si>
    <t>Assessment Form Platforms Supported</t>
  </si>
  <si>
    <t>A human readable list of delivery platforms the form will support.</t>
  </si>
  <si>
    <t>001188</t>
  </si>
  <si>
    <t>AssessmentFormPlatformsSupported</t>
  </si>
  <si>
    <t>Assessment Form Section GUID</t>
  </si>
  <si>
    <t>The globally unique identifier of an Assessment Form Section using a RFC 4122 compliant 32-character hexadecimal string, such as 21EC2020-3AEA-1069-A2DD-08002B30309D.</t>
  </si>
  <si>
    <t>Alphanumeric - 36 characters maximum</t>
  </si>
  <si>
    <t>000980</t>
  </si>
  <si>
    <t>AssessmentFormSectionGUID</t>
  </si>
  <si>
    <t>Assessment Form Section Identifier</t>
  </si>
  <si>
    <t>A unique number or alphanumeric code assigned to the Assessment Form Section using the system specified by Identification System for Assessment Form Section.</t>
  </si>
  <si>
    <t>001191</t>
  </si>
  <si>
    <t>AssessmentFormSectionIdentifier</t>
  </si>
  <si>
    <t>Assessment Form Section Reentry</t>
  </si>
  <si>
    <t>Indicates that this section can be re-entered, meaning the test taker can return to this section after they have left the section. A common example of this is a two section test where one section does not allow the use of a calculator and the other does. Typically the test taker cannot return to the non-calculator section after they have used a calculator.</t>
  </si>
  <si>
    <t>001194</t>
  </si>
  <si>
    <t>AssessmentFormSectionReentry</t>
  </si>
  <si>
    <t>Assessment Form Section Sealed</t>
  </si>
  <si>
    <t>Indicates this section is sealed, meaning the test taker cannot enter the section until authorized by the proctor.</t>
  </si>
  <si>
    <t>001193</t>
  </si>
  <si>
    <t>AssessmentFormSectionSealed</t>
  </si>
  <si>
    <t>Assessment Form Section Sequence Number</t>
  </si>
  <si>
    <t>The position of the assessment section presented in the sequence of sections within an assessment form.</t>
  </si>
  <si>
    <t>Numeric</t>
  </si>
  <si>
    <t>000979</t>
  </si>
  <si>
    <t>AssessmentFormSectionSequenceNumber</t>
  </si>
  <si>
    <t>Assessment Form Section Time Limit</t>
  </si>
  <si>
    <t>If this section is timed, then this will identify the maximum amount of time the test taker can spend within this section.</t>
  </si>
  <si>
    <t>001192</t>
  </si>
  <si>
    <t>AssessmentFormSectionTimeLimit</t>
  </si>
  <si>
    <t>Assessment Form Section Version</t>
  </si>
  <si>
    <t>The version number of the Assessment Form Section.</t>
  </si>
  <si>
    <t>001189</t>
  </si>
  <si>
    <t>AssessmentFormSectionVersion</t>
  </si>
  <si>
    <t>Assessment Form Subtest Container Only</t>
  </si>
  <si>
    <t>In a hierarchy of subtests, this indicates that this tier is only used as a level in the hierarchy and does not represent a scoring model.</t>
  </si>
  <si>
    <t>Added option set.</t>
  </si>
  <si>
    <t>001215</t>
  </si>
  <si>
    <t>AssessmentFormSubtestContainerOnly</t>
  </si>
  <si>
    <t>Assessment Form Subtest Item Weight Correct</t>
  </si>
  <si>
    <t>A weighting factor for how the item score is used to compute a sub-test score when the item is correct or partially correct. Item weight of 1 indicates the full item score is used. A weight of .5 would indicate the item only contributes one half of the item score to the subtest. A weight of 0 indicates the item does not affect the sub test score.</t>
  </si>
  <si>
    <t>001010</t>
  </si>
  <si>
    <t>AssessmentFormSubtestItemWeightCorrect</t>
  </si>
  <si>
    <t>Assessment Form Subtest Item Weight Incorrect</t>
  </si>
  <si>
    <t>A weighting factor for how the item score is used to compute a sub-test score when the item is attempted and incorrect. Item weight should be a negative value if the item subtracts from the score if missed.</t>
  </si>
  <si>
    <t>001012</t>
  </si>
  <si>
    <t>AssessmentFormSubtestItemWeightIncorrect</t>
  </si>
  <si>
    <t>Assessment Form Subtest Item Weight Not Attempted</t>
  </si>
  <si>
    <t>A weighting factor for how the item score is used to compute a sub-test score when the item has not been attempted by the student. Item weight should be a negative value if the item subtracts from the score if not attempted.</t>
  </si>
  <si>
    <t>001013</t>
  </si>
  <si>
    <t>AssessmentFormSubtestItemWeightNotAttempted</t>
  </si>
  <si>
    <t>Assessment Form Subtest Tier</t>
  </si>
  <si>
    <t>In a hierarchy of subtests, this element represents the level of the sub test in the hierarchy. The top tier and default is zero.</t>
  </si>
  <si>
    <t>Integer</t>
  </si>
  <si>
    <t>001214</t>
  </si>
  <si>
    <t>AssessmentFormSubtestTier</t>
  </si>
  <si>
    <t>Assessment Form Version</t>
  </si>
  <si>
    <t>The version number of the Assessment Form.</t>
  </si>
  <si>
    <t>001183</t>
  </si>
  <si>
    <t>AssessmentFormVersion</t>
  </si>
  <si>
    <t>Assessment GUID</t>
  </si>
  <si>
    <t>The globally unique identifier of an Assessment using a RFC 4122 compliant 32-character hexadecimal string, such as 21EC2020-3AEA-1069-A2DD-08002B30309D.</t>
  </si>
  <si>
    <t>000981</t>
  </si>
  <si>
    <t>AssessmentGUID</t>
  </si>
  <si>
    <t>Assessment Identification System</t>
  </si>
  <si>
    <t>A coding scheme that is used for identification and record-keeping purposes by schools, social services, or other agencies to refer to an assessment.</t>
  </si>
  <si>
    <t>000365</t>
  </si>
  <si>
    <t>AssessmentIdentificationSystem</t>
  </si>
  <si>
    <t>Assessment Identifier</t>
  </si>
  <si>
    <t>A unique number or alphanumeric code assigned to an assessment by a school, school system, a state, or other agency or entity. This may be the publisher identifier.</t>
  </si>
  <si>
    <t>001067</t>
  </si>
  <si>
    <t>AssessmentIdentifier</t>
  </si>
  <si>
    <t>Assessment Item Adaptive Indicator</t>
  </si>
  <si>
    <t>This indicator determines whether an assessment item is an adaptive item.</t>
  </si>
  <si>
    <t>001139</t>
  </si>
  <si>
    <t>AssessmentItemAdaptiveIndicator</t>
  </si>
  <si>
    <t>Assessment Item Allotted Time</t>
  </si>
  <si>
    <t>The amount of time allotted for a specific item.</t>
  </si>
  <si>
    <t>000403</t>
  </si>
  <si>
    <t>AssessmentItemAllottedTime</t>
  </si>
  <si>
    <t>Assessment Item APIP Item Body XML</t>
  </si>
  <si>
    <t>The item body contains the text, graphics, media objects, and interactions that describe the item's content and information about how it is structured. The body is presented by combining it with stylesheet information, either explicitly or implicitly using the default style rules of the delivery or authoring system. This element contains the appropriate XML from the IMS Global APIP Specification defining the various item body interactions.</t>
  </si>
  <si>
    <t>001138</t>
  </si>
  <si>
    <t>AssessmentItemAPIPItemBodyXML</t>
  </si>
  <si>
    <t>Assessment Item APIP Modal Feedback XML</t>
  </si>
  <si>
    <t>Modal feedback is shown to the candidate directly following response processing. The value of an outcome variable is used in conjunction with the showHide and identifier attributes to determine whether or not the feedback is shown in a similar way to feedbackElement. The XML from the IMS Global APIP Specification would be included.</t>
  </si>
  <si>
    <t>001137</t>
  </si>
  <si>
    <t>AssessmentItemAPIPModalFeedbackXML</t>
  </si>
  <si>
    <t>Assessment Item APIP Outcome Declaration XML</t>
  </si>
  <si>
    <t>Outcome variables are declared by outcome declarations. Their value is set either from a default given in the declaration itself or by a responseRule during response processing. The XML from the IMS Global APIP Specification would be included.</t>
  </si>
  <si>
    <t>001134</t>
  </si>
  <si>
    <t>AssessmentItemAPIPOutcomeDeclarationXML</t>
  </si>
  <si>
    <t>Assessment Item APIP Response Declaration XML</t>
  </si>
  <si>
    <t>Response declarations state what the response variables include. The response declaration may assign an optional correct response. The XML from the IMS Global APIP Specification would be included.</t>
  </si>
  <si>
    <t>001133</t>
  </si>
  <si>
    <t>AssessmentItemAPIPResponseDeclarationXML</t>
  </si>
  <si>
    <t>Assessment Item APIP Response Processing Template URL</t>
  </si>
  <si>
    <t>These templates are described using the processing language defined in IMS Global APIP specification and are distributed (in XML form) along with it. Delivery engines that support generalized response processing do not need to implement special mechanisms to support them as a template file can be parsed directly while processing the assessment item that refers to it. This element provides the URL for the template.</t>
  </si>
  <si>
    <t>001131</t>
  </si>
  <si>
    <t>AssessmentItemAPIPResponseProcessingTemplateURL</t>
  </si>
  <si>
    <t>Assessment Item APIP Response Processing XML</t>
  </si>
  <si>
    <t>Response processing is the process by which the Delivery Engine assigns outcomes based on the learner's responses. The outcomes may be used to provide feedback to the learner Feedback is either provided immediately following the end of the learner's attempt or it is provided at some later time, perhaps as part of a summary report on the item session. The XML from the IMS Global APIP Specification would be included.</t>
  </si>
  <si>
    <t>001132</t>
  </si>
  <si>
    <t>AssessmentItemAPIPResponseProcessingXML</t>
  </si>
  <si>
    <t>Assessment Item APIP Template Declaration XML</t>
  </si>
  <si>
    <t>Template declarations declare item variables that are to be used specifically for the purposes of cloning items. They can have their value set only during template processing. They are referred to within the item body in order to individualize the clone and possibly also within the response Processing rules if the cloning process affects the way the item is scored. The XML from the IMS Global APIP Specification would be included.</t>
  </si>
  <si>
    <t>001135</t>
  </si>
  <si>
    <t>AssessmentItemAPIPTemplateDeclarationXML</t>
  </si>
  <si>
    <t>Assessment Item APIP Template Processing XML</t>
  </si>
  <si>
    <t>Template processing consists of one or more template rules that are followed by the cloning engine or delivery system in order to assign values to the template variables. Template processing is identical in form to responseProcessing except that the purpose is to assign values to template variables, not outcome variables. The XML from the IMS Global APIP Specification would be included.</t>
  </si>
  <si>
    <t>001136</t>
  </si>
  <si>
    <t>AssessmentItemAPIPTemplateProcessingXML</t>
  </si>
  <si>
    <t>Assessment Item Bank Identifier</t>
  </si>
  <si>
    <t>If the assessment is provided with an item bank, then this identifies the item bank: a unique code or number used by the item banking system.</t>
  </si>
  <si>
    <t>001181</t>
  </si>
  <si>
    <t>AssessmentItemBankIdentifier</t>
  </si>
  <si>
    <t>Assessment Item Bank Name</t>
  </si>
  <si>
    <t>If the assessment is provided with an item bank, then this is the name of the item bank.</t>
  </si>
  <si>
    <t>001182</t>
  </si>
  <si>
    <t>AssessmentItemBankName</t>
  </si>
  <si>
    <t>Assessment Item Body Associate Interaction XML</t>
  </si>
  <si>
    <t>An associate interaction presents candidates with a number of choices and allows them to create associations between them. The XML from the IMS Global APIP Specification would be included.</t>
  </si>
  <si>
    <t>001123</t>
  </si>
  <si>
    <t>AssessmentItemBodyAssociateInteractionXML</t>
  </si>
  <si>
    <t>Assessment Item Body Choice Interaction XML</t>
  </si>
  <si>
    <t>The choice interaction presents a set of choices to the candidate. The candidate's task is to select one or more of the choices, up to a maximum of maxChoices. The interaction is always initialized with no choices selected. The XML from the IMS Global APIP Specification would be included.</t>
  </si>
  <si>
    <t>001112</t>
  </si>
  <si>
    <t>AssessmentItemBodyChoiceInteractionXML</t>
  </si>
  <si>
    <t>Assessment Item Body Custom Interaction XML</t>
  </si>
  <si>
    <t>The custom interaction provides an opportunity for extensibility of this specification to include support for interactions not currently documented. The XML from the IMS Global APIP Specification would be included.</t>
  </si>
  <si>
    <t>001102</t>
  </si>
  <si>
    <t>AssessmentItemBodyCustomInteractionXML</t>
  </si>
  <si>
    <t>Assessment Item Body Drawing Interaction XML</t>
  </si>
  <si>
    <t>The drawing interaction allows the candidate to use a common set of drawing tools to modify a given graphical image (the canvas). It must be bound to a response variable with base-type file and single cardinality. The result is a file in the same format as the original image. The XML from the IMS Global APIP Specification would be included.</t>
  </si>
  <si>
    <t>001103</t>
  </si>
  <si>
    <t>AssessmentItemBodyDrawingInteractionXML</t>
  </si>
  <si>
    <t>Assessment Item Body End Attempt Interaction XML</t>
  </si>
  <si>
    <t>The end attempt interaction is a special type of interaction which allows item authors to provide the candidate with control over the way in which the candidate terminates an attempt. The candidate can use the interaction to terminate the attempt (triggering response processing) immediately, typically to request a hint. It must be bound to a response variable with base-type boolean and single cardinality. The XML from the IMS Global APIP Specification would be included.</t>
  </si>
  <si>
    <t>001121</t>
  </si>
  <si>
    <t>AssessmentItemBodyEndAttemptInteractionXML</t>
  </si>
  <si>
    <t>Assessment Item Body Extended Text Interaction XML</t>
  </si>
  <si>
    <t>An extended text interaction allows the candidate to enter an extended amount of text. The XML from the IMS Global APIP Specification would be included.</t>
  </si>
  <si>
    <t>001120</t>
  </si>
  <si>
    <t>AssessmentItemBodyExtendedTextInteractionXML</t>
  </si>
  <si>
    <t>Assessment Item Body Gap Match Interaction XML</t>
  </si>
  <si>
    <t>A gap match interaction contains a number gaps that the candidate can fill from an associated set of choices. The candidate must be able to review the content with the gaps filled in context, as indicated by their choices. The XML from the IMS Global APIP Specification would be included.</t>
  </si>
  <si>
    <t>001104</t>
  </si>
  <si>
    <t>AssessmentItemBodyGapMatchInteractionXML</t>
  </si>
  <si>
    <t>Assessment Item Body Graphic Gap Match Interaction XML</t>
  </si>
  <si>
    <t>A graphic gap-match interaction is a graphical interaction with a set of gaps that are defined as areas (hotspots) of the graphic image and an additional set of gap choices that are defined outside the image. The candidate must associate the gap choices with the gaps in the image and be able to review the image with the gaps filled in context, as indicated by their choices. Care should be taken when designing these interactions to ensure that the gaps in the image are a suitable size to receive the required gap choices. It must be clear to the candidate which hotspot each choice has been associated with. When associated, choices must appear wholly inside the gaps if at all possible and, where overlaps are required, should not hide each other completely. If the candidate indicates the association by positioning the choice over the gap (e.g., drag and drop) the system should 'snap' it to the nearest position that satisfies these requirements. The XML from the IMS Global APIP Specification would be included.</t>
  </si>
  <si>
    <t>001106</t>
  </si>
  <si>
    <t>AssessmentItemBodyGraphicGapMatchInteractionXML</t>
  </si>
  <si>
    <t>Assessment Item Body Graphic Order Interaction XML</t>
  </si>
  <si>
    <t>A graphic order interaction is a graphic interaction with a corresponding set of choices that are defined as areas of the graphic image. The candidate's task is to impose an ordering on the areas (hotspots). The order hotspot interaction should only be used when the spatial relationship of the choices with respect to each other (as represented by the graphic image) is important to the needs of the item. Otherwise, orderInteraction should be used instead with separate material for each option. The XML from the IMS Global APIP Specification would be included.</t>
  </si>
  <si>
    <t>001108</t>
  </si>
  <si>
    <t>AssessmentItemBodyGraphicOrderInteractionXML</t>
  </si>
  <si>
    <t>Assessment Item Body Hot Spot Interaction XML</t>
  </si>
  <si>
    <t>A hotspot interaction is a graphical interaction with a corresponding set of choices that are defined as areas of the graphic image. The candidate's task is to select one or more of the areas (hotspots). The hotspot interaction should only be used when the spatial relationship of the choices with respect to each other (as represented by the graphic image) is important to the needs of the item. Otherwise, choiceInteraction should be used instead with separate material for each option. The XML from the IMS Global APIP Specification would be included.</t>
  </si>
  <si>
    <t>001107</t>
  </si>
  <si>
    <t>AssessmentItemBodyHotSpotInteractionXML</t>
  </si>
  <si>
    <t>Assessment Item Body Hottext Interaction XML</t>
  </si>
  <si>
    <t>The hottext interaction presents a set of choices to the candidate represented as selectable runs of text embedded within a surrounding context, such as a simple passage of text. Like choiceInteraction, the candidate's task is to select one or more of the choices, up to a maximum of maxChoices. The interaction is initialized from the defaultValue of the associated response variable, a NULL value indicating that no choices are selected (the usual case). The XML from the IMS Global APIP Specification would be included.</t>
  </si>
  <si>
    <t>001116</t>
  </si>
  <si>
    <t>AssessmentItemBodyHottextInteractionXML</t>
  </si>
  <si>
    <t>Assessment Item Body Inline Choice Interaction XML</t>
  </si>
  <si>
    <t>A inline choice is an inline interaction that presents the user with a set of choices, each of which is a simple piece of text. The candidate's task is to select one of the choices. Unlike the Choice Interaction, the delivery engine must allow the candidate to review their choice within the context of the surrounding text.</t>
  </si>
  <si>
    <t>001114</t>
  </si>
  <si>
    <t>AssessmentItemBodyInlineChoiceInteractionXML</t>
  </si>
  <si>
    <t>Assessment Item Body Match Interaction XML</t>
  </si>
  <si>
    <t>A match interaction presents candidates with two sets of choices and allows them to create associates between pairs of choices in the two sets, but not between pairs of choices in the same set. Further restrictions can still be placed on the allowable associations using the matchMax attribute of the choices. The XML from the IMS Global APIP Specification would be included.</t>
  </si>
  <si>
    <t>001105</t>
  </si>
  <si>
    <t>AssessmentItemBodyMatchInteractionXML</t>
  </si>
  <si>
    <t>Assessment Item Body Media Interaction XML</t>
  </si>
  <si>
    <t>The media interaction allows more control over the way the candidate interacts with a time-based media object and allows the number of times the media object was experienced to be reported in the value of the associated response variable, which must be of base-type integer and single cardinality. The XML from the IMS Global APIP Specification would be included.</t>
  </si>
  <si>
    <t>001115</t>
  </si>
  <si>
    <t>AssessmentItemBodyMediaInteractionXML</t>
  </si>
  <si>
    <t>Assessment Item Body Order Interaction XML</t>
  </si>
  <si>
    <t>In an order interaction the candidate's task is to reorder the choices, the order in which the choices are displayed initially is significant. By default the candidate's task is to order all of the choices but a subset of the choices can be requested using the maxChoices and minChoices attributes. When specified the candidate must select a subset of the choices and impose an ordering on them. The XML from the IMS Global APIP Specification would be included.</t>
  </si>
  <si>
    <t>001117</t>
  </si>
  <si>
    <t>AssessmentItemBodyOrderInteractionXML</t>
  </si>
  <si>
    <t>Assessment Item Body Position Object Interaction XML</t>
  </si>
  <si>
    <t>The position object interaction consists of a single image which must be positioned on another graphic image (the stage) by the candidate. Like selectPointInteraction, the associated response may have an areaMapping that scores the response on the basis of comparing it against predefined areas but the delivery engine must not indicate these areas of the stage. Only the actual position(s) selected by the candidate shall be indicated. The XML from the IMS Global APIP Specification would be included.</t>
  </si>
  <si>
    <t>001118</t>
  </si>
  <si>
    <t>AssessmentItemBodyPositionObjectInteractionXML</t>
  </si>
  <si>
    <t>Assessment Item Body Select Point Interaction</t>
  </si>
  <si>
    <t>A graphic associate interaction is a graphic interaction with a corresponding set of choices that are defined as areas of the graphic image. The candidate's task is to associate the areas (hotspots) with each other. The graphic associate interaction should only be used when the graphical relationship of the choices with respect to each other (as represented by the graphic image) is important to the needs of the item. Otherwise, associateInteraction should be used instead with separate Material for each option. The XML from the IMS Global APIP Specification would be included.</t>
  </si>
  <si>
    <t>001110</t>
  </si>
  <si>
    <t>AssessmentItemBodySelectPointInteraction</t>
  </si>
  <si>
    <t>Assessment Item Body Select Point Interaction XML</t>
  </si>
  <si>
    <t>Like hotspotInteraction, a select point interaction is a graphic interaction. The candidate's task is to select one or more points. The associated response may have an areaMapping that scores the response on the basis of comparing it against predefined areas but the delivery engine must not indicate these areas of the image. Only the actual point(s) selected by the candidate shall be indicated. The XML from the IMS Global APIP Specification would be included.</t>
  </si>
  <si>
    <t>001109</t>
  </si>
  <si>
    <t>AssessmentItemBodySelectPointInteractionXML</t>
  </si>
  <si>
    <t>Assessment Item Body Slider Interaction XML</t>
  </si>
  <si>
    <t>The slider interaction presents the candidate with a control for selecting a numerical value between a lower and upper bound. It must be bound to a response variable with single cardinality with a base-type of either integer or float. The XML from the IMS Global APIP Specification would be included.</t>
  </si>
  <si>
    <t>001111</t>
  </si>
  <si>
    <t>AssessmentItemBodySliderInteractionXML</t>
  </si>
  <si>
    <t>Assessment Item Body Text</t>
  </si>
  <si>
    <t>The complete text of an assessment item including all applicable parts such as stimulus, stem, and possible response options presented.</t>
  </si>
  <si>
    <t>001267</t>
  </si>
  <si>
    <t>AssessmentItemBodyText</t>
  </si>
  <si>
    <t>Assessment Item Body Text Entry Interaction XML</t>
  </si>
  <si>
    <t>A textEntry interaction obtains a simple piece of text from the candidate. Like inlineChoiceInteraction, the delivery engine must allow the candidate to review their choice within the context of the surrounding text. The XML from the IMS Global APIP Specification would be included.</t>
  </si>
  <si>
    <t>001119</t>
  </si>
  <si>
    <t>AssessmentItemBodyTextEntryInteractionXML</t>
  </si>
  <si>
    <t>Assessment Item Body Upload Interaction XML</t>
  </si>
  <si>
    <t>The upload interaction allows the candidate to upload a pre-prepared file representing their response. It must be bound to a response variable with base-type file and single cardinality. The XML from the IMS Global APIP Specification would be included.</t>
  </si>
  <si>
    <t>001222</t>
  </si>
  <si>
    <t>AssessmentItemBodyUploadInteractionXML</t>
  </si>
  <si>
    <t>Assessment Item Characteristic Type</t>
  </si>
  <si>
    <t>The type of psychometric measure provided for assessment item.</t>
  </si>
  <si>
    <t>000392</t>
  </si>
  <si>
    <t>AssessmentItemCharacteristicType</t>
  </si>
  <si>
    <t>Assessment Item Characteristic Value</t>
  </si>
  <si>
    <t>A psychometric measure provided for an assessment item.</t>
  </si>
  <si>
    <t>000709</t>
  </si>
  <si>
    <t>AssessmentItemCharacteristicValue</t>
  </si>
  <si>
    <t>Assessment Item Difficulty</t>
  </si>
  <si>
    <t>The percentage of students who answered the item correctly during trial testing of the item.</t>
  </si>
  <si>
    <t>###.##</t>
  </si>
  <si>
    <t>000391</t>
  </si>
  <si>
    <t>AssessmentItemDifficulty</t>
  </si>
  <si>
    <t>Assessment Item Distractor Analysis</t>
  </si>
  <si>
    <t>The analysis of the distractors provided for a specific assessment.</t>
  </si>
  <si>
    <t>Alphanumeric - 100 characters maximum</t>
  </si>
  <si>
    <t>000398</t>
  </si>
  <si>
    <t>AssessmentItemDistractorAnalysis</t>
  </si>
  <si>
    <t>Assessment Item Identifier</t>
  </si>
  <si>
    <t>The identifier that uniquely identifies an assessment item.</t>
  </si>
  <si>
    <t>000630</t>
  </si>
  <si>
    <t>AssessmentItemIdentifier</t>
  </si>
  <si>
    <t>Assessment Item Interaction Type</t>
  </si>
  <si>
    <t>The assessment item body interaction type as defined by IMS Global specifications.</t>
  </si>
  <si>
    <t>001158</t>
  </si>
  <si>
    <t>AssessmentItemInteractionType</t>
  </si>
  <si>
    <t>Assessment Item Linking Item Indicator</t>
  </si>
  <si>
    <t>Indicates that the item is intended to be administered in two different grades for the goal of establishing cross grade comparison.</t>
  </si>
  <si>
    <t>001261</t>
  </si>
  <si>
    <t>AssessmentItemLinkingItemIndicator</t>
  </si>
  <si>
    <t>Assessment Item Maximum Score</t>
  </si>
  <si>
    <t>The maximum number of points possible for the assessment item.</t>
  </si>
  <si>
    <t>000707</t>
  </si>
  <si>
    <t>AssessmentItemMaximumScore</t>
  </si>
  <si>
    <t>Assessment Item Minimum Score</t>
  </si>
  <si>
    <t>The minimum number of points possible for the assessment item.</t>
  </si>
  <si>
    <t>000708</t>
  </si>
  <si>
    <t>AssessmentItemMinimumScore</t>
  </si>
  <si>
    <t>Assessment Item Possible Response Correct Indicator</t>
  </si>
  <si>
    <t>Indicates that the possible response is the correct response.</t>
  </si>
  <si>
    <t>001217</t>
  </si>
  <si>
    <t>AssessmentItemPossibleResponseCorrectIndicator</t>
  </si>
  <si>
    <t>Assessment Item Possible Response Feedback Message</t>
  </si>
  <si>
    <t>A message provided to the person being assessed after giving a response that matches the possible response.</t>
  </si>
  <si>
    <t>This may be a message of affirmation for a correct answer or descriptive feedback for an incorrect answer. For example, if the item asked the question what is 2 times 3 and the learner answered 5, the Feedback Message might be "Try multiplication instead of addition."</t>
  </si>
  <si>
    <t>000904</t>
  </si>
  <si>
    <t>AssessmentItemPossibleResponseFeedbackMessage</t>
  </si>
  <si>
    <t>Assessment Item Possible Response Option</t>
  </si>
  <si>
    <t>The possible response presented to the participant within a selected-response/multiple-choice assessment item.</t>
  </si>
  <si>
    <t>001269</t>
  </si>
  <si>
    <t>AssessmentItemPossibleResponseOption</t>
  </si>
  <si>
    <t>Assessment Item Possible Response Sequence Number</t>
  </si>
  <si>
    <t>The position of this response in the list of responses displayed, such as for a multiple choice item type.</t>
  </si>
  <si>
    <t>000905</t>
  </si>
  <si>
    <t>AssessmentItemPossibleResponseSequenceNumber</t>
  </si>
  <si>
    <t>Assessment Item Possible Response Value</t>
  </si>
  <si>
    <t>The description of each distracter on an assessment item, explaining why it is there, what misunderstandings it exposes.</t>
  </si>
  <si>
    <t>000908</t>
  </si>
  <si>
    <t>AssessmentItemPossibleResponse</t>
  </si>
  <si>
    <t>Assessment Item Release Status</t>
  </si>
  <si>
    <t>Indicates that the assessment item has been released to the public.</t>
  </si>
  <si>
    <t>001263</t>
  </si>
  <si>
    <t>AssessmentItemReleaseStatus</t>
  </si>
  <si>
    <t>Assessment Item Response Aid Set Used</t>
  </si>
  <si>
    <t>A tool or aid set used while viewing the item. This can include things like a calculator, reference tools, etc.</t>
  </si>
  <si>
    <t>This a permissible set of tools suggested for use for successful completion of a test question, not an accommodation.</t>
  </si>
  <si>
    <t>000406</t>
  </si>
  <si>
    <t>AssessmentItemResponseAidSetUsed</t>
  </si>
  <si>
    <t>Assessment Item Response Choice Pattern</t>
  </si>
  <si>
    <t>The distribution of responses for each choice in the assessment item.</t>
  </si>
  <si>
    <t>000393</t>
  </si>
  <si>
    <t>AssessmentItemResponseChoicePattern</t>
  </si>
  <si>
    <t>Assessment Item Response Descriptive Feedback</t>
  </si>
  <si>
    <t>The formative descriptive feedback that was given to a learner in response to the results from a scored/evaluated assessment item.</t>
  </si>
  <si>
    <t>000891</t>
  </si>
  <si>
    <t>AssessmentItemResponseDescriptiveFeedback</t>
  </si>
  <si>
    <t>Assessment Item Response Duration</t>
  </si>
  <si>
    <t>The total amount of time in seconds or milliseconds that a person spent responding to a given assessment item.</t>
  </si>
  <si>
    <t>HH:MM:SS or HH:MM:SS.sss</t>
  </si>
  <si>
    <t>000402</t>
  </si>
  <si>
    <t>AssessmentItemResponseDuration</t>
  </si>
  <si>
    <t>Assessment Item Response First Attempt Duration</t>
  </si>
  <si>
    <t>The amount of time in seconds or milliseconds that a person took to give an initial response, a first attempt to answer a formative assessment item.</t>
  </si>
  <si>
    <t>Formative assessments often allow learners to make multiple attempts until a correct or acceptable answer is given. In such cases it is valuable to know both the time it took for the initial response and the total time spent responding to the problem.</t>
  </si>
  <si>
    <t>000957</t>
  </si>
  <si>
    <t>AssessmentItemResponseFirstAttemptDuration</t>
  </si>
  <si>
    <t>Assessment Item Response Hint Count</t>
  </si>
  <si>
    <t>The total number of hints presented as the learner responded to a formative assessment item. This may include hints requested by the learner or hints automatically presented such as in an online tutoring system. Presentation of a scaffolding item is a separate response record and not counted as a hint.</t>
  </si>
  <si>
    <t>000955</t>
  </si>
  <si>
    <t>AssessmentItemResponseHintCount</t>
  </si>
  <si>
    <t>Assessment Item Response Hint Included Answer</t>
  </si>
  <si>
    <t>Indicates that one of the hints presented included the correct answer.</t>
  </si>
  <si>
    <t>A typical scenario for an online tutoring application may present a series of hints for a formative assessment item with the last hint being the correct answer. The learner must enter the correct answer before continuing. This data element is a flag that the learner was presented with the "bottom hint", which is the correct answer.</t>
  </si>
  <si>
    <t>000956</t>
  </si>
  <si>
    <t>AssessmentItemResponseHintIncludedAnswer</t>
  </si>
  <si>
    <t>Assessment Item Response Scaffolding Item Flag</t>
  </si>
  <si>
    <t>Indicates that the response is to a scaffolding problem rather than the main/assigned problem. A scaffolding item is a follow-up formative assessment item used to assess prerequisite or component skills, presented immediately after a learner gives an incorrect answer on the previous item.</t>
  </si>
  <si>
    <t>000954</t>
  </si>
  <si>
    <t>AssessmentItemResponseScaffoldingItemFlag</t>
  </si>
  <si>
    <t>Assessment Item Response Score Value</t>
  </si>
  <si>
    <t>The score given to a person's response to an assessment item.</t>
  </si>
  <si>
    <t>000724</t>
  </si>
  <si>
    <t>AssessmentItemResponseScoreValue</t>
  </si>
  <si>
    <t>Assessment Item Response Security Issue</t>
  </si>
  <si>
    <t>The description of security issue, if any, related to a learner's response to an assessment item.</t>
  </si>
  <si>
    <t>For example: Suspected plagiarism ; Computer left test window ; Excessive response time ; Proctor suspected copying ; Student identity not confirmed ; No proctor present ; Student carried wireless mobile device during test ; Student terminated test early and restarted ; Excessive erasures on test form ; Response pattern identical to another student's</t>
  </si>
  <si>
    <t>000969</t>
  </si>
  <si>
    <t>AssessmentItemResponseSecurityIssue</t>
  </si>
  <si>
    <t>Assessment Item Response Start Date</t>
  </si>
  <si>
    <t>The date on which the assessment item was presented to the learner.</t>
  </si>
  <si>
    <t>000959</t>
  </si>
  <si>
    <t>AssessmentItemResponseStartDate</t>
  </si>
  <si>
    <t>Assessment Item Response Start Time</t>
  </si>
  <si>
    <t>The time of day that the assessment item was presented to the learner.</t>
  </si>
  <si>
    <t>000958</t>
  </si>
  <si>
    <t>AssessmentItemResponseStartTime</t>
  </si>
  <si>
    <t>Assessment Item Response Status</t>
  </si>
  <si>
    <t>The status of the response for a given item.</t>
  </si>
  <si>
    <t>Additions to option set.</t>
  </si>
  <si>
    <t>000405</t>
  </si>
  <si>
    <t>AssessmentItemResponseStatus</t>
  </si>
  <si>
    <t>Assessment Item Response Theory DIF Value</t>
  </si>
  <si>
    <t>A value representing the Differential Item Functioning, also referred to as measurement bias, for the assessment item. The value represents differences in the functioning of the item across groups which are matched on the attribute being measure by the item. The value is calculated using Mantel-Haenszel approach or a comparable algorithm so that a value of 1.0 represents no bias.</t>
  </si>
  <si>
    <t>001264</t>
  </si>
  <si>
    <t>AssessmentItemResponseTheoryDIFValue</t>
  </si>
  <si>
    <t>Assessment Item Response Theory Kappa Algorithm</t>
  </si>
  <si>
    <t>The algorithm used to derive the Assessment Item Kappa Value</t>
  </si>
  <si>
    <t>001266</t>
  </si>
  <si>
    <t>AssessmentItemResponseTheoryKappaAlgorithm</t>
  </si>
  <si>
    <t>Assessment Item Response Theory Kappa Value</t>
  </si>
  <si>
    <t>The measure used to represent the degree of agreement among raters.</t>
  </si>
  <si>
    <t>001265</t>
  </si>
  <si>
    <t>AssessmentItemResponseTheoryKappaValue</t>
  </si>
  <si>
    <t>Assessment Item Response Theory Parameter A</t>
  </si>
  <si>
    <t>The Item Response Theory value representing the discrimination of the item. The a parameter is found by taking the slope of the line tangent to the item characteristic curve at the inflection point, B. The parameter is the steepness of the curve at its steepest point.</t>
  </si>
  <si>
    <t>001251</t>
  </si>
  <si>
    <t>AssessmentItemResponseTheoryParameterA</t>
  </si>
  <si>
    <t>Assessment Item Response Theory Parameter B</t>
  </si>
  <si>
    <t>The Item Response Theory value representing the difficulty of the item. It is the Theta value for the location of the inflection point of the item characteristic curve.</t>
  </si>
  <si>
    <t>001252</t>
  </si>
  <si>
    <t>AssessmentItemResponseTheoryParameterB</t>
  </si>
  <si>
    <t>Assessment Item Response Theory Parameter C</t>
  </si>
  <si>
    <t>The Item Response Theory value for multiple choice items representing the guessing of the item. The c parameter is a lower asymptote. It is the low point of the curve as it move to negative infinity on the horizontal axis. You can think of c as the probability that a chicken would get the item right.</t>
  </si>
  <si>
    <t>001254</t>
  </si>
  <si>
    <t>AssessmentItemResponseTheoryParameterC</t>
  </si>
  <si>
    <t>Assessment Item Response Theory Parameter D1</t>
  </si>
  <si>
    <t>For polytomous assessment items with more than two possible responses, this is the item response theory value representing the threshold between the first and second item characteristic functions.</t>
  </si>
  <si>
    <t>001255</t>
  </si>
  <si>
    <t>AssessmentItemResponseTheoryParameterD1</t>
  </si>
  <si>
    <t>Assessment Item Response Theory Parameter D2</t>
  </si>
  <si>
    <t>For polytomous assessment items with more than two possible responses, this is the item response theory value representing the threshold between the second and third item characteristic functions.</t>
  </si>
  <si>
    <t>001256</t>
  </si>
  <si>
    <t>AssessmentItemResponseTheoryParameterD2</t>
  </si>
  <si>
    <t>Assessment Item Response Theory Parameter D3</t>
  </si>
  <si>
    <t>For polytomous assessment items with more than three possible responses, this is the item response theory value representing the threshold between the third and fourth item characteristic functions.</t>
  </si>
  <si>
    <t>001257</t>
  </si>
  <si>
    <t>AssessmentItemResponseTheoryParameterD3</t>
  </si>
  <si>
    <t>Assessment Item Response Theory Parameter D4</t>
  </si>
  <si>
    <t>For polytomous assessment items with more than four possible responses, this is the item response theory value representing the threshold between the fourth and fifth item characteristic functions.</t>
  </si>
  <si>
    <t>001258</t>
  </si>
  <si>
    <t>AssessmentItemResponseTheoryParameterD4</t>
  </si>
  <si>
    <t>Assessment Item Response Theory Parameter D5</t>
  </si>
  <si>
    <t>For polytomous assessment items with more than five possible responses, this is the item response theory value representing the threshold between the fifth and sixth item characteristic functions.</t>
  </si>
  <si>
    <t>001259</t>
  </si>
  <si>
    <t>AssessmentItemResponseTheoryParameterD5</t>
  </si>
  <si>
    <t>Assessment Item Response Theory Parameter D6</t>
  </si>
  <si>
    <t>For polytomous assessment items with more than six possible responses, this is the item response theory value representing the threshold between the sixth and seventh item characteristic functions.</t>
  </si>
  <si>
    <t>001260</t>
  </si>
  <si>
    <t>AssessmentItemResponseTheoryParameterD6</t>
  </si>
  <si>
    <t>Assessment Item Response Theory Parameter Difficulty Category</t>
  </si>
  <si>
    <t>A category for the difficulty of the item based on the Item Response Theory value.</t>
  </si>
  <si>
    <t>001253</t>
  </si>
  <si>
    <t>AssessmentItemResponseTheoryParameterDifficultyCategory</t>
  </si>
  <si>
    <t>Assessment Item Response Theory Point Biserial Correlation Value</t>
  </si>
  <si>
    <t>The correlation between correct answers on this item and total correct answers on the test during a previous administration. </t>
  </si>
  <si>
    <t>Assessments -&gt; Assessment Item -&gt; Assessment Item Response Theory</t>
  </si>
  <si>
    <t>001262</t>
  </si>
  <si>
    <t>AssessmentItemResponseTheoryPointBiserialCorrelationValue</t>
  </si>
  <si>
    <t>Assessment Item Response Value</t>
  </si>
  <si>
    <t> A specific response to an assessment item by the person being assessed.</t>
  </si>
  <si>
    <t>001063</t>
  </si>
  <si>
    <t>AssessmentItemResponseValue</t>
  </si>
  <si>
    <t>Assessment Item Result XML</t>
  </si>
  <si>
    <t>The assessment item result formatted according to the IMS Global QTI Specification.</t>
  </si>
  <si>
    <t>See http://www.imsglobal.org/question/qtiv2p1/imsqti_resultv2p1.html#element10818</t>
  </si>
  <si>
    <t>001284</t>
  </si>
  <si>
    <t>AssessmentItemResultXML</t>
  </si>
  <si>
    <t>Assessment Item Stem</t>
  </si>
  <si>
    <t>The statement of the question or prompt for an Assessment Item to which the student responds.</t>
  </si>
  <si>
    <t>000400</t>
  </si>
  <si>
    <t>AssessmentItemStem</t>
  </si>
  <si>
    <t>Assessment Item Stimulus</t>
  </si>
  <si>
    <t>The text, source (e.g., video clip), and/or graphic about which the assessment item is written. The stimulus provides the context of the item/task to which the student must respond.</t>
  </si>
  <si>
    <t>001268</t>
  </si>
  <si>
    <t>AssessmentItemStimulus</t>
  </si>
  <si>
    <t>Assessment Item Text Complexity System</t>
  </si>
  <si>
    <t>The scaling system used to specify the text complexity of an assessment item.</t>
  </si>
  <si>
    <t>000907</t>
  </si>
  <si>
    <t>AssessmentItemTextComplexitySystem</t>
  </si>
  <si>
    <t>Assessment Item Text Complexity Value</t>
  </si>
  <si>
    <t>The complexity of the text using the scaling system defined by Text Complexity System, e.g. Lexile™ for assessment items with a reading passage.</t>
  </si>
  <si>
    <t>000906</t>
  </si>
  <si>
    <t>AssessmentItemTextComplexityValue</t>
  </si>
  <si>
    <t>Assessment Item Type</t>
  </si>
  <si>
    <t>The specific type of assessment item.</t>
  </si>
  <si>
    <t>000390</t>
  </si>
  <si>
    <t>AssessmentItemType</t>
  </si>
  <si>
    <t>Assessment Language</t>
  </si>
  <si>
    <t>The language in which the assessment form is designed to be delivered.</t>
  </si>
  <si>
    <t>See http://ceds.ed.gov/languageCodes.aspx</t>
  </si>
  <si>
    <t>001089</t>
  </si>
  <si>
    <t>AssessmentLanguage</t>
  </si>
  <si>
    <t>Assessment Level for Which Designed</t>
  </si>
  <si>
    <t>The typical grade or combination of grade-levels, developmental levels, or age-levels for which an assessment is designed.</t>
  </si>
  <si>
    <t>000177</t>
  </si>
  <si>
    <t>AssessmentLevelForWhichDesigned</t>
  </si>
  <si>
    <t>Assessment Need Alternative Representation Type</t>
  </si>
  <si>
    <t>Defines as part of an Assessment Personal Needs Profile the default presentation mode of the associated Alternative Representations accessibility.</t>
  </si>
  <si>
    <t>001041</t>
  </si>
  <si>
    <t>AssessmentNeedAlternativeRepresentationType</t>
  </si>
  <si>
    <t>Assessment Need Background Color</t>
  </si>
  <si>
    <t>This is the preferred Background color for screen enhancement defined as part of an Assessment Personal Needs Profile.</t>
  </si>
  <si>
    <t>Color hex code (alphanumeric - 6 characters)</t>
  </si>
  <si>
    <t>001053</t>
  </si>
  <si>
    <t>AssessmentNeedBackgroundColor</t>
  </si>
  <si>
    <t>Assessment Need Braille Dot Pressure</t>
  </si>
  <si>
    <t>Defines as part of an Assessment Personal Needs Profile the resistance pressure of Braille display pins.</t>
  </si>
  <si>
    <t>Numeric - up to four digits after decimal point</t>
  </si>
  <si>
    <t>001036</t>
  </si>
  <si>
    <t>AssessmentNeedBrailleDotPressure</t>
  </si>
  <si>
    <t>Assessment Need Braille Grade Type</t>
  </si>
  <si>
    <t>Defines as part of an Assessment Personal Needs Profile the grade of Braille to use when using a Braille display.</t>
  </si>
  <si>
    <t>001032</t>
  </si>
  <si>
    <t>AssessmentNeedBrailleGradeType</t>
  </si>
  <si>
    <t>Assessment Need Braille Mark Type</t>
  </si>
  <si>
    <t>Defines as part of an Assessment Personal Needs Profile what textual properties to mark when using a Braille display.</t>
  </si>
  <si>
    <t>001035</t>
  </si>
  <si>
    <t>AssessmentNeedBrailleMarkType</t>
  </si>
  <si>
    <t>Assessment Need Braille Status Cell Type</t>
  </si>
  <si>
    <t>Defines as part of an Assessment Personal Needs Profile the preferred presence or location of a Braille display status cell.</t>
  </si>
  <si>
    <t>001037</t>
  </si>
  <si>
    <t>AssessmentNeedBrailleStatusCellType</t>
  </si>
  <si>
    <t>Assessment Need Directions Only</t>
  </si>
  <si>
    <t>Defines as part of an Assessment Personal Needs Profile whether or not the verbal alternative content presentation should be applied to directive content only.</t>
  </si>
  <si>
    <t>001045</t>
  </si>
  <si>
    <t>AssessmentNeedDirectionsOnly</t>
  </si>
  <si>
    <t>Assessment Need Foreground Color</t>
  </si>
  <si>
    <t>This is the preferred Foreground color for screen enhancement defined as part of an Assessment Personal Needs Profile.</t>
  </si>
  <si>
    <t>001052</t>
  </si>
  <si>
    <t>AssessmentNeedForegroundColor</t>
  </si>
  <si>
    <t>Assessment Need Hazard Type</t>
  </si>
  <si>
    <t>Defines as part of an Assessment Personal Needs Profile a characteristic of a digital resource that may be specified as being dangerous to a user.</t>
  </si>
  <si>
    <t>001024</t>
  </si>
  <si>
    <t>AssessmentNeedHazardType</t>
  </si>
  <si>
    <t>Assessment Need Increased Whitespacing Type</t>
  </si>
  <si>
    <t>Defines the user preferences for white spacing in lines, words and characters as part of an Assessment Personal Needs Profile.</t>
  </si>
  <si>
    <t>001054</t>
  </si>
  <si>
    <t>AssessmentNeedIncreasedWhitespacingType</t>
  </si>
  <si>
    <t>Assessment Need Invert Color Choice</t>
  </si>
  <si>
    <t>Defines as part of an Assessment Personal Needs Profile the Access for All (AfA) preference to invert the foreground and background Colors.</t>
  </si>
  <si>
    <t>001030</t>
  </si>
  <si>
    <t>AssessmentNeedInvertColorChoice</t>
  </si>
  <si>
    <t>Assessment Need Item Translation Display Language Type</t>
  </si>
  <si>
    <t>Defines as part of an Assessment Personal Needs Profile the default language for the displayed translation.</t>
  </si>
  <si>
    <t>001038</t>
  </si>
  <si>
    <t>AssessmentNeedItemTranslationDisplayLanguageType</t>
  </si>
  <si>
    <t>Assessment Need Keyword Translation Language Type</t>
  </si>
  <si>
    <t>Defines as part of an Assessment Personal Needs Profile the default language for the keyword translation.</t>
  </si>
  <si>
    <t>001039</t>
  </si>
  <si>
    <t>AssessmentNeedKeywordTranslationLanguageType</t>
  </si>
  <si>
    <t>Assessment Need Language Type</t>
  </si>
  <si>
    <t>Defines as part of an Assessment Personal Needs Profile a preference for the language of the user interface.</t>
  </si>
  <si>
    <t>001023</t>
  </si>
  <si>
    <t>AssessmentNeedLanguageType</t>
  </si>
  <si>
    <t>Assessment Need Line Reader Highlight Color</t>
  </si>
  <si>
    <t>The color defined as part of an Assessment Personal Needs Profile to be used to highlight the point of line reader activity i.e. the line being read.</t>
  </si>
  <si>
    <t>001050</t>
  </si>
  <si>
    <t>AssessmentNeedLineReaderHighlightColor</t>
  </si>
  <si>
    <t>Assessment Need Link Indication Type</t>
  </si>
  <si>
    <t>Defines as part of an Assessment Personal Needs Profile the characteristics of presentation for a hyperlink when using a screen reader.</t>
  </si>
  <si>
    <t>001027</t>
  </si>
  <si>
    <t>AssessmentNeedLinkIndicationType</t>
  </si>
  <si>
    <t>Assessment Need Magnification</t>
  </si>
  <si>
    <t>Defines as part of an Assessment Personal Needs Profile the preferred magnification of the screen as a factor of a screen’s original size.</t>
  </si>
  <si>
    <t>001031</t>
  </si>
  <si>
    <t>AssessmentNeedMagnification</t>
  </si>
  <si>
    <t>Assessment Need Masking Type</t>
  </si>
  <si>
    <t>Specifies as part of an Assessment Personal Needs Profile the type of masks the user is able to create to cover portions of the question until needed.</t>
  </si>
  <si>
    <t>001046</t>
  </si>
  <si>
    <t>AssessmentNeedMaskingType</t>
  </si>
  <si>
    <t>Assessment Need Number of Braille Cells</t>
  </si>
  <si>
    <t>Defines as part of an Assessment Personal Needs Profile the number of active Braille cells in a Braille display.</t>
  </si>
  <si>
    <t>Numeric - integer greater than or equal to zero</t>
  </si>
  <si>
    <t>001034</t>
  </si>
  <si>
    <t>AssessmentNeedNumberOfBrailleCells</t>
  </si>
  <si>
    <t>Assessment Need Number of Braille Dots Type</t>
  </si>
  <si>
    <t>Defines as part of an Assessment Personal Needs Profile the number of dots in a Braille cell.</t>
  </si>
  <si>
    <t>001033</t>
  </si>
  <si>
    <t>AssessmentNeedNumberOfBrailleDotsType</t>
  </si>
  <si>
    <t>Assessment Need Overlay Color</t>
  </si>
  <si>
    <t>This is the preferred color for the overlay for screen enhancement defined as part of an Assessment Personal Needs Profile.</t>
  </si>
  <si>
    <t>001051</t>
  </si>
  <si>
    <t>AssessmentNeedOverlayColor</t>
  </si>
  <si>
    <t>Assessment Need Pitch</t>
  </si>
  <si>
    <t>Defines as part of an Assessment Personal Needs Profile the pitch of a speech synthesizer.</t>
  </si>
  <si>
    <t>001087</t>
  </si>
  <si>
    <t>AssessmentNeedPitch</t>
  </si>
  <si>
    <t>Assessment Need Read At Start Preference</t>
  </si>
  <si>
    <t>Used as part of an Assessment Personal Needs Profile to define if the spoken play-back should commence from the start of a recording or not.</t>
  </si>
  <si>
    <t>001043</t>
  </si>
  <si>
    <t>AssessmentNeedReadAtStartPreference</t>
  </si>
  <si>
    <t>Assessment Need Signing Type</t>
  </si>
  <si>
    <t>Defines as part of an Assessment Personal Needs Profile the type of signing preferred by the user.</t>
  </si>
  <si>
    <t>001040</t>
  </si>
  <si>
    <t>AssessmentNeedSigningType</t>
  </si>
  <si>
    <t>Assessment Need Sound File URL</t>
  </si>
  <si>
    <t>The URI of the sound file that is to be played to the user as an expression of encouragement when Masking is specified as part of an Assessment Personal Needs Profile. It is left to the system to determine when to play this audio file.</t>
  </si>
  <si>
    <t>001048</t>
  </si>
  <si>
    <t>AssessmentNeedSoundFileURL</t>
  </si>
  <si>
    <t>Assessment Need Speech Rate</t>
  </si>
  <si>
    <t>Defines as part of an Assessment Personal Needs Profile the rate of speech of a speech synthesizer.</t>
  </si>
  <si>
    <t>001028</t>
  </si>
  <si>
    <t>AssessmentNeedSpeechRate</t>
  </si>
  <si>
    <t>Assessment Need Spoken Source Preference Type</t>
  </si>
  <si>
    <t>Defines as part of an Assessment Personal Needs Profile the preferred spoken audio form.</t>
  </si>
  <si>
    <t>001042</t>
  </si>
  <si>
    <t>AssessmentNeedSpokenSourcePreferenceType</t>
  </si>
  <si>
    <t>Assessment Need Support Tool Type</t>
  </si>
  <si>
    <t>Defines as part of an Assessment Personal Needs Profile the electronic tool associated with a resource.</t>
  </si>
  <si>
    <t>001025</t>
  </si>
  <si>
    <t>AssessmentNeedSupportToolType</t>
  </si>
  <si>
    <t>Assessment Need Text Messaging String</t>
  </si>
  <si>
    <t>The text string that is to be displayed to the user as an expression of encouragement when Masking is specified as part of an Assessment Personal Needs Profile. It is left to the system to determine when to display this string.</t>
  </si>
  <si>
    <t>001047</t>
  </si>
  <si>
    <t>AssessmentNeedTextMessagingString</t>
  </si>
  <si>
    <t>Assessment Need Time Multiplier</t>
  </si>
  <si>
    <t>Defines the multiplier to be applied to the time limit to determine the total testing time allowed when Additional Testing Time is specified as part of an Assessment Personal Needs Profile. If the value is ‘unlimited’ then there is no time limit for the test.</t>
  </si>
  <si>
    <t>Alphanumeric - 9 characters maximum</t>
  </si>
  <si>
    <t>001049</t>
  </si>
  <si>
    <t>AssessmentNeedTimeMultiplier</t>
  </si>
  <si>
    <t>Assessment Need Type</t>
  </si>
  <si>
    <t>A type of need identified for a learner as part of an assessment need profile.</t>
  </si>
  <si>
    <t>001127</t>
  </si>
  <si>
    <t>AssessmentNeedType</t>
  </si>
  <si>
    <t>Assessment Need Usage Type</t>
  </si>
  <si>
    <t>Defines as part of an Assessment Personal Needs Profile the rating for the collection of Access for All (AfA) needs and preferences.</t>
  </si>
  <si>
    <t>001026</t>
  </si>
  <si>
    <t>AssessmentNeedUsageType</t>
  </si>
  <si>
    <t>Assessment Need User Spoken Preference Type</t>
  </si>
  <si>
    <t>Used as part of an Assessment Personal Needs Profile to define the type of material that should be rendered using the read aloud alternative content.</t>
  </si>
  <si>
    <t>001044</t>
  </si>
  <si>
    <t>AssessmentNeedUserSpokenPreferenceType</t>
  </si>
  <si>
    <t>Assessment Need Volume</t>
  </si>
  <si>
    <t>Defines as part of an Assessment Personal Needs Profile the volume of a speech synthesizer.</t>
  </si>
  <si>
    <t>001029</t>
  </si>
  <si>
    <t>AssessmentNeedVolume</t>
  </si>
  <si>
    <t>Assessment Objective</t>
  </si>
  <si>
    <t>This is the objective that the assessment is measuring.</t>
  </si>
  <si>
    <t>000382</t>
  </si>
  <si>
    <t>AssessmentObjective</t>
  </si>
  <si>
    <t>Assessment Participant Session Delivery Device Details</t>
  </si>
  <si>
    <t>The details about the device or platform by with which the assessment was delivered to the learner.</t>
  </si>
  <si>
    <t>For example web browser version and screen resolution.</t>
  </si>
  <si>
    <t>001003</t>
  </si>
  <si>
    <t>AssessmentParticipantSessionDeliveryDeviceDetails</t>
  </si>
  <si>
    <t>Assessment Participant Session Language</t>
  </si>
  <si>
    <t>The language that the assessment is administered.</t>
  </si>
  <si>
    <t>000371</t>
  </si>
  <si>
    <t>AssessmentParticipantSessionLanguage</t>
  </si>
  <si>
    <t>Assessment Participant Session Platform Type</t>
  </si>
  <si>
    <t>The platform with which the assessment was delivered to the student during the assessment session.</t>
  </si>
  <si>
    <t>000386</t>
  </si>
  <si>
    <t>AssessmentParticipantSessionPlatformType</t>
  </si>
  <si>
    <t>Assessment Participant Session Platform User Agent</t>
  </si>
  <si>
    <t>A list of product tokens (keywords) with optional comments that identifies the client hardware and software with which the assessment was delivered to the student during the assessment session.</t>
  </si>
  <si>
    <t>Alphanumeric - 512 characters maximum</t>
  </si>
  <si>
    <t>Implementation Note: The recommended approach is to store the User-Agent string returned as part of an HTTP header. For example, an assessment session delivery via iPad might have "Mozilla/5.0 (iPad; U; CPU OS 3_2_1 like Mac OS X; en-us) AppleWebKit/531.21.10 (KHTML, like Gecko) Mobile/7B405"</t>
  </si>
  <si>
    <t>001152</t>
  </si>
  <si>
    <t>AssessmentParticipantSessionPlatformUserAgent</t>
  </si>
  <si>
    <t>Assessment Participant Session Security Issue</t>
  </si>
  <si>
    <t>Describes an issue related to the security of a testing instrument identified during a specific instance of delivering an assessment to a specific person during a specific time period.</t>
  </si>
  <si>
    <t>001130</t>
  </si>
  <si>
    <t>AssessmentParticipantSessionSecurityIssue</t>
  </si>
  <si>
    <t>Assessment Participant Session Time Assessed</t>
  </si>
  <si>
    <t>The overall time a learner actually spent during the assessment session.</t>
  </si>
  <si>
    <t>000407</t>
  </si>
  <si>
    <t>AssessmentParticipantSessionTimeAssessed</t>
  </si>
  <si>
    <t>Assessment Performance Level Descriptive Feedback</t>
  </si>
  <si>
    <t>A feedback message designed to be reported with the assessment performance level.</t>
  </si>
  <si>
    <t>001218</t>
  </si>
  <si>
    <t>AssessmentPerformanceLevelDescriptiveFeedback</t>
  </si>
  <si>
    <t>Assessment Performance Level Identifier</t>
  </si>
  <si>
    <t>A unique number or alphanumeric code assigned to an assessment performance level.</t>
  </si>
  <si>
    <t>000717</t>
  </si>
  <si>
    <t>AssessmentPerformanceLevelIdentifier</t>
  </si>
  <si>
    <t>Assessment Performance Level Label</t>
  </si>
  <si>
    <t>A label representing the performance level appropriate for use on a report.</t>
  </si>
  <si>
    <t>Alphanumeric - 20 characters maximum</t>
  </si>
  <si>
    <t>000718</t>
  </si>
  <si>
    <t>AssessmentPerformanceLevelLabel</t>
  </si>
  <si>
    <t>Assessment Performance Level Lower Cut Score</t>
  </si>
  <si>
    <t>Lowest possible score for the performance level.</t>
  </si>
  <si>
    <t>000418</t>
  </si>
  <si>
    <t>AssessmentPerformanceLevelLowerCutScore</t>
  </si>
  <si>
    <t>Assessment Performance Level Score Metric</t>
  </si>
  <si>
    <t>The metric or scale used for score reporting.</t>
  </si>
  <si>
    <t>000417</t>
  </si>
  <si>
    <t>AssessmentPerformanceLevelScoreMetric</t>
  </si>
  <si>
    <t>Assessment Performance Level Upper Cut Score</t>
  </si>
  <si>
    <t>Highest possible score for the performance level.</t>
  </si>
  <si>
    <t>000419</t>
  </si>
  <si>
    <t>AssessmentPerformanceLevelUpperCutScore</t>
  </si>
  <si>
    <t>Assessment Personal Needs Profile Activate By Default</t>
  </si>
  <si>
    <t>Determines if the alternative accessible content is rendered as the default content for the learner.</t>
  </si>
  <si>
    <t>This flag may apply to any need within the Assessment Personal Need Profile.</t>
  </si>
  <si>
    <t>001005</t>
  </si>
  <si>
    <t>AssessmentPersonalNeedsProfileActivateByDefault</t>
  </si>
  <si>
    <t>Assessment Personal Needs Profile Assigned Support</t>
  </si>
  <si>
    <t>Defines whether or not the individual needs the kind of support defined by the entity.</t>
  </si>
  <si>
    <t>001004</t>
  </si>
  <si>
    <t>AssessmentPersonalNeedsProfileAssignedSupport</t>
  </si>
  <si>
    <t>Assessment Provider</t>
  </si>
  <si>
    <t>Identifies the provider or publisher of the assessment.</t>
  </si>
  <si>
    <t>AIF property</t>
  </si>
  <si>
    <t>001006</t>
  </si>
  <si>
    <t>AssessmentProvider</t>
  </si>
  <si>
    <t>Assessment Purpose</t>
  </si>
  <si>
    <t>The reason for which an assessment is designed or delivered.</t>
  </si>
  <si>
    <t>This element might have multiple occurrences associated with any one assessment.</t>
  </si>
  <si>
    <t>000026</t>
  </si>
  <si>
    <t>AssessmentPurpose</t>
  </si>
  <si>
    <t>Assessment Registration Assignor Identifier</t>
  </si>
  <si>
    <t>The unique identifier of the person who assigned the assessment to the learner.</t>
  </si>
  <si>
    <t>For example, the unique identifier of a classroom teacher or school principal.</t>
  </si>
  <si>
    <t>000889</t>
  </si>
  <si>
    <t>AssessmentRegistrationAssignorIdentifier</t>
  </si>
  <si>
    <t>Assessment Registration Creation Date</t>
  </si>
  <si>
    <t>Date/time assignment is made.</t>
  </si>
  <si>
    <t>YYYY-MM-DDTHH:MM:SS</t>
  </si>
  <si>
    <t>001017</t>
  </si>
  <si>
    <t>AssessmentRegistrationCreationDate</t>
  </si>
  <si>
    <t>Assessment Registration Days of Instruction</t>
  </si>
  <si>
    <t>The number of days of instruction the student has taken prior to testing.</t>
  </si>
  <si>
    <t>Numeric - integer greater than or equal to zero.</t>
  </si>
  <si>
    <t>001015</t>
  </si>
  <si>
    <t>AssessmentRegistrationDaysOfInstruction</t>
  </si>
  <si>
    <t>Assessment Registration Grade Level To Be Assessed</t>
  </si>
  <si>
    <t>The grade or level at which the learner is to be assessed.</t>
  </si>
  <si>
    <t>Name changed from Assessment Registration Grade Level When Assessed.</t>
  </si>
  <si>
    <t>Informs selection of the assessment form appropriate for the grade level to be tested.</t>
  </si>
  <si>
    <t>001057</t>
  </si>
  <si>
    <t>AssessmentRegistrationGradeLevelToBeAssessed</t>
  </si>
  <si>
    <t>Assessment Registration Participation Indicator</t>
  </si>
  <si>
    <t>An indication of whether a student participated in an assessment.</t>
  </si>
  <si>
    <t>000025</t>
  </si>
  <si>
    <t>AssessmentRegistrationParticipationIndicator</t>
  </si>
  <si>
    <t>Assessment Registration Reason Not Completing</t>
  </si>
  <si>
    <t>The primary reason a participant did not complete an assessment.</t>
  </si>
  <si>
    <t>This may apply to any learner, but is used particularly for reporting based on children with disabilities (IDEA).</t>
  </si>
  <si>
    <t>000540</t>
  </si>
  <si>
    <t>AssessmentRegistrationReasonNotCompleting</t>
  </si>
  <si>
    <t>Assessment Registration Retest Indicator</t>
  </si>
  <si>
    <t>Indicates if this registration is for a retest (retake). Retest can occur if a student failed a prior attempt and is eligible to retake. Other retest scenarios also can occur.</t>
  </si>
  <si>
    <t>001016</t>
  </si>
  <si>
    <t>AssessmentRegistrationRetestIndicator</t>
  </si>
  <si>
    <t>Assessment Registration Score Publish Date</t>
  </si>
  <si>
    <t>The date set by the testing program when the test scores are published. For formative or classroom assessments, this will likely be the date when the scored the individual test. For summative assessments, this date is likely set for a group of assessments when the processing system releases the scores.</t>
  </si>
  <si>
    <t>001056</t>
  </si>
  <si>
    <t>AssessmentRegistrationScorePublishDate</t>
  </si>
  <si>
    <t>Assessment Registration Test Attempt Identifier</t>
  </si>
  <si>
    <t>A unique identifier for the test attempt assigned by the delivery system.</t>
  </si>
  <si>
    <t>For paper-based tests this is typically a batch/stack/serial number and for online tests it is likely a unique internal identifier. Used to locate the original attempt.</t>
  </si>
  <si>
    <t>001162</t>
  </si>
  <si>
    <t>AssessmentRegistrationTestAttemptIdentifier</t>
  </si>
  <si>
    <t>Assessment Registration Testing Indicator</t>
  </si>
  <si>
    <t>Indicates rules about use of results based on Special Events before during or after the test. The option set values are determined by the testing program.</t>
  </si>
  <si>
    <t>For example, "do not score", "do not report".</t>
  </si>
  <si>
    <t>001055</t>
  </si>
  <si>
    <t>AssessmentRegistrationTestingIndicator</t>
  </si>
  <si>
    <t>Assessment Rubric Identifier</t>
  </si>
  <si>
    <t>An identifier assigned to a rubric.</t>
  </si>
  <si>
    <t>Name changed from Assessment Item Rubric Identifier.</t>
  </si>
  <si>
    <t>000422</t>
  </si>
  <si>
    <t>AssessmentRubricIdentifier</t>
  </si>
  <si>
    <t>Assessment Rubric Title</t>
  </si>
  <si>
    <t>The title of the rubric.</t>
  </si>
  <si>
    <t>Name changed from Assessment Item Rubric Name.</t>
  </si>
  <si>
    <t>000421</t>
  </si>
  <si>
    <t>AssessmentRubricTitle</t>
  </si>
  <si>
    <t>Assessment Rubric URL Reference</t>
  </si>
  <si>
    <t>The URL location where the rubric may be found.</t>
  </si>
  <si>
    <t>Name changed from Assessment Item Rubric URL Reference.</t>
  </si>
  <si>
    <t>000423</t>
  </si>
  <si>
    <t>AssessmentRubricURLReference</t>
  </si>
  <si>
    <t>Assessment Secure Indicator</t>
  </si>
  <si>
    <t>Indicates whether or not the assessment is a secure assessment.</t>
  </si>
  <si>
    <t>000384</t>
  </si>
  <si>
    <t>AssessmentSecureIndicator</t>
  </si>
  <si>
    <t>Assessment Session Actual End Date Time</t>
  </si>
  <si>
    <t>Date and time the assessment actually ended.</t>
  </si>
  <si>
    <t>When associated to an assessment session this is the actual end date and time. When associated to an individual taking an assessment, this is the actual date and time when the individual finished.</t>
  </si>
  <si>
    <t>001022</t>
  </si>
  <si>
    <t>AssessmentSessionActualEndDateTime</t>
  </si>
  <si>
    <t>Assessment Session Actual Start Date Time</t>
  </si>
  <si>
    <t>Date and time the assessment actually began.</t>
  </si>
  <si>
    <t>When associated to an assessment session this is the actual start date and time. When associated to an individual taking an assessment, this is the actual date and time when the individual started.</t>
  </si>
  <si>
    <t>001021</t>
  </si>
  <si>
    <t>AssessmentSessionActualStartDateTime</t>
  </si>
  <si>
    <t>Assessment Session Administrator Identifier</t>
  </si>
  <si>
    <t>The unique identifier of the person overseeing the administration of an assessment. This is typically at a district or school level or at an administrator at a testing facility.</t>
  </si>
  <si>
    <t>Alphanumeric - 50 characters maximum</t>
  </si>
  <si>
    <t>000410</t>
  </si>
  <si>
    <t>AssessmentSessionAdministratorIdentifier</t>
  </si>
  <si>
    <t>Assessment Session Allotted Time</t>
  </si>
  <si>
    <t>The duration of time allotted for the assessment session.</t>
  </si>
  <si>
    <t>000408</t>
  </si>
  <si>
    <t>AssessmentSessionAllottedTime</t>
  </si>
  <si>
    <t>Assessment Session Location</t>
  </si>
  <si>
    <t>The description of the place where an assessment is administered.</t>
  </si>
  <si>
    <t>Alphanumeric - 45 characters maximum</t>
  </si>
  <si>
    <t>000597</t>
  </si>
  <si>
    <t>AssessmentSessionLocation</t>
  </si>
  <si>
    <t>Assessment Session Proctor Identifier</t>
  </si>
  <si>
    <t>The unique identifier of the person overseeing the assessment session in the setting.</t>
  </si>
  <si>
    <t>This could be the identifier for a teacher, a paraprofessional or individual at a testing site.</t>
  </si>
  <si>
    <t>000411</t>
  </si>
  <si>
    <t>AssessmentSessionProctorIdentifier</t>
  </si>
  <si>
    <t>Assessment Session Scheduled End Date Time</t>
  </si>
  <si>
    <t>Date and time the assessment is scheduled to end.</t>
  </si>
  <si>
    <t>001020</t>
  </si>
  <si>
    <t>AssessmentSessionScheduledEndDateTime</t>
  </si>
  <si>
    <t>Assessment Session Scheduled Start Date Time</t>
  </si>
  <si>
    <t>Date and time the assessment is scheduled to begin.</t>
  </si>
  <si>
    <t>001019</t>
  </si>
  <si>
    <t>AssessmentSessionScheduledStartDateTime</t>
  </si>
  <si>
    <t>Assessment Session Security Issue</t>
  </si>
  <si>
    <t>The description of a security issue, if any, discovered for an administration of an assessment, such as suspected cheating by a student or a teacher changing answers after a student takes the test.</t>
  </si>
  <si>
    <t>000968</t>
  </si>
  <si>
    <t>AssessmentSessionSecurityIssue</t>
  </si>
  <si>
    <t>Assessment Session Special Circumstance Type</t>
  </si>
  <si>
    <t>An unusual event occurred during the administration of the assessment. This could include fire alarm, student became ill, etc.</t>
  </si>
  <si>
    <t>000389</t>
  </si>
  <si>
    <t>AssessmentSessionSpecialCircumstanceType</t>
  </si>
  <si>
    <t>Assessment Session Special Event Description</t>
  </si>
  <si>
    <t>Describes special events that occur before during or after the assessment session that may impact use of results according to rules related to the Assessment Registration Testing Indicator.</t>
  </si>
  <si>
    <t>001093</t>
  </si>
  <si>
    <t>AssessmentSessionSpecialEventDescription</t>
  </si>
  <si>
    <t>Assessment Session Staff Role Type</t>
  </si>
  <si>
    <t>The type of role served related to the administration of an assessment session.</t>
  </si>
  <si>
    <t>001212</t>
  </si>
  <si>
    <t>AssessmentSessionStaffRoleType</t>
  </si>
  <si>
    <t>Assessment Session Type</t>
  </si>
  <si>
    <t>The type of session that is scheduled.</t>
  </si>
  <si>
    <t>001018</t>
  </si>
  <si>
    <t>AssessmentSessionType</t>
  </si>
  <si>
    <t>Assessment Shared With Parents</t>
  </si>
  <si>
    <t>An indication of whether assessment results are shared with parents.</t>
  </si>
  <si>
    <t>Early Learning -&gt; EL Organization -&gt; Parental/Family Involvement</t>
  </si>
  <si>
    <t>000858</t>
  </si>
  <si>
    <t>AssessmentSharedWithParents</t>
  </si>
  <si>
    <t>Assessment Short Name</t>
  </si>
  <si>
    <t>An abbreviated title for an assessment.</t>
  </si>
  <si>
    <t>000931</t>
  </si>
  <si>
    <t>AssessmentShortName</t>
  </si>
  <si>
    <t>Assessment Subtest Abbreviation</t>
  </si>
  <si>
    <t>The shortened name identifying the assessment for use in reference and/or reports.</t>
  </si>
  <si>
    <t>000368</t>
  </si>
  <si>
    <t>AssessmentSubtestAbbreviation</t>
  </si>
  <si>
    <t>Assessment Subtest Description</t>
  </si>
  <si>
    <t>The description of the subtest (e.g., vocabulary, measurement, or geometry).</t>
  </si>
  <si>
    <t>000274</t>
  </si>
  <si>
    <t>AssessmentSubtestDescription</t>
  </si>
  <si>
    <t>Assessment Subtest Identifier</t>
  </si>
  <si>
    <t>A unique number or alphanumeric code assigned to an assessment subtest.</t>
  </si>
  <si>
    <t>000367</t>
  </si>
  <si>
    <t>AssessmentSubtestIdentifier</t>
  </si>
  <si>
    <t>Assessment Subtest Identifier Type</t>
  </si>
  <si>
    <t>The type of identifier that is provided for a Subtest.</t>
  </si>
  <si>
    <t>001014</t>
  </si>
  <si>
    <t>AssessmentSubtestIdentifierType</t>
  </si>
  <si>
    <t>Assessment Subtest Maximum Value</t>
  </si>
  <si>
    <t>The maximum value for the measurement.</t>
  </si>
  <si>
    <t>000396</t>
  </si>
  <si>
    <t>AssessmentSubtestMaximumValue</t>
  </si>
  <si>
    <t>Assessment Subtest Minimum Value</t>
  </si>
  <si>
    <t>The minimum value possible for the measurement.</t>
  </si>
  <si>
    <t>000395</t>
  </si>
  <si>
    <t>AssessmentSubtestMinimumValue</t>
  </si>
  <si>
    <t>Assessment Subtest Optimal Value</t>
  </si>
  <si>
    <t>The optimal value for this measurement.</t>
  </si>
  <si>
    <t>The Optimal Value may be the same as the Maximum Value, the Minimum Value, or something in between.</t>
  </si>
  <si>
    <t>000397</t>
  </si>
  <si>
    <t>AssessmentSubtestScaleOptimalValue</t>
  </si>
  <si>
    <t>Assessment Subtest Published Date</t>
  </si>
  <si>
    <t>The date on which the Subtest was published.</t>
  </si>
  <si>
    <t>001091</t>
  </si>
  <si>
    <t>AssessmentSubtestPublishedDate</t>
  </si>
  <si>
    <t>Assessment Subtest Result Date Created</t>
  </si>
  <si>
    <t>The date on which the assessment subtest result was generated.</t>
  </si>
  <si>
    <t>000971</t>
  </si>
  <si>
    <t>AssessmentSubtestResultDateCreated</t>
  </si>
  <si>
    <t>Assessment Subtest Result Date Updated</t>
  </si>
  <si>
    <t>The most recent date that the subtest result was calculated/updated. The value should be the same as Assessment Subtest Result Date Created if the subtest has only been scored once, but may be different if the score was recalculated with a different result.</t>
  </si>
  <si>
    <t>This flag is to handle cases when a subtest result is originally scored using incorrect parameters and then rescored, such as if the grade level attributed to the student was originally encoded incorrectly and later corrected. An operational system may also capture the history of if rescored more than once.</t>
  </si>
  <si>
    <t>000970</t>
  </si>
  <si>
    <t>AssessmentSubtestResultDateUpdated</t>
  </si>
  <si>
    <t>Assessment Subtest Result Descriptive Feedback</t>
  </si>
  <si>
    <t>The formative descriptive feedback that was given to a learner based on a scored/evaluated portion of an assessment as recorded in the Subtest Result entity.</t>
  </si>
  <si>
    <t>000890</t>
  </si>
  <si>
    <t>AssessmentSubtestResultDescriptiveFeedback</t>
  </si>
  <si>
    <t>Assessment Subtest Result Descriptive Feedback Source</t>
  </si>
  <si>
    <t>Identifies the source of the descriptive feedback that was given to a learner based on a scored/evaluated portion of an assessment. May indicate if this is teacher, scorer, or system generated feedback. Values for this attribute would be determined by the assessment program.</t>
  </si>
  <si>
    <t>001092</t>
  </si>
  <si>
    <t>AssessmentSubtestResultDescriptiveFeedbackSource</t>
  </si>
  <si>
    <t>Assessment Subtest Result Diagnostic Statement</t>
  </si>
  <si>
    <t>A statement intended for use by education professionals, using professional terminology, to interpret learner needs based on the scored/evaluated portion of an assessment. This statement may inform Descriptive Feedback given to the learner.</t>
  </si>
  <si>
    <t>001219</t>
  </si>
  <si>
    <t>AssessmentSubtestResultDiagnosticStatement</t>
  </si>
  <si>
    <t>Assessment Subtest Result Included in Adequate Yearly Progress Calculation</t>
  </si>
  <si>
    <t>An indication of whether a proficiency score on the state assessment was included in the state’s calculation of adequate yearly progress (AYP).</t>
  </si>
  <si>
    <t>K12 -&gt; Assessments -&gt; Assessment Subtest Result</t>
  </si>
  <si>
    <t>000576</t>
  </si>
  <si>
    <t>Assessment Subtest Result Included in AYP Calculation</t>
  </si>
  <si>
    <t>AssessmentSubtestResultIncludeIinAYPCalculation</t>
  </si>
  <si>
    <t>Assessment Subtest Result Number of Responses</t>
  </si>
  <si>
    <t>The number of responses that are included with the Student Score Set. Responses are those items that were attempted (partially or fully answered) by the student and not necessarily the number of items in the sub test (which can be determined from the sub test object).</t>
  </si>
  <si>
    <t>001009</t>
  </si>
  <si>
    <t>AssessmentSubtestResultNumberOfResponses</t>
  </si>
  <si>
    <t>Assessment Subtest Result Preliminary Indicator</t>
  </si>
  <si>
    <t>If this score is preliminary, then this attribute value should be set. Preliminary scores may be provided for early use by the assessment program or user while final scoring is occurring.</t>
  </si>
  <si>
    <t>001007</t>
  </si>
  <si>
    <t>AssessmentSubtestResultPreliminaryIndicator</t>
  </si>
  <si>
    <t>Assessment Subtest Result Pretest Outcome</t>
  </si>
  <si>
    <t>The results of a pre-test in academic subjects.</t>
  </si>
  <si>
    <t>000572</t>
  </si>
  <si>
    <t>AssessmentSubtestResultPretestOutcome</t>
  </si>
  <si>
    <t>Assessment Subtest Result Score Value</t>
  </si>
  <si>
    <t>A meaningful raw score, derived score, or statistical expression of the performance of a person on an assessment. The type of result is indicated by the Metric Type element. The results can be expressed as a number, percentile, range, level, etc. The score relates to all scored items or a sub test scoring one aspect of performance on the test. This value may or may not correspond to one or more Performance Levels.</t>
  </si>
  <si>
    <t>Alphanumeric - 35 characters maximum</t>
  </si>
  <si>
    <t>000245</t>
  </si>
  <si>
    <t>AssessmentSubtestResultScoreValue</t>
  </si>
  <si>
    <t>Assessment Subtest Rules</t>
  </si>
  <si>
    <t>A description of the rules to produce a student test/subtest score from for a grouping of student item scores.</t>
  </si>
  <si>
    <t>000719</t>
  </si>
  <si>
    <t>AssessmentSubtestRules</t>
  </si>
  <si>
    <t>Assessment Subtest Score Metric Type</t>
  </si>
  <si>
    <t>The specific method used to report the performance and achievement of the assessment. This is the metric that is being used to derive the scores.</t>
  </si>
  <si>
    <t>000369</t>
  </si>
  <si>
    <t>AssessmentSubtestScoreMetricType</t>
  </si>
  <si>
    <t>Assessment Subtest Title</t>
  </si>
  <si>
    <t>The name or title of the subtest.</t>
  </si>
  <si>
    <t>000275</t>
  </si>
  <si>
    <t>AssessmentSubtestTitle</t>
  </si>
  <si>
    <t>Assessment Subtest Version</t>
  </si>
  <si>
    <t>The version of the subtest that is included for the assessment.</t>
  </si>
  <si>
    <t>000388</t>
  </si>
  <si>
    <t>AssessmentSubtestVersion</t>
  </si>
  <si>
    <t>Assessment Title</t>
  </si>
  <si>
    <t>The title or name of the assessment.</t>
  </si>
  <si>
    <t>000028</t>
  </si>
  <si>
    <t>AssessmentTitle</t>
  </si>
  <si>
    <t>Assessment Type</t>
  </si>
  <si>
    <t>The category of an assessment based on format and content.</t>
  </si>
  <si>
    <t>000029</t>
  </si>
  <si>
    <t>AssessmentType</t>
  </si>
  <si>
    <t>Assessment Type Administered to Children With Disabilities</t>
  </si>
  <si>
    <t>The types of assessments administered to children with disabilities.</t>
  </si>
  <si>
    <t>000415</t>
  </si>
  <si>
    <t>AssessmentTypeAdministeredToChildrenWithDisabilities</t>
  </si>
  <si>
    <t>Assignment End Date</t>
  </si>
  <si>
    <t>The last year, month and day on which the assignment is valid.</t>
  </si>
  <si>
    <t>000527</t>
  </si>
  <si>
    <t>AssignmentEndDate</t>
  </si>
  <si>
    <t>Assignment Start Date</t>
  </si>
  <si>
    <t>The year, month and day from which the assignment is valid.</t>
  </si>
  <si>
    <t>000526</t>
  </si>
  <si>
    <t>AssignmentStartDate</t>
  </si>
  <si>
    <t>Attendance Event Type</t>
  </si>
  <si>
    <t>The type of attendance event.</t>
  </si>
  <si>
    <t>000601</t>
  </si>
  <si>
    <t>AttendanceEventType</t>
  </si>
  <si>
    <t>Attendance Status</t>
  </si>
  <si>
    <t>The status of a person's attendance associated with an Attendance Event Type, Calendar Event Date, in an organization-person-role context.</t>
  </si>
  <si>
    <t>Changed name from Daily Attendance Status. Definition and option set altered to allow use beyond just students.</t>
  </si>
  <si>
    <t>000076</t>
  </si>
  <si>
    <t>AttendanceStatus</t>
  </si>
  <si>
    <t>Authentication Identity Provider End Date</t>
  </si>
  <si>
    <t>The date after which the an associated person is no longer allowed to use the specified Authentication Identity Provider to authenticate identity.</t>
  </si>
  <si>
    <t>Authentication and Authorization -&gt; Authentication Identity Provider (added)</t>
  </si>
  <si>
    <t>001172</t>
  </si>
  <si>
    <t>AuthenticationIdentityProviderEndDate</t>
  </si>
  <si>
    <t>Authentication Identity Provider Login Identifier</t>
  </si>
  <si>
    <t>The login identifier for the person for the specified Authentication Identity Provider.</t>
  </si>
  <si>
    <t>001170</t>
  </si>
  <si>
    <t>AuthenticationIdentityProviderLoginIdentifier</t>
  </si>
  <si>
    <t>Authentication Identity Provider Name</t>
  </si>
  <si>
    <t>The name of a provider that can authenticate the identity of an person.</t>
  </si>
  <si>
    <t>001168</t>
  </si>
  <si>
    <t>AuthenticationIdentityProviderName</t>
  </si>
  <si>
    <t>Authentication Identity Provider Start Date</t>
  </si>
  <si>
    <t>The date on which the an associated person may begin to use the specified Authentication Identity Provider to authenticate identity.</t>
  </si>
  <si>
    <t>001171</t>
  </si>
  <si>
    <t>AuthenticationIdentityProviderStartDate</t>
  </si>
  <si>
    <t>Authentication Identity Provider URI</t>
  </si>
  <si>
    <t>The Uniform Resource Identifier (URI) of the Authentication Identity Provider.</t>
  </si>
  <si>
    <t>001169</t>
  </si>
  <si>
    <t>AuthenticationIdentityProviderURI</t>
  </si>
  <si>
    <t>Authorization Application Name</t>
  </si>
  <si>
    <t>The name of a data system or application which an authenticated person may access.</t>
  </si>
  <si>
    <t>Authentication and Authorization -&gt; Authorization Application (added)</t>
  </si>
  <si>
    <t>Alphanumeric - 120 characters maximum</t>
  </si>
  <si>
    <t>001173</t>
  </si>
  <si>
    <t>AuthorizationApplicationName</t>
  </si>
  <si>
    <t>Authorization Application Role Name</t>
  </si>
  <si>
    <t>The user role for which the person is allowed.</t>
  </si>
  <si>
    <t>001175</t>
  </si>
  <si>
    <t>AuthorizationApplicationRoleName</t>
  </si>
  <si>
    <t>Authorization Application URI</t>
  </si>
  <si>
    <t>The Uniform Resource Identifier (URI) of a data system or application which an authenticated person may access.</t>
  </si>
  <si>
    <t>001174</t>
  </si>
  <si>
    <t>AuthorizationApplicationURI</t>
  </si>
  <si>
    <t>Authorization End Date</t>
  </si>
  <si>
    <t>The date after which the an associated person is no longer allowed to use the application with the specified role.</t>
  </si>
  <si>
    <t>001177</t>
  </si>
  <si>
    <t>AuthorizationEndDate</t>
  </si>
  <si>
    <t>Authorization Start Date</t>
  </si>
  <si>
    <t>The date on which the an associated person is authorized to start using the application with the specified role.</t>
  </si>
  <si>
    <t>001176</t>
  </si>
  <si>
    <t>AuthorizationStartDate</t>
  </si>
  <si>
    <t>Available Carnegie Unit Credit</t>
  </si>
  <si>
    <t>Measured in Carnegie units, the amount of credit available to a student who successfully meets the objectives of the course. A course meeting every day for one period of the school day over the span of a school year offers one Carnegie unit. A Carnegie unit is thus a measure of "seat time" rather than a measure of attainment of the course objectives.</t>
  </si>
  <si>
    <t>Numeric - up to 2 digits after decimal place</t>
  </si>
  <si>
    <t>000030</t>
  </si>
  <si>
    <t>AvailableCarnegieUnitCredit</t>
  </si>
  <si>
    <t>Awaiting Initial IDEA Evaluation Status</t>
  </si>
  <si>
    <t>Awaiting initial evaluation for special education programs and related services under the Individuals with Disabilities Education Act (IDEA).</t>
  </si>
  <si>
    <t>K12 -&gt; K12 Student -&gt; Disability</t>
  </si>
  <si>
    <t>000031</t>
  </si>
  <si>
    <t>AwaitingInitialIDEAEvaluationStatus</t>
  </si>
  <si>
    <t>Barrier to Educating Homeless</t>
  </si>
  <si>
    <t>Barriers to the enrollment and success of homeless children and youths.</t>
  </si>
  <si>
    <t>K12 -&gt; LEA -&gt; Program Specific Federal Reporting</t>
  </si>
  <si>
    <t>000449</t>
  </si>
  <si>
    <t>BarrierToEducatingHomeless</t>
  </si>
  <si>
    <t>Birthdate</t>
  </si>
  <si>
    <t>The year, month and day on which a person was born.</t>
  </si>
  <si>
    <t>000033</t>
  </si>
  <si>
    <t>Birthdate Verification</t>
  </si>
  <si>
    <t>The evidence by which a child's date of birth is confirmed.</t>
  </si>
  <si>
    <t>K12 -&gt; K12 Student -&gt; Migrant</t>
  </si>
  <si>
    <t>K-12 -&gt; Migrant Student Data Exchange</t>
  </si>
  <si>
    <t>000428</t>
  </si>
  <si>
    <t>BirthdateVerification</t>
  </si>
  <si>
    <t>Black or African American</t>
  </si>
  <si>
    <t>A person having origins in any of the black racial groups of Africa.</t>
  </si>
  <si>
    <t>000034</t>
  </si>
  <si>
    <t>BlackOrAfricanAmerican</t>
  </si>
  <si>
    <t>Blended Learning Model Type</t>
  </si>
  <si>
    <t>A type of formal education program in which a student learns at least in part through online learning, with some element of student control over time, place, path, and/or pace; at least in part in a supervised brick-and-mortar location away from home; and the modalities along each student’s learning path within a course or subject are connected to provide an integrated learning experience.</t>
  </si>
  <si>
    <t>This may be an attribute of a Course (as designed) or a Class Section (as delivered). It also may be attributed to a school, institution, or program for "whole-school" blended models. Options and definition adapted from: http://www.christenseninstitute.org/blended-learning-model-definitions/</t>
  </si>
  <si>
    <t>001287</t>
  </si>
  <si>
    <t>BlendedLearningModelType</t>
  </si>
  <si>
    <t>Board Charges</t>
  </si>
  <si>
    <t>The charges assessed students for an academic year for the maximum meal plan available.</t>
  </si>
  <si>
    <t>Postsecondary -&gt; PS Institution -&gt; IPEDS Reporting</t>
  </si>
  <si>
    <t>Postsecondary Education -&gt; IPEDS -&gt; IC-Price of Attendance</t>
  </si>
  <si>
    <t>000750</t>
  </si>
  <si>
    <t>BoardCharges</t>
  </si>
  <si>
    <t>Books and Supplies Costs</t>
  </si>
  <si>
    <t>The average cost for books and supplies for a typical student for an entire academic year (or program). Does not include unusual costs for special groups of students (e.g., engineering or art majors) unless they constitute the majority of students at an institution.</t>
  </si>
  <si>
    <t>000751</t>
  </si>
  <si>
    <t>BooksAndSuppliesCosts</t>
  </si>
  <si>
    <t>Building Site Number</t>
  </si>
  <si>
    <t>The number of the building on the site, if more than one building shares the same address.</t>
  </si>
  <si>
    <t>K12 -&gt; K12 School -&gt; Address</t>
  </si>
  <si>
    <t>000602</t>
  </si>
  <si>
    <t>BuildingSiteNumber</t>
  </si>
  <si>
    <t>Building Use Type</t>
  </si>
  <si>
    <t>How a building is principally used, regardless of its original design.</t>
  </si>
  <si>
    <t>K12 -&gt; Facility</t>
  </si>
  <si>
    <t>001206</t>
  </si>
  <si>
    <t>BuildingUseType</t>
  </si>
  <si>
    <t>Calendar Code</t>
  </si>
  <si>
    <t>A unique number assigned by a school district to a school calendar.</t>
  </si>
  <si>
    <t>000494</t>
  </si>
  <si>
    <t>CalendarCode</t>
  </si>
  <si>
    <t>Calendar Description</t>
  </si>
  <si>
    <t>A description or identification of the calendar.</t>
  </si>
  <si>
    <t>000495</t>
  </si>
  <si>
    <t>CalendarDescription</t>
  </si>
  <si>
    <t>Calendar Event Date</t>
  </si>
  <si>
    <t>The date of the scheduled or unscheduled event.</t>
  </si>
  <si>
    <t>Definition did not fit Attendance use case or staff attendance/leave event date. Changed for broader applicability.</t>
  </si>
  <si>
    <t>001275</t>
  </si>
  <si>
    <t>CalendarEventDate</t>
  </si>
  <si>
    <t>Calendar Event Day Name</t>
  </si>
  <si>
    <t>A name used for the day of the calendar event.</t>
  </si>
  <si>
    <t>K12 -&gt; Calendar -&gt; Event</t>
  </si>
  <si>
    <t>001276</t>
  </si>
  <si>
    <t>CalendarEventDayName</t>
  </si>
  <si>
    <t>Calendar Event Type</t>
  </si>
  <si>
    <t>The type of scheduled or unscheduled event that causes interruption in direct instruction.</t>
  </si>
  <si>
    <t>000603</t>
  </si>
  <si>
    <t>CalendarEventType</t>
  </si>
  <si>
    <t>Campus Residency Type</t>
  </si>
  <si>
    <t>A person's residency arrangement as defined in the Free Application for Federal Student Aid (FAFSA).</t>
  </si>
  <si>
    <t>Postsecondary -&gt; PS Student -&gt; Demographic</t>
  </si>
  <si>
    <t>Postsecondary Education -&gt; IPEDS</t>
  </si>
  <si>
    <t>000035</t>
  </si>
  <si>
    <t>CampusResidencyType</t>
  </si>
  <si>
    <t>Cardiopulmonary Resuscitation Certification Expiration Date</t>
  </si>
  <si>
    <t>The date an individual's cardiopulmonary resuscitation (CPR) training certification expires.</t>
  </si>
  <si>
    <t>Early Learning -&gt; EL Staff -&gt; Professional Development</t>
  </si>
  <si>
    <t>001059</t>
  </si>
  <si>
    <t>CPR Certification Expiration Date</t>
  </si>
  <si>
    <t>CPRCertificationExpirationDate</t>
  </si>
  <si>
    <t>Career and Technical Education Completer</t>
  </si>
  <si>
    <t>An indication of a student who reached a state-defined threshold of career and technical education and who attained a high school diploma or its recognized state equivalent or GED.</t>
  </si>
  <si>
    <t>000036</t>
  </si>
  <si>
    <t>CTE Completer</t>
  </si>
  <si>
    <t>CTECompleter</t>
  </si>
  <si>
    <t>Career and Technical Education Concentrator</t>
  </si>
  <si>
    <t>An indication of a student who has met the state-defined threshold of career and technical education concentrators, as defined in the State's approved Perkins IV State Plan.</t>
  </si>
  <si>
    <t>000037</t>
  </si>
  <si>
    <t>CTE Concentrator</t>
  </si>
  <si>
    <t>CTEConcentrator</t>
  </si>
  <si>
    <t>Career and Technical Education Graduation Rate Inclusion</t>
  </si>
  <si>
    <t>An indication of how CTE concentrators are included in the state's computation of its graduation rate.</t>
  </si>
  <si>
    <t>K12 -&gt; SEA -&gt; Accountability</t>
  </si>
  <si>
    <t>000075</t>
  </si>
  <si>
    <t>CTE Graduation Rate Inclusion</t>
  </si>
  <si>
    <t>CTEGraduationRateInclusion</t>
  </si>
  <si>
    <t>Career and Technical Education Instructor Industry Certification</t>
  </si>
  <si>
    <t>An indication of whether a Career and Technical Education (CTE) instructor holds a current industry-recognized credential related to their teaching field.</t>
  </si>
  <si>
    <t>001318</t>
  </si>
  <si>
    <t>CTE Instructor Industry Certification</t>
  </si>
  <si>
    <t>CTEInstructorIndustryCertification</t>
  </si>
  <si>
    <t>Career and Technical Education Nontraditional Completion</t>
  </si>
  <si>
    <t>An indication that the CTE student has completed a CTE program in a nontraditional field (where one gender comprises less than 25 percent of the persons employed in those occupations or fields of work).</t>
  </si>
  <si>
    <t>000593</t>
  </si>
  <si>
    <t>CTE Nontraditional Completion</t>
  </si>
  <si>
    <t>CTENontraditionalCompletion</t>
  </si>
  <si>
    <t>Career and Technical Education Participant</t>
  </si>
  <si>
    <t>An indication a student has met the state-defined threshold of Career and Technical Education participation as defined in the State's approved Perkins IV State Plan.</t>
  </si>
  <si>
    <t>000592</t>
  </si>
  <si>
    <t>CTE Participant</t>
  </si>
  <si>
    <t>CTEParticipant</t>
  </si>
  <si>
    <t>Career Cluster</t>
  </si>
  <si>
    <t>The career cluster that defines the industry or occupational focus which may be associated with a career pathways program, plan of study, or course.</t>
  </si>
  <si>
    <t>Options from O*NET OnLine an application that was created for the general public to provide broad access to the O*NET database of occupational information. O*NET OnLine offers a variety of search options and occupational data, while My Next Move is a streamlined application for students and job seekers. Both applications were developed for the U.S. Department of Labor by the National Center for O*NET Development. See onetonline.org for more information.</t>
  </si>
  <si>
    <t>001288</t>
  </si>
  <si>
    <t>CareerCluster</t>
  </si>
  <si>
    <t>Career Education Plan Date</t>
  </si>
  <si>
    <t>The date on which a student's career plan was last updated</t>
  </si>
  <si>
    <t>001289</t>
  </si>
  <si>
    <t>CareerEducationPlanDate</t>
  </si>
  <si>
    <t>Career Education Plan Type</t>
  </si>
  <si>
    <t>An indicator of whether a student completed an individualized guidance and counseling plan.</t>
  </si>
  <si>
    <t>001290</t>
  </si>
  <si>
    <t>CareerEducationPlanType</t>
  </si>
  <si>
    <t>Career Pathways Program Participation Indicator</t>
  </si>
  <si>
    <t>An indication of an adult education student who is participating in a program that is a component of or leads to a specific or recognized career pathway as defined by the state.</t>
  </si>
  <si>
    <t>001291</t>
  </si>
  <si>
    <t>CareerPathwaysProgramParticipationIndicator</t>
  </si>
  <si>
    <t>Career Technical Education Nontraditional Gender Status</t>
  </si>
  <si>
    <t>An indication of whether CTE participants were members of an underrepresented gender group (where one gender comprises less than 25 percent of the persons employed in those occupations or field of work).</t>
  </si>
  <si>
    <t>000588</t>
  </si>
  <si>
    <t>CTE Nontraditional Gender Status</t>
  </si>
  <si>
    <t>CTENontraditionalGenderStatus</t>
  </si>
  <si>
    <t>Career-Technical-Adult Education Displaced Homemaker Indicator</t>
  </si>
  <si>
    <t>A person who ; (A) (i) has worked primarily without remuneration to care for a home and family, and for that reason has diminished marketable skills; (ii) has been dependent on the income of another family member but is no longer supported by that income; or (iii) is a parent whose youngest dependent child will become ineligible to receive assistance under part A of title IV of the Social Security Act (42 U.S.C. 601 et seq.) not later than 2 years after the date on which the parent applies for assistance under such title; and (B) is unemployed or underemployed and is experiencing difficulty in obtaining or upgrading employment.</t>
  </si>
  <si>
    <t>000084</t>
  </si>
  <si>
    <t>CTE-AE Displaced Homemaker Indicator</t>
  </si>
  <si>
    <t>CTE-AE-DisplacedHomemakerIndicator</t>
  </si>
  <si>
    <t>Carnegie Basic Classification</t>
  </si>
  <si>
    <t>The Basic Classification is an update of the traditional classification framework developed by the Carnegie Commission on Higher Education in 1970 to support its research program, and later published in 1973 for use by other researchers.</t>
  </si>
  <si>
    <t>Postsecondary -&gt; PS Institution -&gt; Directory</t>
  </si>
  <si>
    <t>Option set changed</t>
  </si>
  <si>
    <t>000038</t>
  </si>
  <si>
    <t>CarnegieBasicClassification</t>
  </si>
  <si>
    <t>Charter School Approval Agency Type</t>
  </si>
  <si>
    <t>The type of agency that approved the establishment or continuation of a charter school.</t>
  </si>
  <si>
    <t>001292</t>
  </si>
  <si>
    <t>CharterSchoolApprovalAgencyType</t>
  </si>
  <si>
    <t>Charter School Approval Year</t>
  </si>
  <si>
    <t>The school year in which a charter school was initially approved.</t>
  </si>
  <si>
    <t>YYYY-YYYY</t>
  </si>
  <si>
    <t>001293</t>
  </si>
  <si>
    <t>CharterSchoolApprovalYear</t>
  </si>
  <si>
    <t>Charter School Indicator</t>
  </si>
  <si>
    <t>A school or agency providing free public elementary or secondary education to eligible students under a specific charter granted by the state legislature or other appropriate authority and designated by such authority to be a charter school.</t>
  </si>
  <si>
    <t>000039</t>
  </si>
  <si>
    <t>CharterSchoolIndicator</t>
  </si>
  <si>
    <t>Charter School Type</t>
  </si>
  <si>
    <t>The category of charter school.</t>
  </si>
  <si>
    <t>000710</t>
  </si>
  <si>
    <t>CharterSchoolType</t>
  </si>
  <si>
    <t>Child Development Associate Type</t>
  </si>
  <si>
    <t>Type of Child Development Associate credential as defined by options.</t>
  </si>
  <si>
    <t>Early Learning -&gt; EL Staff -&gt; License</t>
  </si>
  <si>
    <t>000806</t>
  </si>
  <si>
    <t>CDA Type</t>
  </si>
  <si>
    <t>ChildDevelopmentAssociateType</t>
  </si>
  <si>
    <t>Child Identification System</t>
  </si>
  <si>
    <t>A coding scheme that is used for identification and record-keeping purposes by programs, schools, social services, or other agencies to refer to a child.</t>
  </si>
  <si>
    <t>Early Learning -&gt; EL Child -&gt; Identity -&gt; Identification</t>
  </si>
  <si>
    <t>000785</t>
  </si>
  <si>
    <t>ChildIdentificationSystem</t>
  </si>
  <si>
    <t>Child Identifier</t>
  </si>
  <si>
    <t>A unique number or alphanumeric code assigned to a child by a school, school system, a state, or other agency or entity.</t>
  </si>
  <si>
    <t>001080</t>
  </si>
  <si>
    <t>ChildIdentifier</t>
  </si>
  <si>
    <t>Child Outcomes Summary Progress A Indicator</t>
  </si>
  <si>
    <t>Indicates that the child demonstrates progress in positive social-emotional skills (including social relationships).</t>
  </si>
  <si>
    <t>Early Learning -&gt; EL Child -&gt; Child Outcome Summary</t>
  </si>
  <si>
    <t>001504</t>
  </si>
  <si>
    <t>COS Progress A Indicator</t>
  </si>
  <si>
    <t>COSProgressAIndicator</t>
  </si>
  <si>
    <t>Child Outcomes Summary Progress B Indicator</t>
  </si>
  <si>
    <t>Indicates that the child demonstrates progress in acquisition and use of knowledge and skills (including early language/communication.</t>
  </si>
  <si>
    <t>001505</t>
  </si>
  <si>
    <t>COS Progress B Indicator</t>
  </si>
  <si>
    <t>COSProgressBIndicator</t>
  </si>
  <si>
    <t>Child Outcomes Summary Progress C Indicator</t>
  </si>
  <si>
    <t>Indicates that the child demonstrates progress in use of appropriate behaviors to meet their needs.</t>
  </si>
  <si>
    <t>001506</t>
  </si>
  <si>
    <t>COS Progress C Indicator</t>
  </si>
  <si>
    <t>COSProgressCIndicator</t>
  </si>
  <si>
    <t>Child Outcomes Summary Rating A</t>
  </si>
  <si>
    <t>Child's level of functioning in positive social-emotional skills (including social relationships).</t>
  </si>
  <si>
    <t>001507</t>
  </si>
  <si>
    <t>COS Rating A</t>
  </si>
  <si>
    <t>COSRatingA</t>
  </si>
  <si>
    <t>Child Outcomes Summary Rating B</t>
  </si>
  <si>
    <t>Child's level of functioning in the acquisition and use of knowledge and skills (including early language/communication.</t>
  </si>
  <si>
    <t>001508</t>
  </si>
  <si>
    <t>COS Rating B</t>
  </si>
  <si>
    <t>COSRatingB</t>
  </si>
  <si>
    <t>Child Outcomes Summary Rating C</t>
  </si>
  <si>
    <t>Child's level of functioning in the use of appropriate behaviors to meet their needs.</t>
  </si>
  <si>
    <t>001509</t>
  </si>
  <si>
    <t>COS Rating C</t>
  </si>
  <si>
    <t>COSRatingC</t>
  </si>
  <si>
    <t>City of Birth</t>
  </si>
  <si>
    <t>The name of the city in which a person was born.</t>
  </si>
  <si>
    <t>K12 -&gt; K12 Student -&gt; Demographic</t>
  </si>
  <si>
    <t>000426</t>
  </si>
  <si>
    <t>CityOfBirth</t>
  </si>
  <si>
    <t>Class Beginning Time</t>
  </si>
  <si>
    <t>An indication of the time of day the class begins.</t>
  </si>
  <si>
    <t>000519</t>
  </si>
  <si>
    <t>ClassBeginningTime</t>
  </si>
  <si>
    <t>Class Ending Time</t>
  </si>
  <si>
    <t>An indication of the time of day the class ends.</t>
  </si>
  <si>
    <t>HH:MM:Ss</t>
  </si>
  <si>
    <t>000520</t>
  </si>
  <si>
    <t>ClassEndingTime</t>
  </si>
  <si>
    <t>Class Meeting Days</t>
  </si>
  <si>
    <t>The day(s) of the week (e.g., Monday, Wednesday) that the class meets or an indication that a class meets "out-of-school" or "self-paced".</t>
  </si>
  <si>
    <t>000521</t>
  </si>
  <si>
    <t>ClassMeetingDays</t>
  </si>
  <si>
    <t>Class Period</t>
  </si>
  <si>
    <t>An indication of the portion of a typical daily session in which students receive instruction in a specified subject (e.g., morning, sixth period, block period, or AB schedules).</t>
  </si>
  <si>
    <t>000522</t>
  </si>
  <si>
    <t>ClassPeriod</t>
  </si>
  <si>
    <t>Class Ranking Date</t>
  </si>
  <si>
    <t>The date class ranking was determined.</t>
  </si>
  <si>
    <t>YYYY-MM-DD or YYYY-MM or YYYY</t>
  </si>
  <si>
    <t>000042</t>
  </si>
  <si>
    <t>ClassRankingDate</t>
  </si>
  <si>
    <t>Classification of Instructional Program Code</t>
  </si>
  <si>
    <t>A six-digit code in the form xx.xxxx that identifies instructional program specialties within educational institutions.</t>
  </si>
  <si>
    <t>CIP codes are available at: http://nces.ed.gov/ipeds/cipcode/browse.aspx?y=55</t>
  </si>
  <si>
    <t>000043</t>
  </si>
  <si>
    <t>CIP Code</t>
  </si>
  <si>
    <t>CIPCode</t>
  </si>
  <si>
    <t>Classification of Instructional Program Use</t>
  </si>
  <si>
    <t>An indicator of whether the CIP Code is referencing an enrollment program or an award program.</t>
  </si>
  <si>
    <t>Postsecondary -&gt; PS Student -&gt; Enrollment</t>
  </si>
  <si>
    <t>000044</t>
  </si>
  <si>
    <t>CIP Use</t>
  </si>
  <si>
    <t>CIPUse</t>
  </si>
  <si>
    <t>Classification of Instructional Program Version</t>
  </si>
  <si>
    <t>The version of CIP being reported.</t>
  </si>
  <si>
    <t>000045</t>
  </si>
  <si>
    <t>CIP Version</t>
  </si>
  <si>
    <t>CIPVersion</t>
  </si>
  <si>
    <t>Classroom Identifier</t>
  </si>
  <si>
    <t>A unique number or alphanumeric code assigned to a room by a school, school system, state, or other agency or entity.</t>
  </si>
  <si>
    <t>000364</t>
  </si>
  <si>
    <t>ClassroomIdentifier</t>
  </si>
  <si>
    <t>Classroom Position Type</t>
  </si>
  <si>
    <t>The type of position the staff member holds in the specific class/section.</t>
  </si>
  <si>
    <t>K12 -&gt; K12 Staff -&gt; Assignment</t>
  </si>
  <si>
    <t>000622</t>
  </si>
  <si>
    <t>ClassroomPositionType</t>
  </si>
  <si>
    <t>Cohort Description</t>
  </si>
  <si>
    <t>A description of the student cohort.</t>
  </si>
  <si>
    <t>000711</t>
  </si>
  <si>
    <t>CohortDescription</t>
  </si>
  <si>
    <t>Cohort Exclusion</t>
  </si>
  <si>
    <t>Those persons who may be removed (deleted) from a cohort (or subcohort). For the Graduation Rates and Fall Enrollment retention rate reporting, persons may be removed from a cohort if they left the institution for one of the following reasons: death or total and permanent disability; service in the armed forces (including those called to active duty); service with a foreign aid service of the federal government, such as the Peace Corps; or service on official church missions.</t>
  </si>
  <si>
    <t>000106</t>
  </si>
  <si>
    <t>CohortExclusion</t>
  </si>
  <si>
    <t>Cohort Graduation Year</t>
  </si>
  <si>
    <t>The year the cohort graduated with a regular high school diploma.</t>
  </si>
  <si>
    <t>YYYY</t>
  </si>
  <si>
    <t>000584</t>
  </si>
  <si>
    <t>CohortGraduationYear</t>
  </si>
  <si>
    <t>Cohort Year</t>
  </si>
  <si>
    <t>The school year in which the student entered the baseline group used for computing completion rates (e.g., high school, program).</t>
  </si>
  <si>
    <t>000046</t>
  </si>
  <si>
    <t>CohortYear</t>
  </si>
  <si>
    <t>Competency Set Completion Criteria</t>
  </si>
  <si>
    <t>The criteria for the set of competencies that represent completion or partial completion of a unit, course, program, degree, certification, or other achievement/award. Specifies whether completion requires achievement of all items in the set or some number of items.</t>
  </si>
  <si>
    <t>The criteria may be ‘all’ competencies in the set or ‘at-least’ # of competencies. Sets may be nested, e.g. all in subset A and 3 of 5 from subset B.</t>
  </si>
  <si>
    <t>000877</t>
  </si>
  <si>
    <t>CompetencySetCompletionCriteria</t>
  </si>
  <si>
    <t>Competency Set Completion Criteria Threshold</t>
  </si>
  <si>
    <t>The minimum number of competencies in the set that must be achieved for completion or partial completion of a unit, course, program, degree, certification, or other achievement/award.</t>
  </si>
  <si>
    <t>Used to define the completion criteria when Competency Set Completion Criteria is "At Least". Not used when Competency Set Completion Criteria is "All".</t>
  </si>
  <si>
    <t>000878</t>
  </si>
  <si>
    <t>CompetencySetCompletionCriteriaThreshold</t>
  </si>
  <si>
    <t>Comprehensive Fee</t>
  </si>
  <si>
    <t>A single fixed amount of money charged by an institution that covers tuition, required fees, room, and board. For some institutions, this amount may also cover books and supplies.</t>
  </si>
  <si>
    <t>000754</t>
  </si>
  <si>
    <t>ComprehensiveFee</t>
  </si>
  <si>
    <t>Consent to Share Data</t>
  </si>
  <si>
    <t>The Primary Caregiver has provided consent to share child and family assessment survey data entered during the current State Fiscal year with external agencies who provide services for the family or its members.</t>
  </si>
  <si>
    <t>Early Learning -&gt; Assessments -&gt; Assessment Administration</t>
  </si>
  <si>
    <t>001295</t>
  </si>
  <si>
    <t>ConsentToShareData</t>
  </si>
  <si>
    <t>Consolidated Migrant Education Program Funds Status</t>
  </si>
  <si>
    <t>An indication of whether the school has a school-wide program, as defined by Title I of ESEA as amended, in which federal Migrant Education Program (MEP) funds are consolidated as authorized under 34 CFR Section 200.29.</t>
  </si>
  <si>
    <t>K12 -&gt; K12 School -&gt; Federal Funds</t>
  </si>
  <si>
    <t>000542</t>
  </si>
  <si>
    <t>Consolidated MEP Funds Status</t>
  </si>
  <si>
    <t>ConsolidatedMEPFundsStatus</t>
  </si>
  <si>
    <t>Continuation of Services Reason</t>
  </si>
  <si>
    <t>Reason why the student is being served under the continuation of services provision of the MEP.</t>
  </si>
  <si>
    <t>000429</t>
  </si>
  <si>
    <t>ContinuationOfServicesReason</t>
  </si>
  <si>
    <t>Continuing License Date</t>
  </si>
  <si>
    <t>The year, month and day on which a program or center received its continuing license.</t>
  </si>
  <si>
    <t>Early Learning -&gt; EL Organization -&gt; Licensing</t>
  </si>
  <si>
    <t>000349</t>
  </si>
  <si>
    <t>ContinuingLicenseDate</t>
  </si>
  <si>
    <t>Contract Days of Service per Year</t>
  </si>
  <si>
    <t>The number of days per year that a person is expected to work as outlined specifically in his or her employment agreement.</t>
  </si>
  <si>
    <t>K12 -&gt; K12 Staff -&gt; Employment</t>
  </si>
  <si>
    <t>K-12 -&gt; Teacher Compensation Survey</t>
  </si>
  <si>
    <t>000047</t>
  </si>
  <si>
    <t>ContractDaysOfServicePerYear</t>
  </si>
  <si>
    <t>Contract Type</t>
  </si>
  <si>
    <t>The type of employment contract used by an institution.</t>
  </si>
  <si>
    <t>Option set defined in IPEDS</t>
  </si>
  <si>
    <t>000737</t>
  </si>
  <si>
    <t>ContractType</t>
  </si>
  <si>
    <t>Control of Institution</t>
  </si>
  <si>
    <t>A classification of whether a postsecondary institution is operated by publicly elected or appointed officials (public control) or by privately elected or appointed officials and derives its major source of funds from private sources (private control).</t>
  </si>
  <si>
    <t>000048</t>
  </si>
  <si>
    <t>ControlOfInstitution</t>
  </si>
  <si>
    <t>Core Academic Course</t>
  </si>
  <si>
    <t>The course meets the state definition of a core academic course.</t>
  </si>
  <si>
    <t>000518</t>
  </si>
  <si>
    <t>CoreAcademicCourse</t>
  </si>
  <si>
    <t>Correctional Education Facility Type</t>
  </si>
  <si>
    <t>The type of facility in which an inmate receives correctional education services.</t>
  </si>
  <si>
    <t>001296</t>
  </si>
  <si>
    <t>CorrectionalEducationFacilityType</t>
  </si>
  <si>
    <t>Correctional Education Reentry Services Participation Indicator</t>
  </si>
  <si>
    <t>An indication of whether an adult correctional education student who receives instructional services (e.g., life skills, cognitive restructuring, etc.) to support reentry into society.</t>
  </si>
  <si>
    <t>001297</t>
  </si>
  <si>
    <t>CorrectionalEducationReentryServicesParticipationIndicator</t>
  </si>
  <si>
    <t>Corrective Action Type</t>
  </si>
  <si>
    <t>The types of corrective actions under ESEA as amended.</t>
  </si>
  <si>
    <t>K12 -&gt; K12 School -&gt; Accountability</t>
  </si>
  <si>
    <t>000049</t>
  </si>
  <si>
    <t>CorrectiveActionType</t>
  </si>
  <si>
    <t>Country Code</t>
  </si>
  <si>
    <t>The unique two character International Organization for Standardization (ISO) code for the country in which an address is located.</t>
  </si>
  <si>
    <t>000050</t>
  </si>
  <si>
    <t>CountryCode</t>
  </si>
  <si>
    <t>Country of Birth Code</t>
  </si>
  <si>
    <t>The unique two digit International Organization for Standardization (ISO) code for the country in which a person is born.</t>
  </si>
  <si>
    <t>000051</t>
  </si>
  <si>
    <t>CountryOfBirthCode</t>
  </si>
  <si>
    <t>County ANSI Code</t>
  </si>
  <si>
    <t>County code as defined for the identification of counties and equivalent areas of the United States, Puerto Rico, and the insular areas as established by the American National Standards Institute (ANSI) Inter-National Committee for Information Technology Standards (INCITS) in specification BSR INCITS 31-200x or more current updates. See http://www.census.gov/geo/reference/codes/cou.html .</t>
  </si>
  <si>
    <t>Numeric - 5 digits with leading zeros</t>
  </si>
  <si>
    <t>Definition updated</t>
  </si>
  <si>
    <t>001209</t>
  </si>
  <si>
    <t>CountyANSICode</t>
  </si>
  <si>
    <t>Course Academic Grade</t>
  </si>
  <si>
    <t>The final grade awarded for participation in the course.</t>
  </si>
  <si>
    <t>Postsecondary -&gt; PS Section -&gt; Enrollment</t>
  </si>
  <si>
    <t>Alphanumeric - 15 characters max</t>
  </si>
  <si>
    <t>000053</t>
  </si>
  <si>
    <t>CourseAcademicGrade</t>
  </si>
  <si>
    <t>Course Academic Grade Scale Code</t>
  </si>
  <si>
    <t>The grading scale used by an academic educational institution for an academic course.</t>
  </si>
  <si>
    <t>Postsecondary -&gt; PS Section</t>
  </si>
  <si>
    <t>##</t>
  </si>
  <si>
    <t>Based on the American Medical Colleges Admissions Services (AMCAS) grade scale, values 01 through 99. See Appendix E of the PESC XML High School Transcript Implementation Guide for a complete list of code values. 3-digit values (500 and above) established in earlier versions of the standard for miscellaneous grades are deprecated.</t>
  </si>
  <si>
    <t>001298</t>
  </si>
  <si>
    <t>CourseAcademicGradeScaleCode</t>
  </si>
  <si>
    <t>Course Academic Grade Status Code</t>
  </si>
  <si>
    <t>Additional information regarding the context of the given grade.</t>
  </si>
  <si>
    <t>Postsecondary -&gt; PS Section -&gt; Enrollment -&gt; Student Course Section Mark</t>
  </si>
  <si>
    <t>001299</t>
  </si>
  <si>
    <t>CourseAcademicGradeStatusCode</t>
  </si>
  <si>
    <t>Course Add Date</t>
  </si>
  <si>
    <t>The date an individual was added to an academic course at a school.</t>
  </si>
  <si>
    <t>001300</t>
  </si>
  <si>
    <t>CourseAddDate</t>
  </si>
  <si>
    <t>Course Aligned with Standards</t>
  </si>
  <si>
    <t>An indication whether a course is aligned with the established standards of a curriculum framework.</t>
  </si>
  <si>
    <t>Changed name from Aligned with State Standards.</t>
  </si>
  <si>
    <t>000013</t>
  </si>
  <si>
    <t>CourseAlignedWithStandards</t>
  </si>
  <si>
    <t>Course Applicable Education Level</t>
  </si>
  <si>
    <t>The education level, grade level or primary instructional level at which a course is intended.</t>
  </si>
  <si>
    <t>This element is repeatable for most use cases. Examples: (1.) SCED identifiers may specify a grade span of two or more grades. (2) A postsecondary course designed to qualify a student for an associates degree and professional certification could be repeated with both of those options.</t>
  </si>
  <si>
    <t>001301</t>
  </si>
  <si>
    <t>CourseApplicableEducationLevel</t>
  </si>
  <si>
    <t>Course Begin Date</t>
  </si>
  <si>
    <t>The year, month and day an instance of a course officially began.</t>
  </si>
  <si>
    <t>000054</t>
  </si>
  <si>
    <t>CourseBeginDate</t>
  </si>
  <si>
    <t>Course Certification Description</t>
  </si>
  <si>
    <t>A description of the certification or recognition associated with this course (ex. Networking, CAD, etc.)</t>
  </si>
  <si>
    <t>001302</t>
  </si>
  <si>
    <t>CourseCertificationDescription</t>
  </si>
  <si>
    <t>Course Classification of Instructional Programs Code</t>
  </si>
  <si>
    <t>The Classification of Instructional Programs (CIP) code to describe the area of study for the course.</t>
  </si>
  <si>
    <t>001502</t>
  </si>
  <si>
    <t>Course CIP Code</t>
  </si>
  <si>
    <t>CourseCIPCode</t>
  </si>
  <si>
    <t>Course Code System</t>
  </si>
  <si>
    <t>A system that is used to identify the organization of subject matter and related learning experiences provided for the instruction of students.</t>
  </si>
  <si>
    <t>000056</t>
  </si>
  <si>
    <t>CourseCodeSystem</t>
  </si>
  <si>
    <t>Course Credit Basis Type</t>
  </si>
  <si>
    <t>The type of enrollment associated with the credit hours for the course.</t>
  </si>
  <si>
    <t>001303</t>
  </si>
  <si>
    <t>CourseCreditBasisType</t>
  </si>
  <si>
    <t>Course Credit Level Type</t>
  </si>
  <si>
    <t>The level of credit associated with the credit hours earned for the course.</t>
  </si>
  <si>
    <t>001304</t>
  </si>
  <si>
    <t>CourseCreditLevelType</t>
  </si>
  <si>
    <t>Course Credit Units</t>
  </si>
  <si>
    <t>The type of credit (unit, semester, or quarter) associated with the credit hours earned for the course.</t>
  </si>
  <si>
    <t>000057</t>
  </si>
  <si>
    <t>CourseCreditUnits</t>
  </si>
  <si>
    <t>Course Credit Value</t>
  </si>
  <si>
    <t>Measured in Carnegie units, the amount of credit available to a student who successfully meets the objectives of the course.</t>
  </si>
  <si>
    <t>For K-12 a course meeting every day for one period of the school day over the span of a school year typically offers one Carnegie unit. In this case a Carnegie unit is a measure of "seat time" rather than a measure of attainment of the course objectives.</t>
  </si>
  <si>
    <t>000058</t>
  </si>
  <si>
    <t>CourseCreditValue</t>
  </si>
  <si>
    <t>Course Description</t>
  </si>
  <si>
    <t>A description of the course content and/or goals. Reference may be made to state or national content standards.</t>
  </si>
  <si>
    <t>000517</t>
  </si>
  <si>
    <t>CourseDescription</t>
  </si>
  <si>
    <t>Course Drop Date</t>
  </si>
  <si>
    <t>The date on which the individual drops or withdraws from the course.</t>
  </si>
  <si>
    <t>001305</t>
  </si>
  <si>
    <t>CourseDropDate</t>
  </si>
  <si>
    <t>Course End Date</t>
  </si>
  <si>
    <t>The year, month and day an instance of a course ends.</t>
  </si>
  <si>
    <t>000059</t>
  </si>
  <si>
    <t>CourseEndDate</t>
  </si>
  <si>
    <t>Course Funding Program</t>
  </si>
  <si>
    <t>A program through which the course is funded.</t>
  </si>
  <si>
    <t>This may be a program targeted to a specific student population (e.g. SPED, ESOL) and the funding guidelines may specify that all or some of the students in the course are members of the subgroup.</t>
  </si>
  <si>
    <t>001306</t>
  </si>
  <si>
    <t>CourseFundingProgram</t>
  </si>
  <si>
    <t>Course Grade Point Average Applicability</t>
  </si>
  <si>
    <t>An indicator of whether or not this course being described is included in the computation of the student’s Grade Point Average (GPA).</t>
  </si>
  <si>
    <t>000060</t>
  </si>
  <si>
    <t>Course GPA Applicability</t>
  </si>
  <si>
    <t>CourseGPAApplicability</t>
  </si>
  <si>
    <t>Course Honors Type</t>
  </si>
  <si>
    <t>An indication that the course is or can be counted as an honors course.</t>
  </si>
  <si>
    <t>001307</t>
  </si>
  <si>
    <t>CourseHonorsType</t>
  </si>
  <si>
    <t>Course Identifier</t>
  </si>
  <si>
    <t>The actual code that identifies the organization of subject matter and related learning experiences provided for the instruction of students.</t>
  </si>
  <si>
    <t>Alphanumeric - 30 characters max</t>
  </si>
  <si>
    <t>Increased number of allowable characters.</t>
  </si>
  <si>
    <t>000055</t>
  </si>
  <si>
    <t>CourseIdentifier</t>
  </si>
  <si>
    <t>Course Instruction Method</t>
  </si>
  <si>
    <t>The primary method of instruction used for the course.</t>
  </si>
  <si>
    <t>001308</t>
  </si>
  <si>
    <t>CourseInstructionMethod</t>
  </si>
  <si>
    <t>Course Instruction Site Name</t>
  </si>
  <si>
    <t>The name of the location at which the course is taught.</t>
  </si>
  <si>
    <t>001309</t>
  </si>
  <si>
    <t>CourseInstructionSiteName</t>
  </si>
  <si>
    <t>Course Instruction Site Type</t>
  </si>
  <si>
    <t>An indication of the type of location at which the course is taught.</t>
  </si>
  <si>
    <t>001310</t>
  </si>
  <si>
    <t>CourseInstructionSiteType</t>
  </si>
  <si>
    <t>Course Interaction Mode</t>
  </si>
  <si>
    <t>The primary type of interaction, synchronous or asynchronous, defined for the course.</t>
  </si>
  <si>
    <t>This may be an attribute of a Course (as designed) or an instance of a Class Section (as delivered).</t>
  </si>
  <si>
    <t>001311</t>
  </si>
  <si>
    <t>CourseInteractionMode</t>
  </si>
  <si>
    <t>Course Level Characteristic</t>
  </si>
  <si>
    <t>An indication of the general nature and difficulty of instruction provided throughout a course.</t>
  </si>
  <si>
    <t>000061</t>
  </si>
  <si>
    <t>CourseLevelCharacteristic</t>
  </si>
  <si>
    <t>Course Level Type</t>
  </si>
  <si>
    <t>The level of work which is reflected in the credits associated with the academic course being described or the level of the typical individual taking the academic course.</t>
  </si>
  <si>
    <t>001312</t>
  </si>
  <si>
    <t>CourseLevelType</t>
  </si>
  <si>
    <t>Course Narrative Explanation Grade</t>
  </si>
  <si>
    <t>The narrative of the grade awarded to an individual in an academic course in those cases where a course does not receive a letter or numeric grade included in the grading scale of the Course Academic Grade Qualifier.</t>
  </si>
  <si>
    <t>001313</t>
  </si>
  <si>
    <t>CourseNarrativeExplanationGrade</t>
  </si>
  <si>
    <t>Course Number</t>
  </si>
  <si>
    <t>The official reference number portion of a course identifier. This number normally designates the level of the course as well as the level of the individual expected to enroll in the course.</t>
  </si>
  <si>
    <t>001314</t>
  </si>
  <si>
    <t>CourseNumber</t>
  </si>
  <si>
    <t>Course Override School</t>
  </si>
  <si>
    <t>The school where the credit was earned if different from the institution reporting.</t>
  </si>
  <si>
    <t>000063</t>
  </si>
  <si>
    <t>CourseOverrideSchool</t>
  </si>
  <si>
    <t>Course Quality Points Earned</t>
  </si>
  <si>
    <t>The numerical value assigned to a letter grade to provide a basis of quantitative determination of an average.</t>
  </si>
  <si>
    <t>000064</t>
  </si>
  <si>
    <t>CourseQualityPointsEarned</t>
  </si>
  <si>
    <t>Course Repeat Code</t>
  </si>
  <si>
    <t>Indicates that an academic course has been repeated by a student and how that repeat is to be computed in the student's academic grade average.</t>
  </si>
  <si>
    <t>000065</t>
  </si>
  <si>
    <t>CourseRepeatCode</t>
  </si>
  <si>
    <t>Course Section Assessment Reporting Method</t>
  </si>
  <si>
    <t>The method that the instructor of the course uses to report the performance and achievement of all students. It may be a qualitative method such as individualized teacher comments or a quantitative method such as a letter or a numerical grade. In some cases, more than one type of reporting method may be used.</t>
  </si>
  <si>
    <t>Name changed from Class Section Assessment Reporting Method. Definition updated.</t>
  </si>
  <si>
    <t>000027</t>
  </si>
  <si>
    <t>CourseSectionAssessmentReportingMethod</t>
  </si>
  <si>
    <t>Course Section Enrollment Status End Date</t>
  </si>
  <si>
    <t>The date on which the enrollment status ended related to a student enrolled in an instance of a course.</t>
  </si>
  <si>
    <t>K12 -&gt; Course Section -&gt; Enrollment</t>
  </si>
  <si>
    <t>Name changed from Class Section Enrollment Status End Date.</t>
  </si>
  <si>
    <t>Enrollment statuses may overlap, for example at one point in time a student may be both pre-registered and wait listed for enrollment in a course, the start dates may be different and the end dates may be the same as the start date for "enrolled" status when the student moves off the wait list.</t>
  </si>
  <si>
    <t>000975</t>
  </si>
  <si>
    <t>CourseSectionEnrollmentStatusEndDate</t>
  </si>
  <si>
    <t>Course Section Enrollment Status Start Date</t>
  </si>
  <si>
    <t>The date on which the enrollment status began related to a student enrolled in an instance of a course.</t>
  </si>
  <si>
    <t>Name changed from Class Section Enrollment Status Start Date.</t>
  </si>
  <si>
    <t>000974</t>
  </si>
  <si>
    <t>CourseSectionEnrollmentStatusStartDate</t>
  </si>
  <si>
    <t>Course Section Enrollment Status Type</t>
  </si>
  <si>
    <t>The status related to a student enrollment in an instance of a course.</t>
  </si>
  <si>
    <t>Name changed from Class Section Enrollment Status Type.</t>
  </si>
  <si>
    <t>000976</t>
  </si>
  <si>
    <t>CourseSectionEnrollmentStatusType</t>
  </si>
  <si>
    <t>Course Section Entry Type</t>
  </si>
  <si>
    <t>The process by which a student enters a school (Course Section) during a given academic session.</t>
  </si>
  <si>
    <t>K-12 -&gt; Teacher-Student Data Link -&gt; Enrollment</t>
  </si>
  <si>
    <t>Name changed from Class Section Entry Type.</t>
  </si>
  <si>
    <t>000650</t>
  </si>
  <si>
    <t>CourseSectionEntryType</t>
  </si>
  <si>
    <t>Course Section Exit Type</t>
  </si>
  <si>
    <t>The circumstances under which the student exited from membership in a course section.</t>
  </si>
  <si>
    <t>Name changed from Class Section Exit Type. Defintion updated.</t>
  </si>
  <si>
    <t>000652</t>
  </si>
  <si>
    <t>CourseSectionExitType</t>
  </si>
  <si>
    <t>Course Section Exit Withdrawal Date</t>
  </si>
  <si>
    <t>The year, month and day of the first day after the date of a person's last enrollment in a course section.</t>
  </si>
  <si>
    <t>Name changed from Class Section Exit Withdrawal Date. Definition updated.</t>
  </si>
  <si>
    <t>000651</t>
  </si>
  <si>
    <t>CourseSectionExitWithdrawalDate</t>
  </si>
  <si>
    <t>Course Section Identifier</t>
  </si>
  <si>
    <t>A unique number or alphanumeric code assigned by an institution, school, school system, state, or other agency or entity for a particular course-section.</t>
  </si>
  <si>
    <t>Name changed from Class Section Identifier. Defnition updated.</t>
  </si>
  <si>
    <t>000978</t>
  </si>
  <si>
    <t>CourseSectionIdentifier</t>
  </si>
  <si>
    <t>Course Section Instructional Delivery Mode</t>
  </si>
  <si>
    <t>The primary setting or medium of delivery for the course.</t>
  </si>
  <si>
    <t>Name changed from Class Section Instructional Delivery Mode.</t>
  </si>
  <si>
    <t>001161</t>
  </si>
  <si>
    <t>CourseSectionInstructionalDeliveryMode</t>
  </si>
  <si>
    <t>Course Section Number</t>
  </si>
  <si>
    <t>The number assigned to differentiate among distinct occurrences of courses that have the same course abbreviation and number but are considered to be different courses.</t>
  </si>
  <si>
    <t>001315</t>
  </si>
  <si>
    <t>CourseSectionNumber</t>
  </si>
  <si>
    <t>Course Section Single Sex Class Status</t>
  </si>
  <si>
    <t>Section in a co-educational school where only male or only female students are permitted to take the course.</t>
  </si>
  <si>
    <t>Name changed from Class Section Single Sex Class Status. Definition updated.</t>
  </si>
  <si>
    <t>000258</t>
  </si>
  <si>
    <t>CourseSectionSingleSexClassStatus</t>
  </si>
  <si>
    <t>Course Section Time Required For Completion</t>
  </si>
  <si>
    <t>The actual or estimated number of clock minutes required for course completion. This number is especially important for career and technical education course and may represent (in minutes) the clock hour requirement of the course, the number of minutes (or clock hours) of class time per week, times the number of equivalent weeks the class typically meets.</t>
  </si>
  <si>
    <t>K-12 -&gt; Teacher-Student Data Link -&gt; Class Section</t>
  </si>
  <si>
    <t>Name changed from Class Section Time Required For Completion. Definition updated.</t>
  </si>
  <si>
    <t>000101</t>
  </si>
  <si>
    <t>CourseSectionTimeRequiredForCompletion</t>
  </si>
  <si>
    <t>Course Subject Abbreviation</t>
  </si>
  <si>
    <t>The alphabetic abbreviation of the academic department or discipline offering the course. It is one part of the total course identifier number.</t>
  </si>
  <si>
    <t>Alphanumeric - 10 characters maximum</t>
  </si>
  <si>
    <t>000066</t>
  </si>
  <si>
    <t>CourseSubjectAbbreviation</t>
  </si>
  <si>
    <t>Course Title</t>
  </si>
  <si>
    <t>The descriptive name given to a course of study offered in a school or other institution or organization. In departmentalized classes at the elementary, secondary, and postsecondary levels (and for staff development activities), this refers to the name by which a course is identified (e.g., American History, English III). For elementary and other non-departmentalized classes, it refers to any portion of the instruction for which a grade or report is assigned (e.g., reading, composition, spelling, and language arts).</t>
  </si>
  <si>
    <t>000067</t>
  </si>
  <si>
    <t>CourseTitle</t>
  </si>
  <si>
    <t>Course Total</t>
  </si>
  <si>
    <t>The total number of courses listed on a transcript. Used as a check digit for integrity purposes.</t>
  </si>
  <si>
    <t>001316</t>
  </si>
  <si>
    <t>CourseTotal</t>
  </si>
  <si>
    <t>Credential Expiration Date</t>
  </si>
  <si>
    <t>The year, month and day on which an active credential held by a person will expire.</t>
  </si>
  <si>
    <t>000069</t>
  </si>
  <si>
    <t>CredentialExpirationDate</t>
  </si>
  <si>
    <t>Credential Issuance Date</t>
  </si>
  <si>
    <t>The year, month and day on which an active credential was issued to a person.</t>
  </si>
  <si>
    <t>000070</t>
  </si>
  <si>
    <t>CredentialIssuanceDate</t>
  </si>
  <si>
    <t>Credential Type</t>
  </si>
  <si>
    <t>An indication of the category of credential a person holds.</t>
  </si>
  <si>
    <t>000071</t>
  </si>
  <si>
    <t>CredentialType</t>
  </si>
  <si>
    <t>Credit Hours Applied Other Program</t>
  </si>
  <si>
    <t>Codes identifying the set of credit hours taken in other programs or degrees that were applied to the individual's degree.</t>
  </si>
  <si>
    <t>001317</t>
  </si>
  <si>
    <t>CreditHoursAppliedOtherProgram</t>
  </si>
  <si>
    <t>Credit Type Earned</t>
  </si>
  <si>
    <t>The type of credits or units of value awarded for the completion of a course.</t>
  </si>
  <si>
    <t>000072</t>
  </si>
  <si>
    <t>CreditTypeEarned</t>
  </si>
  <si>
    <t>Credits Attempted Cumulative</t>
  </si>
  <si>
    <t>The cumulative number of credits a person attempts to earn by taking courses during his or her enrollment in the current school as well as those credits transferred from schools in which the person had been previously enrolled.</t>
  </si>
  <si>
    <t>000073</t>
  </si>
  <si>
    <t>CreditsAttemptedCumulative</t>
  </si>
  <si>
    <t>Credits Earned Cumulative</t>
  </si>
  <si>
    <t>The cumulative number of credits a person earns by completing courses or examinations during his or her enrollment in the current school as well as those credits transferred from schools in which the person had been previously enrolled.</t>
  </si>
  <si>
    <t>000074</t>
  </si>
  <si>
    <t>CreditsEarnedCumulative</t>
  </si>
  <si>
    <t>Crisis Code</t>
  </si>
  <si>
    <t>A unique number or alphanumeric code used to identify a crisis. This code should be able to accommodate numerous crises within a single school year. It is associated with the displaced student identifier in order to link a crisis to a student who was displaced or otherwise affected by the event. If the same code values are to be used over multiple years, it is important to have enough crisis-specific items (e.g., school year, date/time) to keep the events unique over time.</t>
  </si>
  <si>
    <t>K12 -&gt; Calendar -&gt; Crisis</t>
  </si>
  <si>
    <t>000611</t>
  </si>
  <si>
    <t>CrisisCode</t>
  </si>
  <si>
    <t>Crisis Name</t>
  </si>
  <si>
    <t>The name of the crisis that caused the displacement of students.</t>
  </si>
  <si>
    <t>000612</t>
  </si>
  <si>
    <t>CrisisName</t>
  </si>
  <si>
    <t>Crisis Start Date</t>
  </si>
  <si>
    <t>The year, month and day on which the crisis affected the agency. This date may not be the same as the date the crisis occurred if evacuation orders are implemented in anticipation of a crisis.</t>
  </si>
  <si>
    <t>000614</t>
  </si>
  <si>
    <t>CrisisStartDate</t>
  </si>
  <si>
    <t>Crisis Type</t>
  </si>
  <si>
    <t>The type or category of crisis (ex., chemical, earthquake, flood, wildfire, etc.).</t>
  </si>
  <si>
    <t>000613</t>
  </si>
  <si>
    <t>CrisisType</t>
  </si>
  <si>
    <t>Critical Teacher Shortage Area Candidate</t>
  </si>
  <si>
    <t>An indication of whether a person is pursuing licensure/certification in a field designated as a shortage area as defined by Title II.</t>
  </si>
  <si>
    <t>When used in conjunction with the element Classification of Instructional Program, the field of study can be determined.</t>
  </si>
  <si>
    <t>000770</t>
  </si>
  <si>
    <t>CriticalTeacherShortageAreaCandidate</t>
  </si>
  <si>
    <t>Curriculum Framework Type</t>
  </si>
  <si>
    <t>An indication of the standard curriculum used for this course.</t>
  </si>
  <si>
    <t>000712</t>
  </si>
  <si>
    <t>CurriculumFrameworkType</t>
  </si>
  <si>
    <t>Custodial Parent or Guardian Indicator</t>
  </si>
  <si>
    <t>An indication that a person has legal custody of a child.</t>
  </si>
  <si>
    <t>Early Learning -&gt; Parent/Guardian</t>
  </si>
  <si>
    <t>000329</t>
  </si>
  <si>
    <t>CustodialParentOrGuardianIndicator</t>
  </si>
  <si>
    <t>Date State Received Title III Allocation</t>
  </si>
  <si>
    <t>Annual date the State receives the Title III allocation from U.S. Department of Education (ED).</t>
  </si>
  <si>
    <t>K12 -&gt; SEA -&gt; Federal Funds</t>
  </si>
  <si>
    <t>000455</t>
  </si>
  <si>
    <t>DateStateReceivedTitleIIIAllocation</t>
  </si>
  <si>
    <t>Date Title III Funds Available to Subgrantees</t>
  </si>
  <si>
    <t>Annual date that Title III funds are available to approved subgrantees.</t>
  </si>
  <si>
    <t>000456</t>
  </si>
  <si>
    <t>DateTitleIIIFundsAvailableToSubgrantees</t>
  </si>
  <si>
    <t>Days Available Per Week</t>
  </si>
  <si>
    <t>The number of days per week the site or classroom is open for children to attend.</t>
  </si>
  <si>
    <t>000355</t>
  </si>
  <si>
    <t>DaysAvailablePerWeek</t>
  </si>
  <si>
    <t>Days In Session</t>
  </si>
  <si>
    <t>The total number of days that the school was or is anticipated to be in session during the school year. Also included are days on which the education institution facility is closed and the student body as a whole is engaged in planned activities off-campus under the guidance and direction of staff members.</t>
  </si>
  <si>
    <t>K12 -&gt; K12 School -&gt; Session</t>
  </si>
  <si>
    <t>000496</t>
  </si>
  <si>
    <t>DaysInSession</t>
  </si>
  <si>
    <t>Degree Applicability</t>
  </si>
  <si>
    <t>An indication that the course is a part of a degree program.</t>
  </si>
  <si>
    <t>000077</t>
  </si>
  <si>
    <t>DegreeApplicability</t>
  </si>
  <si>
    <t>Degree or Certificate Conferring Date</t>
  </si>
  <si>
    <t>The year, month and day on which a person received a degree or certificate.</t>
  </si>
  <si>
    <t>000344</t>
  </si>
  <si>
    <t>DegreeOrCertificateConferringDate</t>
  </si>
  <si>
    <t>Degree or Certificate Seeking Student</t>
  </si>
  <si>
    <t>Person is enrolled in courses for credit and recognized by the institution as seeking a degree, certificate, or other formal award. High school students also enrolled in postsecondary courses for credit are not considered degree/certificate-seeking.</t>
  </si>
  <si>
    <t>000078</t>
  </si>
  <si>
    <t>DegreeOrCertificateSeekingStudent</t>
  </si>
  <si>
    <t>Degree or Certificate Title or Subject</t>
  </si>
  <si>
    <t>The name of the degree or certificate earned by a person. This includes honorary degrees conferred upon an individual.</t>
  </si>
  <si>
    <t>000342</t>
  </si>
  <si>
    <t>DegreeOrCertificateTitleOrSubject</t>
  </si>
  <si>
    <t>Degree or Certificate Type</t>
  </si>
  <si>
    <t>The type of degree or certificate earned by a person.</t>
  </si>
  <si>
    <t>000343</t>
  </si>
  <si>
    <t>DegreeOrCertificateType</t>
  </si>
  <si>
    <t>Demographic Race Two or More Races</t>
  </si>
  <si>
    <t>A person having origins in any of more than one of the racial groups.</t>
  </si>
  <si>
    <t>To support backward compatibility for systems that cannot derive this, i.e. systems that use a single race/ethnicity element rather than separate flags that can indicate one or more ethnicities.</t>
  </si>
  <si>
    <t>000973</t>
  </si>
  <si>
    <t>DemographicRaceTwoOrMoreRaces</t>
  </si>
  <si>
    <t>Dental Insurance Coverage Type</t>
  </si>
  <si>
    <t>The source of insurance covering an person's dental care.</t>
  </si>
  <si>
    <t>Early Learning -&gt; EL Child -&gt; EL Health Information -&gt; Insurance</t>
  </si>
  <si>
    <t>Early Learning -&gt; Program Entry</t>
  </si>
  <si>
    <t>Name changed from Dental Insurance Coverage. Definition updated.</t>
  </si>
  <si>
    <t>000336</t>
  </si>
  <si>
    <t>DentalInsuranceCoverageType</t>
  </si>
  <si>
    <t>Dental Screening Date</t>
  </si>
  <si>
    <t>The year, month and day of a dental screening</t>
  </si>
  <si>
    <t>Early Learning -&gt; EL Child -&gt; EL Health Information -&gt; Dental</t>
  </si>
  <si>
    <t>000706</t>
  </si>
  <si>
    <t>DentalScreeningDate</t>
  </si>
  <si>
    <t>Dental Screening Status</t>
  </si>
  <si>
    <t>The condition of a person's mouth or oral cavity; more specifically the condition of the hard tissues (i.e., teeth and jaws) and the soft tissues (i.e., gums, tongue, lips, palate, mouth floor, and inner cheeks). Good oral health denotes the absence of clinically manifested disease or abnormalities of the oral cavity.</t>
  </si>
  <si>
    <t>Early Learning -&gt; Program Compliance</t>
  </si>
  <si>
    <t>000310</t>
  </si>
  <si>
    <t>DentalScreeningStatus</t>
  </si>
  <si>
    <t>Dependency Status</t>
  </si>
  <si>
    <t>A person's classification as dependent or independent with regards to eligibility for Title IV Federal Student aid.</t>
  </si>
  <si>
    <t>000079</t>
  </si>
  <si>
    <t>DependencyStatus</t>
  </si>
  <si>
    <t>Desegregation Order or Plan</t>
  </si>
  <si>
    <t>An indication whether the LEA is covered by a desegregation plan either ordered by a court or entered into with the Office for Civil Rights under Title VI of the Civil Rights Act of 1964.</t>
  </si>
  <si>
    <t>000080</t>
  </si>
  <si>
    <t>DesegregationOrderOrPlan</t>
  </si>
  <si>
    <t>Designated Graduation School Identifier</t>
  </si>
  <si>
    <t>The NCES school identification number that identifies the school or facility from which a student expects to graduate.</t>
  </si>
  <si>
    <t>Alphanumeric - 12 characters maximum</t>
  </si>
  <si>
    <t>000436</t>
  </si>
  <si>
    <t>DesignatedGraduationSchoolIdentifier</t>
  </si>
  <si>
    <t>Developmental Evaluation Finding</t>
  </si>
  <si>
    <t>Child developmental delay/disability determined by procedure used by appropriate qualified personnel.</t>
  </si>
  <si>
    <t>Early Learning -&gt; EL Child -&gt; Developmental Assessments</t>
  </si>
  <si>
    <t>Modified definition.</t>
  </si>
  <si>
    <t>000315</t>
  </si>
  <si>
    <t>DevelopmentalEvaluationFinding</t>
  </si>
  <si>
    <t>Diagnostic Statement Source</t>
  </si>
  <si>
    <t>Identifies the source of the Diagnostic Statement based on a scored/evaluated portion of an assessment.</t>
  </si>
  <si>
    <t>001008</t>
  </si>
  <si>
    <t>DiagnosticStatementSource</t>
  </si>
  <si>
    <t>Differential Shift Pay Indicator</t>
  </si>
  <si>
    <t>An indication of whether staff receive differential shift pay.</t>
  </si>
  <si>
    <t>Early Learning -&gt; EL Organization -&gt; Organization Information</t>
  </si>
  <si>
    <t>000868</t>
  </si>
  <si>
    <t>DifferentialShiftPayIndicator</t>
  </si>
  <si>
    <t>Diploma or Credential Award Date</t>
  </si>
  <si>
    <t>The month and year on which the diploma/credential is awarded to a student in recognition of his/her completion of the curricular requirements.</t>
  </si>
  <si>
    <t>YYYY-MM</t>
  </si>
  <si>
    <t>000081</t>
  </si>
  <si>
    <t>DiplomaOrCredentialAwardDate</t>
  </si>
  <si>
    <t>Disability Condition Status Type</t>
  </si>
  <si>
    <t>A code indicating the disability condition status.</t>
  </si>
  <si>
    <t>001319</t>
  </si>
  <si>
    <t>Disability Condition Status Code</t>
  </si>
  <si>
    <t>DisabilityConditionStatusCode</t>
  </si>
  <si>
    <t>Disability Condition Type</t>
  </si>
  <si>
    <t>Codes identifying the set of disability conditions.</t>
  </si>
  <si>
    <t>Disability Conditional Type may be used in K12 to specify a disability other than Primary Disability Type.</t>
  </si>
  <si>
    <t>001320</t>
  </si>
  <si>
    <t>DisabilityConditionType</t>
  </si>
  <si>
    <t>Disability Determination Source Type</t>
  </si>
  <si>
    <t>Codes identifying the set of disability determination sources.</t>
  </si>
  <si>
    <t>001321</t>
  </si>
  <si>
    <t>DisabilityDeterminationSourceType</t>
  </si>
  <si>
    <t>Disability Status</t>
  </si>
  <si>
    <t>An indication of whether a person is classified as disabled under the American's with Disability Act (ADA).</t>
  </si>
  <si>
    <t>000577</t>
  </si>
  <si>
    <t>DisabilityStatus</t>
  </si>
  <si>
    <t>Disciplinary Action End Date</t>
  </si>
  <si>
    <t>The year, month and day on which a discipline action ends.</t>
  </si>
  <si>
    <t>000082</t>
  </si>
  <si>
    <t>DisciplinaryActionEndDate</t>
  </si>
  <si>
    <t>Disciplinary Action IEP Placement Meeting Indicator</t>
  </si>
  <si>
    <t>An indication as to whether an offense and/or disciplinary action resulted in a meeting of a student’s Individualized Education Program (IEP) team to determine appropriate placement.</t>
  </si>
  <si>
    <t>K12 -&gt; K12 Student -&gt; Discipline</t>
  </si>
  <si>
    <t>001322</t>
  </si>
  <si>
    <t>DisciplinaryActionIEPPlacementMeetingIndicator</t>
  </si>
  <si>
    <t>Disciplinary Action Start Date</t>
  </si>
  <si>
    <t>The year, month and day on which a discipline action begins.</t>
  </si>
  <si>
    <t>000083</t>
  </si>
  <si>
    <t>DisciplinaryActionStartDate</t>
  </si>
  <si>
    <t>Disciplinary Action Taken</t>
  </si>
  <si>
    <t>Identifies the consequences of an incident for the student(s) involved in an incident as perpetrator(s).</t>
  </si>
  <si>
    <t>000488</t>
  </si>
  <si>
    <t>DisciplinaryActionTaken</t>
  </si>
  <si>
    <t>Discipline Action Length Difference Reason</t>
  </si>
  <si>
    <t>The reason for the difference, if any, between the official and actual lengths of a student’s disciplinary assignment.</t>
  </si>
  <si>
    <t>000609</t>
  </si>
  <si>
    <t>DisciplineActionLengthDifferenceReason</t>
  </si>
  <si>
    <t>Discipline Method for Firearms Incidents</t>
  </si>
  <si>
    <t>The method used to discipline students who are not children with disabilities (IDEA) involved in firearms and other outcomes of firearms incidents.</t>
  </si>
  <si>
    <t>K12 -&gt; K12 School -&gt; Institution Characteristics</t>
  </si>
  <si>
    <t>000555</t>
  </si>
  <si>
    <t>DisciplineMethodForFirearmsIncidents</t>
  </si>
  <si>
    <t>Discipline Method of Children with Disabilities</t>
  </si>
  <si>
    <t>The type of suspension or expulsion used for the discipline of children with disabilities.</t>
  </si>
  <si>
    <t>000538</t>
  </si>
  <si>
    <t>DisciplineMethodOfChildrenWithDisabilities</t>
  </si>
  <si>
    <t>Discipline Reason</t>
  </si>
  <si>
    <t>The reason why the student was disciplined.</t>
  </si>
  <si>
    <t>000545</t>
  </si>
  <si>
    <t>DisciplineReason</t>
  </si>
  <si>
    <t>Dislocated Worker Status</t>
  </si>
  <si>
    <t>An individual who has been terminated or laid off, or who has received a notice of termination or layoff from employment, or an individual who was self-employed but is unemployed as a result of general economic conditions in the community in which the individual resides or because of natural disasters.</t>
  </si>
  <si>
    <t>Adult Education -&gt; AE Student -&gt; Status</t>
  </si>
  <si>
    <t>000776</t>
  </si>
  <si>
    <t>DislocatedWorkerStatus</t>
  </si>
  <si>
    <t>Displaced Student Status</t>
  </si>
  <si>
    <t>A student who was enrolled, or eligible for enrollment, but has enrolled in another place because of a crisis.</t>
  </si>
  <si>
    <t>000610</t>
  </si>
  <si>
    <t>DisplacedStudentStatus</t>
  </si>
  <si>
    <t>Distance Education Course Enrollment</t>
  </si>
  <si>
    <t>An individual's enrollment in a course or courses in which the instructional content is delivered exclusively via distance education. Distance education is education that uses one or more technologies to deliver instruction to students who are separated from the instructor and to support regular and substantive interaction between the students and the instructor synchronously or asynchronously. Technologies used for instruction may include: Internet; one-way and two-way transmissions through open broadcasts, closed circuit, cable, microwave, broadband lines, fiber optics, satellite or wireless communication devices; audio conferencing; and video cassette, DVDs, and CD-ROMs, if the cassette, DVDs, and CD-ROMs are used in a course in conjunction with the technologies listed above.</t>
  </si>
  <si>
    <t>Postsecondary Education -&gt; IPEDS -&gt; Fall Enrollment</t>
  </si>
  <si>
    <t>Element defined in IPEDS</t>
  </si>
  <si>
    <t>000728</t>
  </si>
  <si>
    <t>DistanceEducationCourseEnrollment</t>
  </si>
  <si>
    <t>Distance Education Program Enrollment Indicator</t>
  </si>
  <si>
    <t>An individual's enrollment in a program for which all the required coursework for program completion is able to be completed via distance education courses. Distance education is education that uses one or more technologies to deliver instruction to individuals who are separated from the instructor and to support regular and substantive interaction between the individuals and the instructor synchronously or asynchronously.</t>
  </si>
  <si>
    <t>001323</t>
  </si>
  <si>
    <t>DistanceEducationProgramEnrollmentIndicator</t>
  </si>
  <si>
    <t>Doctoral Candidacy Admit Indicator</t>
  </si>
  <si>
    <t>The individual's status in being admitted as a doctoral candidate.</t>
  </si>
  <si>
    <t>Postsecondary -&gt; PS Student -&gt; Graduate Student</t>
  </si>
  <si>
    <t>001324</t>
  </si>
  <si>
    <t>DoctoralCandidacyAdmitIndicator</t>
  </si>
  <si>
    <t>Doctoral Candidacy Date</t>
  </si>
  <si>
    <t>The date on which the individual was admitted to doctoral candidate status.</t>
  </si>
  <si>
    <t>001325</t>
  </si>
  <si>
    <t>DoctoralCandidacyDate</t>
  </si>
  <si>
    <t>Doctoral Exam Taken Date</t>
  </si>
  <si>
    <t>The date on which the individual took an exam for advancement in, continuation or completion of a doctoral program.</t>
  </si>
  <si>
    <t>001326</t>
  </si>
  <si>
    <t>DoctoralExamTakenDate</t>
  </si>
  <si>
    <t>Doctoral Exams Required Type</t>
  </si>
  <si>
    <t>A qualifier identifying the types of exams required of doctoral level individuals.</t>
  </si>
  <si>
    <t>001327</t>
  </si>
  <si>
    <t>DoctoralExamsRequiredType</t>
  </si>
  <si>
    <t>Dual Credit Dual Enrollment Credits Awarded</t>
  </si>
  <si>
    <t>The number of credits awarded a student by the postsecondary institution based on successful completion of dual credit/dual enrollment courses.</t>
  </si>
  <si>
    <t>000085</t>
  </si>
  <si>
    <t>DualCreditDualEnrollmentCreditsAwarded</t>
  </si>
  <si>
    <t>Duration of Disciplinary Action</t>
  </si>
  <si>
    <t>The length, in school days, of the disciplinary action.</t>
  </si>
  <si>
    <t>000511</t>
  </si>
  <si>
    <t>DurationOfDisciplinaryAction</t>
  </si>
  <si>
    <t>Early Childhood Credential</t>
  </si>
  <si>
    <t>The credential related to early childhood education or development held by a person.</t>
  </si>
  <si>
    <t>000345</t>
  </si>
  <si>
    <t>EarlyChildhoodCredential</t>
  </si>
  <si>
    <t>Early Childhood Degree or Certificate Holder</t>
  </si>
  <si>
    <t>Staff has a degree in early childhood regardless of level.</t>
  </si>
  <si>
    <t>000789</t>
  </si>
  <si>
    <t>EarlyChildhoodDegreeOrCertificateHolder</t>
  </si>
  <si>
    <t>Early Childhood Enrollment Service Type</t>
  </si>
  <si>
    <t>The type of programs in which the child is enrolled.</t>
  </si>
  <si>
    <t>000318</t>
  </si>
  <si>
    <t>EarlyChildhoodEnrollmentServiceType</t>
  </si>
  <si>
    <t>Early Childhood Program Type</t>
  </si>
  <si>
    <t>The system outlining activities and procedures based on a set of required services and standards.</t>
  </si>
  <si>
    <t>Changed name from Early Childhood Program Type Offered. Definition modified. Option set modified.</t>
  </si>
  <si>
    <t>000829</t>
  </si>
  <si>
    <t>EarlyChildhoodProgramType</t>
  </si>
  <si>
    <t>Early Childhood Setting</t>
  </si>
  <si>
    <t>The site or setting in which early childhood care, education, and/or services are provided.</t>
  </si>
  <si>
    <t>Updated option set.</t>
  </si>
  <si>
    <t>000356</t>
  </si>
  <si>
    <t>EarlyChildhoodSetting</t>
  </si>
  <si>
    <t>Early Intervention or Special Education Services Received</t>
  </si>
  <si>
    <t>The types of service that adapts the curriculum, materials, or instruction for students identified as needing special education because of a delay or disability.</t>
  </si>
  <si>
    <t>Early Learning -&gt; EL Child -&gt; EL Educational Experiences -&gt; Special Education</t>
  </si>
  <si>
    <t>Replaced option set. Modified definition.</t>
  </si>
  <si>
    <t>000321</t>
  </si>
  <si>
    <t>EarlyInterventionOrSpecialEducationServicesReceived</t>
  </si>
  <si>
    <t>Early Intervention or Special Education Services Setting</t>
  </si>
  <si>
    <t>The setting in which a person receives services that adapt the curriculum, materials, or instruction for students identified as needing special education because of a disabling condition.</t>
  </si>
  <si>
    <t>000322</t>
  </si>
  <si>
    <t>EarlyInterventionOrSpecialEducationServicesSetting</t>
  </si>
  <si>
    <t>Early Learning Child Developmental Screening Status</t>
  </si>
  <si>
    <t>The result of a brief standardized screening tool aiding in the identification of children at risk of a developmental delay/disorder.</t>
  </si>
  <si>
    <t>000314</t>
  </si>
  <si>
    <t>EarlyLearningChildDevelopmentalScreeningStatus</t>
  </si>
  <si>
    <t>Early Learning Class Group Curriculum Type</t>
  </si>
  <si>
    <t>The type of curriculum used in an early learning classroom or group.</t>
  </si>
  <si>
    <t>Early Learning -&gt; EL Class/Group -&gt; Curriculum</t>
  </si>
  <si>
    <t>000823</t>
  </si>
  <si>
    <t>EarlyLearningClassGroupCurriculumType</t>
  </si>
  <si>
    <t>Early Learning Class Group Identifier</t>
  </si>
  <si>
    <t>A unique number or alphanumeric code assigned by a school, school system, a state, or other agency or entity for a particular early learning class or group.</t>
  </si>
  <si>
    <t>Early Learning -&gt; EL Class/Group -&gt; Identification</t>
  </si>
  <si>
    <t>000820</t>
  </si>
  <si>
    <t>EarlyLearningClassGroupIdentifier</t>
  </si>
  <si>
    <t>Early Learning Class Group Name</t>
  </si>
  <si>
    <t>Name of an early learning class or group.</t>
  </si>
  <si>
    <t>000821</t>
  </si>
  <si>
    <t>EarlyLearningClassGroupName</t>
  </si>
  <si>
    <t>Early Learning Core Knowledge Area</t>
  </si>
  <si>
    <t>A description of the core knowledge areas addressed by Early Learning professional development.</t>
  </si>
  <si>
    <t>000813</t>
  </si>
  <si>
    <t>EarlyLearningCoreKnowledgeArea</t>
  </si>
  <si>
    <t>Early Learning Federal Funding Type</t>
  </si>
  <si>
    <t>Federal source that contributes to the EL program</t>
  </si>
  <si>
    <t>Early Learning -&gt; EL Child -&gt; Finance</t>
  </si>
  <si>
    <t>001328</t>
  </si>
  <si>
    <t>EarlyLearningFederalFundingType</t>
  </si>
  <si>
    <t>Early Learning Group Size</t>
  </si>
  <si>
    <t>The number of slots/spaces available.</t>
  </si>
  <si>
    <t>Early Learning -&gt; EL Class/Group -&gt; Structure</t>
  </si>
  <si>
    <t>001329</t>
  </si>
  <si>
    <t>EarlyLearningGroupSize</t>
  </si>
  <si>
    <t>Early Learning Group Size Standards Met</t>
  </si>
  <si>
    <t>An indication of whether a program meets NAEYC or NAFCC standards for infant group sizes.</t>
  </si>
  <si>
    <t>Early Learning -&gt; EL Class/Group -&gt; Population</t>
  </si>
  <si>
    <t>000824</t>
  </si>
  <si>
    <t>EarlyLearningGroupSizeStandardsMet</t>
  </si>
  <si>
    <t>Early Learning Oldest Age Authorized to Serve</t>
  </si>
  <si>
    <t>The oldest age of children a class/group is authorized or licensed to serve. (Age is specified in months)</t>
  </si>
  <si>
    <t>001225</t>
  </si>
  <si>
    <t>EarlyLearningOIdestAgeAuthorizedToServe</t>
  </si>
  <si>
    <t>Early Learning Other Federal Funding Sources</t>
  </si>
  <si>
    <t>The other contributing funding sources.</t>
  </si>
  <si>
    <t>001335</t>
  </si>
  <si>
    <t>EarlyLearningOtherFederalFundingSources</t>
  </si>
  <si>
    <t>Early Learning Outcome Measurement Level</t>
  </si>
  <si>
    <t>Use for outcome measures in early learning.</t>
  </si>
  <si>
    <t>Early Learning -&gt; Assessments -&gt; Assessment Result</t>
  </si>
  <si>
    <t>001336</t>
  </si>
  <si>
    <t>EarlyLearningOutcomeMeasurementLevel</t>
  </si>
  <si>
    <t>Early Learning Outcome Time Point</t>
  </si>
  <si>
    <t>The point in time for which the result is used for an outcome measure.</t>
  </si>
  <si>
    <t>001503</t>
  </si>
  <si>
    <t>EarlyLearningOutcomeTimePoint</t>
  </si>
  <si>
    <t>Early Learning Professional Development Topic Area</t>
  </si>
  <si>
    <t>The topical area of competence needed for Staff professional development.</t>
  </si>
  <si>
    <t>001337</t>
  </si>
  <si>
    <t>EarlyLearningProfessionalDevelopmentTopicArea</t>
  </si>
  <si>
    <t>Early Learning Program Annual Operating Weeks</t>
  </si>
  <si>
    <t>The number of operating weeks per year for an early learning program.</t>
  </si>
  <si>
    <t>Integer between 0 and 52.</t>
  </si>
  <si>
    <t>000825</t>
  </si>
  <si>
    <t>EarlyLearningProgramAnnualOperatingWeeks</t>
  </si>
  <si>
    <t>Early Learning Program Developmental Screening Status</t>
  </si>
  <si>
    <t>An indication of whether a program ensures that all children served by the program are receiving developmental screenings.</t>
  </si>
  <si>
    <t>Early Learning -&gt; EL Organization -&gt; Health Promotion</t>
  </si>
  <si>
    <t>000848</t>
  </si>
  <si>
    <t>EarlyLearningProgramDevelopmentalScreeningStatus</t>
  </si>
  <si>
    <t>Early Learning Program Eligibility Category</t>
  </si>
  <si>
    <t>Category under which the person is eligible for an early childhood program or service.</t>
  </si>
  <si>
    <t>Early Learning -&gt; EL Child -&gt; Eligibility (added)</t>
  </si>
  <si>
    <t>000304</t>
  </si>
  <si>
    <t>EarlyLearningProgramEligibilityCategory</t>
  </si>
  <si>
    <t>Early Learning Program Eligibility Expiration Date</t>
  </si>
  <si>
    <t>The year, month, and day on which the child is no longer eligible for the Program.</t>
  </si>
  <si>
    <t>Early Learning -&gt; EL Child -&gt; Eligibility</t>
  </si>
  <si>
    <t>001338</t>
  </si>
  <si>
    <t>EarlyLearningProgramEligibilityExpirationDate</t>
  </si>
  <si>
    <t>Early Learning Program Eligibility Status</t>
  </si>
  <si>
    <t>The status of eligibility for the child.</t>
  </si>
  <si>
    <t>001339</t>
  </si>
  <si>
    <t>EarlyLearningProgramEligibilityStatus</t>
  </si>
  <si>
    <t>Early Learning Program Eligibility Status Date</t>
  </si>
  <si>
    <t>The date of status of eligibility.</t>
  </si>
  <si>
    <t>001340</t>
  </si>
  <si>
    <t>EarlyLearningProgramEligibilityStatusDate</t>
  </si>
  <si>
    <t>Early Learning Program License Revocation Status</t>
  </si>
  <si>
    <t>An indication of whether a program's license was revoked due to violations as determined by the state.</t>
  </si>
  <si>
    <t>000838</t>
  </si>
  <si>
    <t>EarlyLearningProgramLicenseRevocationStatus</t>
  </si>
  <si>
    <t>Early Learning Program License Suspension Status</t>
  </si>
  <si>
    <t>An indication of whether a program's license was suspended due to violations as determined by the state.</t>
  </si>
  <si>
    <t>000837</t>
  </si>
  <si>
    <t>EarlyLearningProgramLicenseSuspensionStatus</t>
  </si>
  <si>
    <t>Early Learning Program Licensing Status</t>
  </si>
  <si>
    <t>The current licensing status for an early learning program.</t>
  </si>
  <si>
    <t>000828</t>
  </si>
  <si>
    <t>EarlyLearningProgramLicensingStatus</t>
  </si>
  <si>
    <t>Early Learning Program Year</t>
  </si>
  <si>
    <t>The year the program is operating.</t>
  </si>
  <si>
    <t>000864</t>
  </si>
  <si>
    <t>EarlyLearningProgramYear</t>
  </si>
  <si>
    <t>Early Learning Staff Total College Credits Earned</t>
  </si>
  <si>
    <t>Total number of college credits earned, including all credits within a degree and outside a degree, regardless of whether they all are early childhood credits.</t>
  </si>
  <si>
    <t>000792</t>
  </si>
  <si>
    <t>EarlyLearningStaffTotalCollegeCreditsEarned</t>
  </si>
  <si>
    <t>Early Learning Youngest Age Authorized to Serve</t>
  </si>
  <si>
    <t>The youngest age of children a class/group is authorized or licensed to serve. (Age is specified in months)</t>
  </si>
  <si>
    <t>000633</t>
  </si>
  <si>
    <t>EarlyLearningYoungestAgeAuthorizedToServe</t>
  </si>
  <si>
    <t>Economic Disadvantage Status</t>
  </si>
  <si>
    <t>An indication that the student met the State criteria for classification as having an economic disadvantage.</t>
  </si>
  <si>
    <t>K12 -&gt; K12 Student -&gt; Economically Disadvantaged</t>
  </si>
  <si>
    <t>000086</t>
  </si>
  <si>
    <t>EconomicDisadvantageStatus</t>
  </si>
  <si>
    <t>Economic Research Service Rural-Urban Continuum Code</t>
  </si>
  <si>
    <t>Rural-Urban Continuum Codes form a classification scheme that distinguishes metropolitan (metro) counties by the population size of their metro area, and nonmetropolitan (nonmetro) counties by degree of urbanization and adjacency to a metro area or areas. The metro and nonmetro categories have been subdivided into three metro and six nonmetro groupings, resulting in a nine-part county codification. The codes allow researchers working with county data to break such data into finer residential groups beyond a simple metro-nonmetro dichotomy, particularly for the analysis of trends in nonmetro areas that may be related to degree of rurality and metro proximity.</t>
  </si>
  <si>
    <t>Early Learning -&gt; EL Organization -&gt; Organization Characteristics</t>
  </si>
  <si>
    <t>000862</t>
  </si>
  <si>
    <t>ERS Rural-Urban Continuum Code</t>
  </si>
  <si>
    <t>ERSRuralUrbanContinuumCode</t>
  </si>
  <si>
    <t>Education Staff Classification</t>
  </si>
  <si>
    <t>The titles of employment, official status, or rank of education staff.</t>
  </si>
  <si>
    <t>000087</t>
  </si>
  <si>
    <t>EducationStaffClassification</t>
  </si>
  <si>
    <t>Educational Services After Removal</t>
  </si>
  <si>
    <t>An indication of whether children (students) were provided educational services when removed from the regular school program for disciplinary reasons.</t>
  </si>
  <si>
    <t>000578</t>
  </si>
  <si>
    <t>EducationalServicesAfterRemoval</t>
  </si>
  <si>
    <t>Electronic Mail Address</t>
  </si>
  <si>
    <t>The numbers, letters, and symbols used to identify an electronic mail (e-mail) user within the network to which the person or organization belongs.</t>
  </si>
  <si>
    <t>Alphanumeric - 7 characters minimum, 128 characters maximum</t>
  </si>
  <si>
    <t>000088</t>
  </si>
  <si>
    <t>Email Address</t>
  </si>
  <si>
    <t>ElectronicMailAddress</t>
  </si>
  <si>
    <t>Electronic Mail Address Type</t>
  </si>
  <si>
    <t>The type of electronic mail (e-mail) address listed for a person or organization.</t>
  </si>
  <si>
    <t>000089</t>
  </si>
  <si>
    <t>Email Address Type</t>
  </si>
  <si>
    <t>ElectronicMailAddressType</t>
  </si>
  <si>
    <t>Elementary-Middle Additional Indicator Status</t>
  </si>
  <si>
    <t>An indication of whether the school or district met the Elementary/Middle Additional Indicator requirement in accordance with state definition for the purpose of determining Adequate Yearly Progress (AYP).</t>
  </si>
  <si>
    <t>000091</t>
  </si>
  <si>
    <t>ElementaryMiddleAdditionalIndicatorStatus</t>
  </si>
  <si>
    <t>Eligibility Status for School Food Service Programs</t>
  </si>
  <si>
    <t>An indication of a student's level of eligibility to participate in the National School Lunch Program for breakfast, lunch, snack, supper, and milk programs.</t>
  </si>
  <si>
    <t>000092</t>
  </si>
  <si>
    <t>EligibilityStatusForSchoolFoodServicePrograms</t>
  </si>
  <si>
    <t>Emergency Contact Indicator</t>
  </si>
  <si>
    <t>Indicates whether or not the person is a designated emergency contact for the learner.</t>
  </si>
  <si>
    <t>001341</t>
  </si>
  <si>
    <t>EmergencyContactIndicator</t>
  </si>
  <si>
    <t>Employed After Exit</t>
  </si>
  <si>
    <t>An individual who is a paid employee or works in his or her own business, profession, or farm, as reported through the State Unemployment Insurance Wage Report, FEDES, or WRIS, after exiting secondary, postsecondary, or adult education or workforce programs.</t>
  </si>
  <si>
    <t>Persistence and Attainment of Nontraditional Students</t>
  </si>
  <si>
    <t>Definition changed</t>
  </si>
  <si>
    <t>Individual-level data obtained by matching records with wage records, FEDES, or WRIS. The State Education Agency defines the time period for this collection around an exit period and a corresponding period for employment and earnings data to be obtained. The option set includes "Yes" for employment found via one of the resources listed in the source element. These sources will provide information about most of the types of jobs that students or former students will become employed in but not all. For that reason when a record is "not found" or "not matched" their employment status is "unknown" for the targeted time base.</t>
  </si>
  <si>
    <t>000988</t>
  </si>
  <si>
    <t>EmployedAfterExit</t>
  </si>
  <si>
    <t>Employed Prior to Enrollment</t>
  </si>
  <si>
    <t>An individual who is a paid employee or works in his or her own business, profession, or farm, as reported through the State Unemployment Insurance Wage Report, FEDES, or WRIS, before enrolling in secondary, postsecondary, or adult education or workforce programs.</t>
  </si>
  <si>
    <t>Workforce -&gt; Quarterly Employment Record</t>
  </si>
  <si>
    <t>Individual-level data obtained by matching records with wage records, FEDES, or WRIS. The State Education Agency defines the time period for this collection around an exit period and a corresponding period for employment and earnings data to be obtained. The option set includes "Yes" for employment found via one of the resources listed in the source element. These sources won't tell you anything further about employment or unemployment, only that a record was "not found" or "not matched" thus “unknown."</t>
  </si>
  <si>
    <t>001342</t>
  </si>
  <si>
    <t>EmployedPriorToEnrollment</t>
  </si>
  <si>
    <t>Employed While Enrolled</t>
  </si>
  <si>
    <t>An individual who is a paid employee or works in his or her own business, profession, or farm, as reported through the State Unemployment Insurance Wage Report, FEDES, or WRIS, and at the same time is enrolled in secondary, postsecondary, or adult education or workforce programs.</t>
  </si>
  <si>
    <t>Individual-level data obtained by matching records with wage records, FEDES, or WRIS. The State Education Agency defines the time period for this collection around an exit period and a corresponding period for employment and earnings data to be obtained. The option set includes "Yes" for employment found via one of the resources listed in the source element. These sources won't tell you anything further about employment or unemployment, only that a record was "not found" or "not matched" thus "unknown."</t>
  </si>
  <si>
    <t>000987</t>
  </si>
  <si>
    <t>EmployedWhileEnrolled</t>
  </si>
  <si>
    <t>Employment End Date</t>
  </si>
  <si>
    <t>The year, month and day on which a person ended self-employment or employment with an organization or institution.</t>
  </si>
  <si>
    <t>000795</t>
  </si>
  <si>
    <t>EmploymentEndDate</t>
  </si>
  <si>
    <t>Employment Location</t>
  </si>
  <si>
    <t>The state or other location in which an individual is found employed.</t>
  </si>
  <si>
    <t>Name changed from Employment Location State Abbreviation.</t>
  </si>
  <si>
    <t>Workforce Notes: The most commonly available indication of where employment is located is at the state level. While federal data resources provide indicators outside of the United States, these resources will not represent the majority of the students found employed, which will be based on state UI Wage Data. There may, in some instances, be multiple states where employment is found. Note that it may be desirable to collect these data over time, in a longitudinal sense, to measure things related to persistence, change, and growth in employment.</t>
  </si>
  <si>
    <t>000990</t>
  </si>
  <si>
    <t>EmploymentLocation</t>
  </si>
  <si>
    <t>Employment NAICS Code</t>
  </si>
  <si>
    <t>The North American Industry Classification System (NAICS) code associated with an individual's employment.</t>
  </si>
  <si>
    <t>See http://www.census.gov/eos/www/naics/</t>
  </si>
  <si>
    <t>######</t>
  </si>
  <si>
    <t>001064</t>
  </si>
  <si>
    <t>EmploymentNAICSCode</t>
  </si>
  <si>
    <t>Employment Record Administrative Data Source</t>
  </si>
  <si>
    <t>Administrative data source of information used to collect employment and earnings-related data.</t>
  </si>
  <si>
    <t>Name changed from Quarterly Employment Record Administrative Data Source.</t>
  </si>
  <si>
    <t>For over 25 years, states have relied upon administrative data sources to document the employment and earnings of students and former students. The sources listed are complementary, rather than alternatives. That is, State UI records only include information for employees within a state's boundaries. The WRIS II system can provide employment data for other states (from their UI wage record systems). State UI records do not include information about federal or postal service employment, nor do they contain information about military enlistments. FEDES provides access to that information. Ideally, an entity will use UI, WRIS (other state UI), and FEDES together.</t>
  </si>
  <si>
    <t>000994</t>
  </si>
  <si>
    <t>EmploymentRecordAdministrativeDataSource</t>
  </si>
  <si>
    <t>Employment Record Reference Period End Date</t>
  </si>
  <si>
    <t>The year, month, and day of the last day of the employment record reference period.</t>
  </si>
  <si>
    <t>Name changed from Quarterly Employment Record Reference Quarter End Date. Updated definiton.</t>
  </si>
  <si>
    <t>The reference quarter is the 13-week period around which employment and earnings data are collected. For unemployment insurance purposes, quarters are defined by 13-week periods. In most state cases, a reference quarter is defined to coincide with an enrollment period (e.g., a term or semester) or as a certain number of quarters after exiting a program, such as "3d quarter after exit." In some cases, states have defined the reference quarter to represent a period where employment and earnings data are collected for all of a previous year's exits and graduates. This is often the October- December quarter. Ultimately, the most value to be gained from the use of employment and earnings data is when data are collected continuously, both in a longitudinal sense for defined cohorts of students, as well as for an "annual set" of students.</t>
  </si>
  <si>
    <t>000993</t>
  </si>
  <si>
    <t>EmploymentRecordReferencePeriodEndDate</t>
  </si>
  <si>
    <t>Employment Record Reference Period Start Date</t>
  </si>
  <si>
    <t>The year, month, and day of the first day of the employment record reference period.</t>
  </si>
  <si>
    <t>Name changed from Quarterly Employment Record Reference Quarter Start Date. Updated definitioin.</t>
  </si>
  <si>
    <t>000992</t>
  </si>
  <si>
    <t>EmploymentRecordReferencePeriodStartDate</t>
  </si>
  <si>
    <t>Employment Separation Reason</t>
  </si>
  <si>
    <t>The primary reason for the termination of the employment relationship.</t>
  </si>
  <si>
    <t>Added to option set.</t>
  </si>
  <si>
    <t>000620</t>
  </si>
  <si>
    <t>EmploymentSeparationReason</t>
  </si>
  <si>
    <t>Employment Separation Type</t>
  </si>
  <si>
    <t>A designation of the type of separation occurring between a person and the organization.</t>
  </si>
  <si>
    <t>000621</t>
  </si>
  <si>
    <t>EmploymentSeparationType</t>
  </si>
  <si>
    <t>Employment Start Date</t>
  </si>
  <si>
    <t>The year, month and day on which a person began self-employment or employment with an organization or institution.</t>
  </si>
  <si>
    <t>000346</t>
  </si>
  <si>
    <t>EmploymentStartDate</t>
  </si>
  <si>
    <t>Employment Status</t>
  </si>
  <si>
    <t>000347</t>
  </si>
  <si>
    <t>EmploymentStatus</t>
  </si>
  <si>
    <t>Employment Status While Enrolled</t>
  </si>
  <si>
    <t>An indication of the individual's employment status while enrolled.</t>
  </si>
  <si>
    <t>Postsecondary -&gt; PS Student -&gt; Employment</t>
  </si>
  <si>
    <t>001343</t>
  </si>
  <si>
    <t>EmploymentStatusWhileEnrolled</t>
  </si>
  <si>
    <t>End of Term Status</t>
  </si>
  <si>
    <t>The nature of the student's progress at the end of a given school term.</t>
  </si>
  <si>
    <t>000093</t>
  </si>
  <si>
    <t>EndOfTermStatus</t>
  </si>
  <si>
    <t>Enrollment Date</t>
  </si>
  <si>
    <t>The year, month and day on which a person is considered officially enrolled in the program.</t>
  </si>
  <si>
    <t>000324</t>
  </si>
  <si>
    <t>EnrollmentDate</t>
  </si>
  <si>
    <t>Enrollment Entry Date</t>
  </si>
  <si>
    <t>The month, day, and year on which a person enters and begins to receive instructional services in a school, institution, program, or class-section during a given session.</t>
  </si>
  <si>
    <t>000097</t>
  </si>
  <si>
    <t>EnrollmentEntryDate</t>
  </si>
  <si>
    <t>Enrollment in Postsecondary Award Type</t>
  </si>
  <si>
    <t>An indicator of the award level in which the person is currently enrolled.</t>
  </si>
  <si>
    <t>000361</t>
  </si>
  <si>
    <t>EnrollmentInPostsecondaryAwardType</t>
  </si>
  <si>
    <t>Enrollment Status</t>
  </si>
  <si>
    <t>An indication as to whether a student's name was, is, or will be officially registered on the roll of a school or schools.</t>
  </si>
  <si>
    <t>000094</t>
  </si>
  <si>
    <t>EnrollmentStatus</t>
  </si>
  <si>
    <t>Entry Date into Postsecondary</t>
  </si>
  <si>
    <t>The year, month and day on which a person entered and began to receive instructional services at a postsecondary institution for the first time after completing high school (or its equivalent).</t>
  </si>
  <si>
    <t>000098</t>
  </si>
  <si>
    <t>EntryDateIntoPostsecondary</t>
  </si>
  <si>
    <t>Entry Grade Level</t>
  </si>
  <si>
    <t>The grade level or primary instructional level at which a student enters and receives services in a school or an educational institution during a given academic session.</t>
  </si>
  <si>
    <t>000100</t>
  </si>
  <si>
    <t>EntryGradeLevel</t>
  </si>
  <si>
    <t>Entry Type</t>
  </si>
  <si>
    <t>The process by which a student enters a school during a given academic session.</t>
  </si>
  <si>
    <t>000099</t>
  </si>
  <si>
    <t>EntryType</t>
  </si>
  <si>
    <t>Exit Date</t>
  </si>
  <si>
    <t>The year, month and day on which the student officially withdrew or graduated, i.e. the date on which the student's enrollment ended.</t>
  </si>
  <si>
    <t>000107</t>
  </si>
  <si>
    <t>ExitDate</t>
  </si>
  <si>
    <t>Exit Grade Level</t>
  </si>
  <si>
    <t>The grade level or primary instructional level at which a student exits a school, program, or an educational institution.</t>
  </si>
  <si>
    <t>001210</t>
  </si>
  <si>
    <t>ExitGradeLevel</t>
  </si>
  <si>
    <t>Exit or Withdrawal Status</t>
  </si>
  <si>
    <t>An indication as to whether an instance of student exit/withdrawal is considered to be of a permanent or temporary nature.</t>
  </si>
  <si>
    <t>000108</t>
  </si>
  <si>
    <t>ExitOrWithdrawalStatus</t>
  </si>
  <si>
    <t>Exit or Withdrawal Type</t>
  </si>
  <si>
    <t>The circumstances under which the student exited from membership in an educational institution.</t>
  </si>
  <si>
    <t>000110</t>
  </si>
  <si>
    <t>ExitOrWithdrawalType</t>
  </si>
  <si>
    <t>Exit Reason</t>
  </si>
  <si>
    <t>The documented or assumed reason a student is no longer being served by a special program.</t>
  </si>
  <si>
    <t>000222</t>
  </si>
  <si>
    <t>ExitReason</t>
  </si>
  <si>
    <t>Facilities Identifier</t>
  </si>
  <si>
    <t>A locally assigned unique number or alphanumeric code used to capture precise information on locations specific to a school (e.g., building number, class number, hall number, school bus number, computer station number, or internet protocol (IP) address).</t>
  </si>
  <si>
    <t>000504</t>
  </si>
  <si>
    <t>FacilitiesIdentifier</t>
  </si>
  <si>
    <t>Facility Building Name</t>
  </si>
  <si>
    <t>The full, legally accepted or popularly accepted name of a building.</t>
  </si>
  <si>
    <t>001205</t>
  </si>
  <si>
    <t>FacilityBuildingName</t>
  </si>
  <si>
    <t>Facility Licensing Status</t>
  </si>
  <si>
    <t>The status of the facility license.</t>
  </si>
  <si>
    <t>000984</t>
  </si>
  <si>
    <t>FacilityLicensingStatus</t>
  </si>
  <si>
    <t>Facility Profit Status</t>
  </si>
  <si>
    <t>An indication of the for-profit status of a facility.</t>
  </si>
  <si>
    <t>Early Learning -&gt; EL Organization -&gt; Facility</t>
  </si>
  <si>
    <t>000834</t>
  </si>
  <si>
    <t>FacilityProfitStatus</t>
  </si>
  <si>
    <t>Facility Space Description</t>
  </si>
  <si>
    <t>A description of the space, as determined by its physical layout and built-in systems and equipment.</t>
  </si>
  <si>
    <t>001207</t>
  </si>
  <si>
    <t>FacilitySpaceDescription</t>
  </si>
  <si>
    <t>Facility Space Use Type</t>
  </si>
  <si>
    <t>The primary use of a space, as determined by its physical layout and built-in systems and equipment, regardless of its original design.</t>
  </si>
  <si>
    <t>001208</t>
  </si>
  <si>
    <t>FacilitySpaceUseType</t>
  </si>
  <si>
    <t>Faculty and Administration Performance Level</t>
  </si>
  <si>
    <t>The levels used in district evaluation systems for assigning teacher or principal performance ratings.</t>
  </si>
  <si>
    <t>K12 -&gt; K12 Staff -&gt; Professional Development</t>
  </si>
  <si>
    <t>000589</t>
  </si>
  <si>
    <t>FacultyAndAdministrationPerformanceLevel</t>
  </si>
  <si>
    <t>Faculty Status</t>
  </si>
  <si>
    <t>Persons identified by the institution as such and typically those whose initial assignments are made for the purpose of conducting instruction, research or public service as a principal activity (or activities). They may hold academic rank titles of professor, associate professor, assistant professor, instructor, lecturer or the equivalent of any of those academic ranks. Faculty may also include the chancellor/president, provost, vice provosts, deans, directors or the equivalent, as well as associate deans, assistant deans and executive officers of academic departments (chairpersons, heads or the equivalent) if their principal activity is instruction combined with research and/or public service. The designation as "faculty" is separate from the activities to which they may be currently assigned. For example, a newly appointed president of an institution may also be appointed as a faculty member. Graduate, instruction, and research assistants are not included in this category.</t>
  </si>
  <si>
    <t>As defined in IPEDS.</t>
  </si>
  <si>
    <t>000734</t>
  </si>
  <si>
    <t>FacultyStatus</t>
  </si>
  <si>
    <t>Family and Consumer Sciences Course Indicator</t>
  </si>
  <si>
    <t>An indication that the course is associated with the Family and Consumer Sciences plan of study.</t>
  </si>
  <si>
    <t>001344</t>
  </si>
  <si>
    <t>FamilyAndConsumerSciencesCourseIndicator</t>
  </si>
  <si>
    <t>Family Identifier</t>
  </si>
  <si>
    <t>A unique number or alphanumeric code assigned to a family by a school, school system, a state, or other agency or entity.</t>
  </si>
  <si>
    <t>Early Learning -&gt; EL Family -&gt; Identifier</t>
  </si>
  <si>
    <t>000787</t>
  </si>
  <si>
    <t>FamilyIdentifier</t>
  </si>
  <si>
    <t>Family Income</t>
  </si>
  <si>
    <t>Total income of family from all sources. Income includes money, wages or salary before deductions; net income from non-farm self-employment; net income from farm self-employment; regular payments from Social Security or railroad retirement; payments from unemployment compensation, strike benefits from union funds, workers’ compensation, veterans benefits (with the exception noted below), public assistance (including Temporary Assistance for Needy Families, Supplemental Security Income, Emergency Assistance money payments, and non-Federally funded General Assistance or General Relief money payments); training stipends; alimony, child support, and military family allotments or other regular support from an absent family member or someone not living in the household; private pensions, government employee pensions (including military retirement pay), and regular insurance or annuity payments; college or university scholarships, grants, fellowships, and assistantships; and dividends, interest, net rental income, net royalties, and periodic receipts from estates or trusts; and net gambling or lottery winnings.</t>
  </si>
  <si>
    <t>Early Learning -&gt; EL Family -&gt; Family/Household Information</t>
  </si>
  <si>
    <t>Added usage note.</t>
  </si>
  <si>
    <t>Family Income is calculated based on the method specified by “Income Calculation Method.”</t>
  </si>
  <si>
    <t>000332</t>
  </si>
  <si>
    <t>FamilyIncome</t>
  </si>
  <si>
    <t>Father's or Paternal Guardian Education</t>
  </si>
  <si>
    <t>The highest level of education attained by a person's father or paternal guardian</t>
  </si>
  <si>
    <t>001230</t>
  </si>
  <si>
    <t>FathersOrPaternalGuardianEducation</t>
  </si>
  <si>
    <t>Federal Program Code</t>
  </si>
  <si>
    <t>The unique five-digit number assigned to each federal program as listed in the Catalog of Federal Domestic Assistance (CFDA) Programs. See http://www.cfda.gov/.</t>
  </si>
  <si>
    <t>000547</t>
  </si>
  <si>
    <t>FederalProgramCode</t>
  </si>
  <si>
    <t>Federal Programs Funding Allocation</t>
  </si>
  <si>
    <t>The amount of federal dollars distributed to local education agencies (LEAs), retained by the state education agency (SEA) for program administration or other approved state-level activities (including unallocated, transferred to another state agency, or distributed to entities other than LEAs).</t>
  </si>
  <si>
    <t>000549</t>
  </si>
  <si>
    <t>FederalProgramsFundingAllocation</t>
  </si>
  <si>
    <t>Federal Programs Funding Allocation Type</t>
  </si>
  <si>
    <t>The type of federal program funding allocation or distribution made.</t>
  </si>
  <si>
    <t>000548</t>
  </si>
  <si>
    <t>FederalProgramsFundingAllocationType</t>
  </si>
  <si>
    <t>Federal School Code</t>
  </si>
  <si>
    <t>A unique code assigned by the U.S. Department of Education to schools participating in the Title IV Federal Student Aid programs. Persons enter these codes in the Free Application for Federal Student Aid (FAFSA) to indicate which postsecondary schools they want to receive their financial aid application results.</t>
  </si>
  <si>
    <t>See http://www.ifap.ed.gov/fedschcodelist/attachments/1112FedSchoolCodeList.xls</t>
  </si>
  <si>
    <t>000111</t>
  </si>
  <si>
    <t>FederalSchoolCode</t>
  </si>
  <si>
    <t>Financial Account Category</t>
  </si>
  <si>
    <t>A label for a grouping of financial accounts, based on type and purpose.</t>
  </si>
  <si>
    <t>001345</t>
  </si>
  <si>
    <t>FinancialAccountCategory</t>
  </si>
  <si>
    <t>Financial Account Description</t>
  </si>
  <si>
    <t>The description for the financial account in an educational institution’s accounting system.</t>
  </si>
  <si>
    <t>001346</t>
  </si>
  <si>
    <t>FinancialAccountDescription</t>
  </si>
  <si>
    <t>Financial Account Fund Classification</t>
  </si>
  <si>
    <t>A separate fiscal and accounting entity with a self-balancing set of accounts recording cash and other financial resources, together with all related liabilities and residual equities or balances, or changes therein.</t>
  </si>
  <si>
    <t>See the NCES Handbook "Financial Accounting for Local and State School Systems: 2009 Edition" for implementation guidelines and complete code descriptions for the budgeting, accounting, and financial reporting processes. The option set for this element is from the codes presented in chapter 6 of that document.</t>
  </si>
  <si>
    <t>001347</t>
  </si>
  <si>
    <t>FinancialAccountFundClassification</t>
  </si>
  <si>
    <t>Financial Account Name</t>
  </si>
  <si>
    <t>The name given to the financial account in an educational institution’s accounting system.</t>
  </si>
  <si>
    <t>001348</t>
  </si>
  <si>
    <t>FinancialAccountName</t>
  </si>
  <si>
    <t>Financial Account Program Code</t>
  </si>
  <si>
    <t>The code associated with the program category used for financial accounting -- a plan of activities and procedures designed to accomplish a predetermined objective or set of objectives.</t>
  </si>
  <si>
    <t>001349</t>
  </si>
  <si>
    <t>FinancialAccountProgramCode</t>
  </si>
  <si>
    <t>Financial Accounting Period Actual Value</t>
  </si>
  <si>
    <t>The actual value of a financial account for the specified accounting period or academic session.</t>
  </si>
  <si>
    <t>001350</t>
  </si>
  <si>
    <t>FinancialAccountingPeriodActualValue</t>
  </si>
  <si>
    <t>Financial Accounting Period Budgeted Value</t>
  </si>
  <si>
    <t>The budgeted value of a financial account for the specified accounting period or academic session.</t>
  </si>
  <si>
    <t>001351</t>
  </si>
  <si>
    <t>FinancialAccountingPeriodBudgetedValue</t>
  </si>
  <si>
    <t>Financial Aid Applicant</t>
  </si>
  <si>
    <t>Any applicant who submits any one of the institutionally required financial aid applications/forms, such as the Free Application for Federal Student Aid (FAFSA).</t>
  </si>
  <si>
    <t>Postsecondary -&gt; PS Student -&gt; Financial Aid</t>
  </si>
  <si>
    <t>Common Data Set definition.</t>
  </si>
  <si>
    <t>Element should be used in combination with Financial Aid Applicant Type.</t>
  </si>
  <si>
    <t>000763</t>
  </si>
  <si>
    <t>FinancialAidApplicant</t>
  </si>
  <si>
    <t>Financial Aid Application Type</t>
  </si>
  <si>
    <t>The type of financial application completed by an individual.</t>
  </si>
  <si>
    <t>Common Data Set definition. This element may be repeated multiple times.</t>
  </si>
  <si>
    <t>001223</t>
  </si>
  <si>
    <t>FinancialAidApplicationType</t>
  </si>
  <si>
    <t>Financial Aid Award Amount</t>
  </si>
  <si>
    <t>The amount of financial aid awarded to a person for the term/year.</t>
  </si>
  <si>
    <t>Linked to financial aid award type. Note: For any given individual this cluster of fields may be repeated multiple times.</t>
  </si>
  <si>
    <t>000112</t>
  </si>
  <si>
    <t>FinancialAidAwardAmount</t>
  </si>
  <si>
    <t>Financial Aid Award Status</t>
  </si>
  <si>
    <t>An indication of whether the financial aid type being reported is aid that has been awarded, accepted or dispersed.</t>
  </si>
  <si>
    <t>Linked to financial aid type, financial aid amount. Note: For any given individual this field may be repeated multiple times.</t>
  </si>
  <si>
    <t>000363</t>
  </si>
  <si>
    <t>FinancialAidAwardStatus</t>
  </si>
  <si>
    <t>Financial Aid Award Type</t>
  </si>
  <si>
    <t>The classification of financial aid awarded to a person for the academic term/year.</t>
  </si>
  <si>
    <t>Linked to financial aid type. Note: For any given individual this cluster of fields may be repeated multiple times.</t>
  </si>
  <si>
    <t>000113</t>
  </si>
  <si>
    <t>FinancialAidAwardType</t>
  </si>
  <si>
    <t>Financial Aid Income Level</t>
  </si>
  <si>
    <t>The income level of an individual that is used by an institution's financial aid office to determine an individual's Expected Family Contribution (EFC). For dependent students this will include the parents' adjusted gross income and the student's adjusted gross income. For independent students this will include the student's adjusted gross income.</t>
  </si>
  <si>
    <t>001352</t>
  </si>
  <si>
    <t>FinancialAidIncomeLevel</t>
  </si>
  <si>
    <t>Financial Balance Sheet Account Code</t>
  </si>
  <si>
    <t>Balance sheet accounts and statement of net asset accounts are used to track financial transactions for each fund. Such financial statements report assets, liabilities, and equity accounts only and are considered "snapshots" of how these accounts stand as of a certain point in time. Based on codes specified in the NCES Handbook "Financial Accounting for Local and State School Systems: 2009 Edition."</t>
  </si>
  <si>
    <t>See the NCES Handbook "Financial Accounting for Local and State School Systems:2009 Edition" for implementation guidelines and complete code descriptions for the budgeting, accounting, and financial reporting processes. The data items in both the National Public Education Financial Survey (NPEFS) and the School District Finance Survey (F-33) are based on the account codes presented in that handbook, and adopted by CEDS. Each item on the survey forms is defined through reference to the account codes presented in chapter 6.3 of the Handbook and in this CEDS element.</t>
  </si>
  <si>
    <t>001353</t>
  </si>
  <si>
    <t>FinancialBalanceSheetAccountCode</t>
  </si>
  <si>
    <t>Financial Expenditure Function Code</t>
  </si>
  <si>
    <t>The function describes the activity for which a service or material object is acquired. The functions of a school district are classified into five broad areas: instruction, support services, operation of non-instructional services, facilities acquisition and construction, and debt service. Functions are further classified into sub functions.</t>
  </si>
  <si>
    <t>001354</t>
  </si>
  <si>
    <t>FinancialExpenditureFunctionCode</t>
  </si>
  <si>
    <t>Financial Expenditure Object Code</t>
  </si>
  <si>
    <t>This classification is used to describe the service or commodity obtained as the result of a specific expenditure.</t>
  </si>
  <si>
    <t>See the NCES Handbook "Financial Accounting for Local and State School Systems: 2009 Edition" for implementation guidelines and complete code descriptions for the budgeting, accounting, and financial reporting processes. The data items in both the National Public Education Financial Survey (NPEFS) and the School District Finance Survey (F-33) are based on the account codes presented in that handbook, and adopted by CEDS. Each item on the survey forms is defined through reference to the account codes presented in chapter 6.3 of the Handbook and in this CEDS element.</t>
  </si>
  <si>
    <t>001355</t>
  </si>
  <si>
    <t>FinancialExpenditureObjectCode</t>
  </si>
  <si>
    <t>Financial Need</t>
  </si>
  <si>
    <t>The amount of financial need as determined by an institution using the federal methodology and/or your institution's own standards.</t>
  </si>
  <si>
    <t>Common Data Set definition</t>
  </si>
  <si>
    <t>000765</t>
  </si>
  <si>
    <t>FinancialNeed</t>
  </si>
  <si>
    <t>Financial Need Determination Methodology</t>
  </si>
  <si>
    <t>The methodology used to determine an individual's financial need.</t>
  </si>
  <si>
    <t>Element should be used in combination with Financial Need.</t>
  </si>
  <si>
    <t>001224</t>
  </si>
  <si>
    <t>FinancialNeedDeterminationMethodology</t>
  </si>
  <si>
    <t>Financial Revenue Account Code</t>
  </si>
  <si>
    <t>Codes are for recording revenue and other receivables by source. Based on codes specified in the NCES Handbook "Financial Accounting for Local and State School Systems: 2009 Edition"</t>
  </si>
  <si>
    <t>001468</t>
  </si>
  <si>
    <t>FinancialRevenueAccountCode</t>
  </si>
  <si>
    <t>Firearm Type</t>
  </si>
  <si>
    <t>The type of firearm.</t>
  </si>
  <si>
    <t>K12 -&gt; Incident</t>
  </si>
  <si>
    <t>000557</t>
  </si>
  <si>
    <t>FirearmType</t>
  </si>
  <si>
    <t>First Aid Certification Expiration Date</t>
  </si>
  <si>
    <t>The date an individual's first aid training certification expires.</t>
  </si>
  <si>
    <t>001060</t>
  </si>
  <si>
    <t>FirstAidCertificationExpirationDate</t>
  </si>
  <si>
    <t>First Entry Date into a US School</t>
  </si>
  <si>
    <t>The year, month and day of a person's initial enrollment into a United States school.</t>
  </si>
  <si>
    <t>K12 -&gt; K12 Student -&gt; Immigrant</t>
  </si>
  <si>
    <t>000529</t>
  </si>
  <si>
    <t>FirstEntryDateIntoUSSchool</t>
  </si>
  <si>
    <t>First Instruction Date</t>
  </si>
  <si>
    <t>The year, month and day of the first day of student instruction for the school year.</t>
  </si>
  <si>
    <t>000497</t>
  </si>
  <si>
    <t>FirstInstructionDate</t>
  </si>
  <si>
    <t>First Name</t>
  </si>
  <si>
    <t>The full legal first name given to a person at birth, baptism, or through legal change.</t>
  </si>
  <si>
    <t>Workforce Note: To collect data on workforce program participation, a data match will have to be negotiated between state agencies. The data match makes use of name, social security number, gender and ethnicity data.</t>
  </si>
  <si>
    <t>000115</t>
  </si>
  <si>
    <t>FirstName</t>
  </si>
  <si>
    <t>First Time Postsecondary Student</t>
  </si>
  <si>
    <t>A person who has no prior postsecondary experience attending any institution for the first time at the undergraduate level since completing high school (or its equivalent). This includes persons enrolled in academic or occupational programs. It also includes persons enrolled in the fall term who attended college for the first time in the prior summer term, and persons who entered with advanced standing (college credits earned before graduation from high school).</t>
  </si>
  <si>
    <t>000117</t>
  </si>
  <si>
    <t>FirstTimePostsecondaryStudent</t>
  </si>
  <si>
    <t>Foster Care End Date</t>
  </si>
  <si>
    <t>The date a child or youth exited foster care.</t>
  </si>
  <si>
    <t>Early Learning -&gt; EL Child -&gt; Demographic</t>
  </si>
  <si>
    <t>001522</t>
  </si>
  <si>
    <t>FosterCareEndDate</t>
  </si>
  <si>
    <t>Foster Care Start Date</t>
  </si>
  <si>
    <t>The date a child or youth entered into foster care.</t>
  </si>
  <si>
    <t>001523</t>
  </si>
  <si>
    <t>FosterCareStartDate</t>
  </si>
  <si>
    <t>Foster Care Status</t>
  </si>
  <si>
    <t>An indication that the child is in foster care.</t>
  </si>
  <si>
    <t>001082</t>
  </si>
  <si>
    <t>FosterCareStatus</t>
  </si>
  <si>
    <t>Fraternity Participation Status</t>
  </si>
  <si>
    <t>Student is in membership of a chiefly social organization of men students at a college or university, usually designated by Greek letters.</t>
  </si>
  <si>
    <t>000761</t>
  </si>
  <si>
    <t>FraternityParticipationStatus</t>
  </si>
  <si>
    <t>Frequency of Service</t>
  </si>
  <si>
    <t>The frequency at which a service is planned to occur.</t>
  </si>
  <si>
    <t>Early Learning -&gt; EL Child -&gt; Services</t>
  </si>
  <si>
    <t>001356</t>
  </si>
  <si>
    <t>FrequencyOfService</t>
  </si>
  <si>
    <t>Full Year Expulsion</t>
  </si>
  <si>
    <t>An expulsion with or without services for a period of one full year (i.e., 365 days).</t>
  </si>
  <si>
    <t>000513</t>
  </si>
  <si>
    <t>FullYearExpulsion</t>
  </si>
  <si>
    <t>Full-Time Employee Benefits</t>
  </si>
  <si>
    <t>The benefits offered by a program/facility/employer for full-time staff.</t>
  </si>
  <si>
    <t>000866</t>
  </si>
  <si>
    <t>FullTimeEmployeeBenefits</t>
  </si>
  <si>
    <t>Full-time Status</t>
  </si>
  <si>
    <t>An indication of whether an individual is employed for a standard number of hours (as determined by civil or organizational policies) in a week, month, or other period of time.</t>
  </si>
  <si>
    <t>Postsecondary: The type of appointment at the snapshot date determines whether an employee is full-time or part-time. The employee's term of contract is not considered in making the determination of full or part-time. Causal employees (hired on an ad-hoc basis or occasional basis to meet short-term needs) and students in the College Work-Study Program (CWS) are not considered part-time staff.</t>
  </si>
  <si>
    <t>000736</t>
  </si>
  <si>
    <t>FullTimeStatus</t>
  </si>
  <si>
    <t>Funds Transfer Amount</t>
  </si>
  <si>
    <t>The total amount of FY appropriated funds transferred from and to each eligible program.</t>
  </si>
  <si>
    <t>K12 -&gt; LEA -&gt; Federal Funds</t>
  </si>
  <si>
    <t>000452</t>
  </si>
  <si>
    <t>FundsTransferAmount</t>
  </si>
  <si>
    <t>GED Preparation Program Participation Status</t>
  </si>
  <si>
    <t>An indication that a student aged 16-19 participates in a General Educational Development (GED) preparation program.</t>
  </si>
  <si>
    <t>000120</t>
  </si>
  <si>
    <t>GEDPreparationProgramParticipationStatus</t>
  </si>
  <si>
    <t>Generation Code or Suffix</t>
  </si>
  <si>
    <t>An appendage, if any, used to denote a person's generation in his family (e.g., Jr., Sr., III).</t>
  </si>
  <si>
    <t>000121</t>
  </si>
  <si>
    <t>GenerationCodeOrSuffix</t>
  </si>
  <si>
    <t>Gifted and Talented Indicator</t>
  </si>
  <si>
    <t>An indication that the student is participating in and served by a Gifted/Talented program.</t>
  </si>
  <si>
    <t>Changed name from Gifted and Talented.</t>
  </si>
  <si>
    <t>000122</t>
  </si>
  <si>
    <t>GiftedAndTalentedIndicator</t>
  </si>
  <si>
    <t>Goals for Attending Adult Education</t>
  </si>
  <si>
    <t>A person's reasons for attending an adult education class or program.</t>
  </si>
  <si>
    <t>001079</t>
  </si>
  <si>
    <t>GoalsForAttendingAdultEducation</t>
  </si>
  <si>
    <t>Grade Earned</t>
  </si>
  <si>
    <t>A final indicator of student performance in a class as submitted by the instructor.</t>
  </si>
  <si>
    <t>Alphanumeric - 15 characters maximum</t>
  </si>
  <si>
    <t>000124</t>
  </si>
  <si>
    <t>GradeEarned</t>
  </si>
  <si>
    <t>Grade Level When Assessed</t>
  </si>
  <si>
    <t>The grade or developmental level of a student when assessed.</t>
  </si>
  <si>
    <t>000126</t>
  </si>
  <si>
    <t>GradeLevelWhenAssessed</t>
  </si>
  <si>
    <t>Grade Level When Course Taken</t>
  </si>
  <si>
    <t>Student's grade level at time of course.</t>
  </si>
  <si>
    <t>000125</t>
  </si>
  <si>
    <t>GradeLevelWhenCourseTaken</t>
  </si>
  <si>
    <t>Grade Point Average</t>
  </si>
  <si>
    <t>The value of the total quality points divided by the Credit Hours for Grade Point Average.</t>
  </si>
  <si>
    <t>Numeric - up to 4 digits after decimal place</t>
  </si>
  <si>
    <t>000127</t>
  </si>
  <si>
    <t>GradePointAverage</t>
  </si>
  <si>
    <t>Grade Point Average Cumulative</t>
  </si>
  <si>
    <t>A measure of average performance in all courses taken by a person during his or her school career as determined for record-keeping purposes. This is obtained by dividing the total grade points received by the total number of credits attempted. This usually includes grade points received and credits attempted in his or her current school as well as those transferred from schools in which the person was previously enrolled.</t>
  </si>
  <si>
    <t>Related Connection; linked to Grade Point Average Weighted Indicator, High School Percentile, High School Rank, and Size of High School Graduating Class</t>
  </si>
  <si>
    <t>000128</t>
  </si>
  <si>
    <t>GPA - Cumulative</t>
  </si>
  <si>
    <t>GPACumulative</t>
  </si>
  <si>
    <t>Grade Point Average Domain</t>
  </si>
  <si>
    <t>The domain to which the Grade Point Average is referencing.</t>
  </si>
  <si>
    <t>Used to indicate to which academic domain a grade point element is referencing</t>
  </si>
  <si>
    <t>000758</t>
  </si>
  <si>
    <t>GPA Domain</t>
  </si>
  <si>
    <t>GradePointAverageDomain</t>
  </si>
  <si>
    <t>Grade Point Average Given Session</t>
  </si>
  <si>
    <t>A measure of average performance in all courses taken by a person during a given session. This is obtained by dividing the total grade points received by the number of credits attempted for the same session.</t>
  </si>
  <si>
    <t>000129</t>
  </si>
  <si>
    <t>GPA - Given Session</t>
  </si>
  <si>
    <t>GPAGivenSession</t>
  </si>
  <si>
    <t>Grade Point Average Weighted Indicator</t>
  </si>
  <si>
    <t>An indication of whether the reported GPA is weighted or unweighted.</t>
  </si>
  <si>
    <t>000123</t>
  </si>
  <si>
    <t>GPA Weighted Indicator</t>
  </si>
  <si>
    <t>GPAWeightedIndicator</t>
  </si>
  <si>
    <t>Grade Points Earned Cumulative</t>
  </si>
  <si>
    <t>The cumulative number of grade points a person earns by successfully completing courses or examinations during his or her enrollment in the current school as well as those transferred from schools in which the person had been previously enrolled.</t>
  </si>
  <si>
    <t>000130</t>
  </si>
  <si>
    <t>GradePointsEarnedCumulative</t>
  </si>
  <si>
    <t>Grade Value Qualifier</t>
  </si>
  <si>
    <t>The scale of equivalents, if applicable, for grades awarded as indicators of performance in schoolwork. For example, numerical equivalents for letter grades used in determining a student's Grade Point Average (A=4, B=3, C=2, D=1 in a four-point system) or letter equivalents for percentage grades (90-100%=A, 80-90%=B, etc.)</t>
  </si>
  <si>
    <t>A list of "Academic Grade Qualifiers" is available from the Association of American Medical Colleges, 2450 N St., N.W., Washington, DC 20037</t>
  </si>
  <si>
    <t>000616</t>
  </si>
  <si>
    <t>GradeValueQualifier</t>
  </si>
  <si>
    <t>Grades Offered</t>
  </si>
  <si>
    <t>The specific grade or combination of grades offered by an education institution.</t>
  </si>
  <si>
    <t>000131</t>
  </si>
  <si>
    <t>GradesOffered</t>
  </si>
  <si>
    <t>Graduate Assistant IPEDS Occupation Category</t>
  </si>
  <si>
    <t>The Integrated Postsecondary Education Data System (IPEDS) occupational categories used to report graduate assistants.</t>
  </si>
  <si>
    <t>000743</t>
  </si>
  <si>
    <t>GraduateAssistantIPEDSOccupationCategory</t>
  </si>
  <si>
    <t>Graduate Assistant Status</t>
  </si>
  <si>
    <t>Graduate-level students employed on a part-time basis, not limited to, but often employed for the primary purpose of assisting in classroom or laboratory instruction or in the conduct of research. Graduate students having titles such as graduate assistant, teaching assistant, teaching associate, teaching fellow, or research assistant typically hold these positions.</t>
  </si>
  <si>
    <t>000742</t>
  </si>
  <si>
    <t>GraduateAssistantStatus</t>
  </si>
  <si>
    <t>Graduate or Doctoral Exam Results Status</t>
  </si>
  <si>
    <t>The individual's status in completing exams required for graduate or doctoral degree programs.</t>
  </si>
  <si>
    <t>001357</t>
  </si>
  <si>
    <t>GraduateOrDoctoralExamResultsStatus</t>
  </si>
  <si>
    <t>Graduation Rate Survey Cohort Year</t>
  </si>
  <si>
    <t>The academic year in which a student entered as part of the GRS cohort.</t>
  </si>
  <si>
    <t>000132</t>
  </si>
  <si>
    <t>GraduationRateSurveyCohortYear</t>
  </si>
  <si>
    <t>Graduation Rate Survey Indicator</t>
  </si>
  <si>
    <t>An indication of whether or not the student is in a GRS cohort; meaning the student began as a first-time, full-time, degree seeking student in the fall of a given year.</t>
  </si>
  <si>
    <t>K-12 -&gt; High School Feedback Report</t>
  </si>
  <si>
    <t>000133</t>
  </si>
  <si>
    <t>GraduationRateSurveyIndicator</t>
  </si>
  <si>
    <t>Gun Free Schools Act Reporting Status</t>
  </si>
  <si>
    <t>An indication of whether the school or local education agency (LEA) submitted a Gun-Free Schools Act (GFSA) of 1994 report to the state, as defined by Title 18, Section 921.</t>
  </si>
  <si>
    <t>000134</t>
  </si>
  <si>
    <t>GunFreeSchoolsActReportingStatus</t>
  </si>
  <si>
    <t>Harassment or Bullying Policy Status</t>
  </si>
  <si>
    <t>An indication of whether the education unit has adopted written policy prohibiting harassment and bullying on the basis of a civil rights law.</t>
  </si>
  <si>
    <t>000135</t>
  </si>
  <si>
    <t>HarassmentOrBullyingPolicyStatus</t>
  </si>
  <si>
    <t>Health Screening Equipment Used</t>
  </si>
  <si>
    <t>The screening equipment used for the hearing screening or the method used for the vision screening</t>
  </si>
  <si>
    <t>Early Learning -&gt; EL Child -&gt; EL Health Information</t>
  </si>
  <si>
    <t>001358</t>
  </si>
  <si>
    <t>HealthScreeningEquipmentUsed</t>
  </si>
  <si>
    <t>Health Screening Follow-up Recommendation</t>
  </si>
  <si>
    <t>Recommended frequency for screener or for specific child- add something to assessment design or administration</t>
  </si>
  <si>
    <t>001359</t>
  </si>
  <si>
    <t>HealthScreeningFollowUpRecommendation</t>
  </si>
  <si>
    <t>Hearing Screening Date</t>
  </si>
  <si>
    <t>The year, month and day of a hearing screening.</t>
  </si>
  <si>
    <t>000705</t>
  </si>
  <si>
    <t>HearingScreeningDate</t>
  </si>
  <si>
    <t>Hearing Screening Status</t>
  </si>
  <si>
    <t>Status of an examination used to measure a person's ability to perceive sounds.</t>
  </si>
  <si>
    <t>000309</t>
  </si>
  <si>
    <t>HearingScreeningStatus</t>
  </si>
  <si>
    <t>High School Course Requirement</t>
  </si>
  <si>
    <t>An indication that this course credit is required for a high school diploma.</t>
  </si>
  <si>
    <t>000137</t>
  </si>
  <si>
    <t>HighSchoolCourseRequirement</t>
  </si>
  <si>
    <t>High School Diploma Distinction Type</t>
  </si>
  <si>
    <t>The distinction of the diploma or credential that is awarded to a student in recognition of their completion of the curricular requirements.</t>
  </si>
  <si>
    <t>000713</t>
  </si>
  <si>
    <t>HighSchoolDiplomaDistinctionType</t>
  </si>
  <si>
    <t>High School Diploma Type</t>
  </si>
  <si>
    <t>The type of diploma/credential that is awarded to a person in recognition of his/her completion of the curricular requirements.</t>
  </si>
  <si>
    <t>000138</t>
  </si>
  <si>
    <t>HighSchoolDiplomaType</t>
  </si>
  <si>
    <t>High School Graduation Rate Indicator Status</t>
  </si>
  <si>
    <t>An indication of whether the school or district met the High School Graduation Rate requirement in accordance with state definition for the purposes of determining AYP.</t>
  </si>
  <si>
    <t>000140</t>
  </si>
  <si>
    <t>HighSchoolGraduationRateIndicatorStatus</t>
  </si>
  <si>
    <t>High School Percentile</t>
  </si>
  <si>
    <t>The High School Rank divided by the Size of High School Graduating Class expressed as a percentage.</t>
  </si>
  <si>
    <t>Related Connection; linked to High School Grade Point Average Cumulative, Grade Point Average Weighted Indicator, High School Rank, and Size of High School Graduating Class 0% to 99% (where 99% corresponds to the valedictorian, 0% to the bottom rank in the class)</t>
  </si>
  <si>
    <t>000759</t>
  </si>
  <si>
    <t>HighSchoolPercentile</t>
  </si>
  <si>
    <t>High School Student Class Rank</t>
  </si>
  <si>
    <t>The academic rank of a student in relation to his or her high school graduating class (e.g., 1, 2, 3) based on high school GPA.</t>
  </si>
  <si>
    <t>000041</t>
  </si>
  <si>
    <t>HighSchoolStudentClassRank</t>
  </si>
  <si>
    <t>Higher Education Institution Accreditation Status</t>
  </si>
  <si>
    <t>An indication of the accreditation status of a higher education institution.</t>
  </si>
  <si>
    <t>000818</t>
  </si>
  <si>
    <t>HigherEducationInstitutionAccredidationStatus</t>
  </si>
  <si>
    <t>Highest Level of Education Completed</t>
  </si>
  <si>
    <t>The extent of formal instruction a person has received (e.g., the highest grade in school completed or its equivalent or the highest degree received).</t>
  </si>
  <si>
    <t>Option set updated</t>
  </si>
  <si>
    <t>000141</t>
  </si>
  <si>
    <t>HighestLevelOfEducationCompleted</t>
  </si>
  <si>
    <t>Highly Qualified Teacher Indicator</t>
  </si>
  <si>
    <t>An indication that the teacher has been classified as highly qualified based on assignment.</t>
  </si>
  <si>
    <t>K12 -&gt; K12 Staff -&gt; Credential</t>
  </si>
  <si>
    <t>000142</t>
  </si>
  <si>
    <t>HighlyQualifiedTeacherIndicator</t>
  </si>
  <si>
    <t>Hire Date</t>
  </si>
  <si>
    <t>The year, month and day on which a person was hired for a position, or consecutive positions within the same organization and job classification.</t>
  </si>
  <si>
    <t>This is the Hire Date beginning consecutive employment with the current employer in the same Professional-Educational Job Classification. A person may change positions within the same organization and job classification without triggering a new hire date. For example a teacher originally hire to teach 3rd grade may be reassigned to 4th grade. However, a change of job classifications, e.g. from teacher to principal, would trigger a new Hire Date.</t>
  </si>
  <si>
    <t>000143</t>
  </si>
  <si>
    <t>HireDate</t>
  </si>
  <si>
    <t>Hispanic or Latino Ethnicity</t>
  </si>
  <si>
    <t>An indication that the person traces his or her origin or descent to Mexico, Puerto Rico, Cuba, Central and South America, and other Spanish cultures, regardless of race.</t>
  </si>
  <si>
    <t>000144</t>
  </si>
  <si>
    <t>HispanicOrLatinoEthnicity</t>
  </si>
  <si>
    <t>Homeless Primary Nighttime Residence</t>
  </si>
  <si>
    <t>The primary nighttime residence of the students at the time the students are identified as homeless.</t>
  </si>
  <si>
    <t>K12 -&gt; K12 Student -&gt; Homeless</t>
  </si>
  <si>
    <t>000146</t>
  </si>
  <si>
    <t>HomelessPrimaryNighttimeResidence</t>
  </si>
  <si>
    <t>Homeless Serviced Indicator</t>
  </si>
  <si>
    <t>An indication of whether homeless children and youth were served by a McKinney-Vento program in the state.</t>
  </si>
  <si>
    <t>000147</t>
  </si>
  <si>
    <t>HomelessServicedIndicator</t>
  </si>
  <si>
    <t>Homeless Unaccompanied Youth Status</t>
  </si>
  <si>
    <t>An indication that homeless youths were unaccompanied by parents or legal guardians.</t>
  </si>
  <si>
    <t>000148</t>
  </si>
  <si>
    <t>HomelessUnaccompaniedYouthStatus</t>
  </si>
  <si>
    <t>Homelessness Status</t>
  </si>
  <si>
    <t>Children and youth who lack a fixed, regular, and adequate nighttime residence. Homeless children and youth include: 1) children and youth who are sharing the housing of other persons due to loss of housing, economic hardship, or a similar reason; are living in motels, hotels, trailer parks, or camping grounds due to the lack of alternative adequate accommodations; are living in emergency or transitional shelters; are abandoned in hospitals; or are awaiting foster care placement; 2) children and youth who have a primary nighttime residence that is a public or private place not designed for or originally used as a regular sleeping accommodation for human beings; or 3) children and youths who are living in cars, parks, public spaces, abandoned buildings, substandard housing, bus or train stations, or similar settings. 4) migratory children who qualify as homeless because the children are living in circumstances described in the above. (See Section 103 of the McKinney Act for a more detailed description of this data element).</t>
  </si>
  <si>
    <t>000149</t>
  </si>
  <si>
    <t>HomelessnessStatus</t>
  </si>
  <si>
    <t>Honors Description</t>
  </si>
  <si>
    <t>A description of the type of academic distinctions earned by or awarded to the person.</t>
  </si>
  <si>
    <t>000150</t>
  </si>
  <si>
    <t>HonorsDescription</t>
  </si>
  <si>
    <t>Hourly Wage</t>
  </si>
  <si>
    <t>Hourly wage associated with the employment position being reported.</t>
  </si>
  <si>
    <t>Early Learning -&gt; EL Staff -&gt; Employment</t>
  </si>
  <si>
    <t>000797</t>
  </si>
  <si>
    <t>HourlyWage</t>
  </si>
  <si>
    <t>Hours Available Per Day</t>
  </si>
  <si>
    <t>The number of hours per day the site or classroom is open for children to attend.</t>
  </si>
  <si>
    <t>000354</t>
  </si>
  <si>
    <t>HoursAvailablePerDay</t>
  </si>
  <si>
    <t>Hours Worked Per Week</t>
  </si>
  <si>
    <t>The number of hours worked per week in employment.</t>
  </si>
  <si>
    <t>000796</t>
  </si>
  <si>
    <t>HoursWorkedPerWeek</t>
  </si>
  <si>
    <t>IDEA Discipline Method for Firearms Incidents</t>
  </si>
  <si>
    <t>The methods used to discipline students who are children with disabilities (IDEA) involved in firearms and other outcomes of firearms incidents.</t>
  </si>
  <si>
    <t>000556</t>
  </si>
  <si>
    <t>IDEADisciplineMethodForFirearmsIncidents</t>
  </si>
  <si>
    <t>IDEA Educational Environment for Early Childhood</t>
  </si>
  <si>
    <t>The program in which children ages 3 through 5 attend and in which these children receive special education and related services.</t>
  </si>
  <si>
    <t>000559</t>
  </si>
  <si>
    <t>IDEAEducationalEnvironmentForEarlyChildhood</t>
  </si>
  <si>
    <t>IDEA Educational Environment for School Age</t>
  </si>
  <si>
    <t>The setting in which children ages 6 through 21, receive special education and related services.</t>
  </si>
  <si>
    <t>000535</t>
  </si>
  <si>
    <t>IDEAEducationalEnvironmentForSchoolAge</t>
  </si>
  <si>
    <t>IDEA IEP Status</t>
  </si>
  <si>
    <t>The status of an individualized services plan for a specified reporting period or on a specified date.</t>
  </si>
  <si>
    <t>Early Learning -&gt; EL Child -&gt; IDEA</t>
  </si>
  <si>
    <t>001501</t>
  </si>
  <si>
    <t>IDEAIEPStatus</t>
  </si>
  <si>
    <t>IDEA Indicator</t>
  </si>
  <si>
    <t>A person having intellectual disability; hearing impairment, including deafness; speech or language impairment; visual impairment, including blindness; serious emotional disturbance (hereafter referred to as emotional disturbance); orthopedic impairment; autism; traumatic brain injury; developmental delay; other health impairment; specific learning disability; deaf-blindness; or multiple disabilities and who, by reason thereof, receive special education and related services under the Individuals with Disabilities Education Act (IDEA) according to an Individualized Education Program (IEP), Individual Family Service Plan (IFSP), or service plan.</t>
  </si>
  <si>
    <t>000151</t>
  </si>
  <si>
    <t>IDEAIndicator</t>
  </si>
  <si>
    <t>IDEA Interim Removal</t>
  </si>
  <si>
    <t>The type of interim removal from current educational setting experienced by children with disabilities (IDEA).</t>
  </si>
  <si>
    <t>000541</t>
  </si>
  <si>
    <t>IDEAInterimRemoval</t>
  </si>
  <si>
    <t>IDEA Interim Removal Reason</t>
  </si>
  <si>
    <t>The reasons why children with disabilities were unilaterally removed from their current educational placement to an interim alternative educational setting.</t>
  </si>
  <si>
    <t>000539</t>
  </si>
  <si>
    <t>IDEAInterimRemovalReason</t>
  </si>
  <si>
    <t>IDEA Part B 619 Potential Eligibility Indicator</t>
  </si>
  <si>
    <t>The determination of whether a child is potentially eligible for Part B 619 services</t>
  </si>
  <si>
    <t>001360</t>
  </si>
  <si>
    <t>IDEAPartB619PotentialEligibilityIndicator</t>
  </si>
  <si>
    <t>IDEA Part C to B Sharing Notification Date</t>
  </si>
  <si>
    <t>The date that notification is provided to the LEA and SEA of an eligible child with an  Individual Family Service Plan (IFSP) of the impending notification to the local education agency. </t>
  </si>
  <si>
    <t>001500</t>
  </si>
  <si>
    <t>IDEAPartCToBSharingNotificationDate</t>
  </si>
  <si>
    <t>IDEA Part C to Part B Date of Transition Conference</t>
  </si>
  <si>
    <t>The date of the transition conference from Part C to Part B 619.</t>
  </si>
  <si>
    <t>001365</t>
  </si>
  <si>
    <t>IDEAPartCToPartBDateOfTransitionConference</t>
  </si>
  <si>
    <t>IDEA Part C to Part B Date of Transition Conference Decline</t>
  </si>
  <si>
    <t>The date the parents declined approval for the transition conference from Part C to Part B 619.</t>
  </si>
  <si>
    <t>001366</t>
  </si>
  <si>
    <t>IDEAPartCToPartBDateOfTransitionConferenceDecline</t>
  </si>
  <si>
    <t>IDEA Part C to Part B Date of Transition Plan Steps or Services</t>
  </si>
  <si>
    <t>The date transition steps and services were added to the Individual Family Service Plan (IFSP).</t>
  </si>
  <si>
    <t>001367</t>
  </si>
  <si>
    <t>IDEAPartCToPartBDateOfTransitionPlanStepsOrServices</t>
  </si>
  <si>
    <t>IDEA Part C to Part B Parent Notification Opt Out Date</t>
  </si>
  <si>
    <t>The date that parents of an eligible child with an Individual Family Service Plan (IFSP) opt out of the impending notification to the local education agency for support of a child's transition from IDEA Part C to IDEA Part B.</t>
  </si>
  <si>
    <t>001364</t>
  </si>
  <si>
    <t>IDEAPartCToPartBParentNotificationOptOutDate</t>
  </si>
  <si>
    <t>IDEA Part C to Part B Parent Notification Opt Out Indicator</t>
  </si>
  <si>
    <t>Indicates that parents of an eligible child with an Individual Family Service Plan (IFSP) have opted out of the impending notification to the local education agency for support of a child's transition from IDEA Part C to IDEA Part B.</t>
  </si>
  <si>
    <t>001363</t>
  </si>
  <si>
    <t>IDEAPartCToPartBParentNotificationOptOutIndicator</t>
  </si>
  <si>
    <t>Identification System for Assessment Form Section</t>
  </si>
  <si>
    <t>A coding scheme that is used for identification of an Assessment Form Section.</t>
  </si>
  <si>
    <t>001190</t>
  </si>
  <si>
    <t>IdentificationSystemForAssessmentFormSection</t>
  </si>
  <si>
    <t>Immunization Date</t>
  </si>
  <si>
    <t>The year, month and day of an immunization.</t>
  </si>
  <si>
    <t>000306</t>
  </si>
  <si>
    <t>ImmunizationDate</t>
  </si>
  <si>
    <t>Immunization Policy</t>
  </si>
  <si>
    <t>An indication of whether a program has an immunization policy that specifically indicates that all children are receiving immunizations.</t>
  </si>
  <si>
    <t>000849</t>
  </si>
  <si>
    <t>ImmunizationionPolicy</t>
  </si>
  <si>
    <t>Immunization Record Flag</t>
  </si>
  <si>
    <t>Indicates whether the school or MEP program has immunization records on file for the student.</t>
  </si>
  <si>
    <t>000438</t>
  </si>
  <si>
    <t>ImmunizationRecordFlag</t>
  </si>
  <si>
    <t>Immunization Type</t>
  </si>
  <si>
    <t>An indication of the type of immunization that an individual has satisfactorily received. (Note: The International Classification of Diseases (ICD) is maintained by the World Health Organization. The ICD is revised periodically to incorporate changes in the medical field, the most updated and detailed list of International Statistical Classification of Diseases and Related Health Problems can be found at http://www.who.int/classifications/apps/icd/icd10online).</t>
  </si>
  <si>
    <t>001248</t>
  </si>
  <si>
    <t>ImmunizationType</t>
  </si>
  <si>
    <t>Incident Behavior</t>
  </si>
  <si>
    <t>Categories of behavior coded for use in describing an incident.</t>
  </si>
  <si>
    <t>000509</t>
  </si>
  <si>
    <t>IncidentBehavior</t>
  </si>
  <si>
    <t>Incident Cost</t>
  </si>
  <si>
    <t>The value of any quantifiable monetary loss directly resulting from the incident. Examples include the value of repairs necessitated by vandalism of a school facility, the value of personnel resources used for repairs or consumed by the incident, the value of stolen items, and the value of time consumed by an incident (e.g., instructional time involved in evacuating a school during a false fire alarm). Cost may be reported by specific monetary amount or range.</t>
  </si>
  <si>
    <t>000505</t>
  </si>
  <si>
    <t>IncidentCost</t>
  </si>
  <si>
    <t>Incident Date</t>
  </si>
  <si>
    <t>The year, month and day on which the incident occurred.</t>
  </si>
  <si>
    <t>000502</t>
  </si>
  <si>
    <t>IncidentDate</t>
  </si>
  <si>
    <t>Incident Description</t>
  </si>
  <si>
    <t>The description for an incident.</t>
  </si>
  <si>
    <t>Text</t>
  </si>
  <si>
    <t>000508</t>
  </si>
  <si>
    <t>IncidentDescription</t>
  </si>
  <si>
    <t>Incident Identifier</t>
  </si>
  <si>
    <t>A locally assigned unique identifier (within the school or school district) to identify each specific incident or occurrence. The same identifier should be used to document the entire incident even if it included multiple offenses and multiple offenders.</t>
  </si>
  <si>
    <t>000501</t>
  </si>
  <si>
    <t>IncidentIdentifier</t>
  </si>
  <si>
    <t>Incident Injury Type</t>
  </si>
  <si>
    <t>An indication of the occurrence of physical injury to participants involved in the incident and, if so, the level of injury sustained.</t>
  </si>
  <si>
    <t>Incident Injury Type can be linked to any person involved in the incident.</t>
  </si>
  <si>
    <t>000510</t>
  </si>
  <si>
    <t>IncidentInjuryType</t>
  </si>
  <si>
    <t>Incident Location</t>
  </si>
  <si>
    <t>Identifies where the incident occurred and whether or not it occurred on campus.</t>
  </si>
  <si>
    <t>000617</t>
  </si>
  <si>
    <t>IncidentLocation</t>
  </si>
  <si>
    <t>Incident Multiple Offense Type</t>
  </si>
  <si>
    <t>An indication of whether the offense was primary or secondary in nature when a single incident included more than one type of offense.</t>
  </si>
  <si>
    <t>001369</t>
  </si>
  <si>
    <t>IncidentMultipleOffenseType</t>
  </si>
  <si>
    <t>Incident Perpetrator Identifier</t>
  </si>
  <si>
    <t>Identifies the perpetrator of the incident by use of a pre-existing unique identifier assigned to a student or staff member by a school or district.</t>
  </si>
  <si>
    <t>001370</t>
  </si>
  <si>
    <t>IncidentPerpetratorIdentifier</t>
  </si>
  <si>
    <t>Incident Perpetrator Injury Type</t>
  </si>
  <si>
    <t>An indication of the occurrence of physical injury to the perpetrator(s) (participants) involved in the incident and‚ if so‚ the level of injury sustained.</t>
  </si>
  <si>
    <t>001371</t>
  </si>
  <si>
    <t>IncidentPerpetratorInjuryType</t>
  </si>
  <si>
    <t>Incident Perpetrator Type</t>
  </si>
  <si>
    <t>Information on the type of individual who committed an incident. A “perpetrator” is an individual involved in an incident as an offender (the person who committed the infraction constituting the incident).</t>
  </si>
  <si>
    <t>001372</t>
  </si>
  <si>
    <t>IncidentPerpetratorType</t>
  </si>
  <si>
    <t>Incident Person Role Type</t>
  </si>
  <si>
    <t>The role or type of participation of a person in a discipline incident.</t>
  </si>
  <si>
    <t>001373</t>
  </si>
  <si>
    <t>IncidentPersonRoleType</t>
  </si>
  <si>
    <t>Incident Regulation Violated Description</t>
  </si>
  <si>
    <t>A description of the rule‚ regulation‚ or standard that was violated when an incident occurred (e.g.‚ the identification of a relevant law‚ conduct standard‚ or acceptable use policy).</t>
  </si>
  <si>
    <t>001374</t>
  </si>
  <si>
    <t>IncidentRegulationViolatedDescription</t>
  </si>
  <si>
    <t>Incident Related to Disability Manifestation</t>
  </si>
  <si>
    <t>An indication whether a student’s behavior (offense) was a manifestation of‚ or related to‚ a disability condition.</t>
  </si>
  <si>
    <t>Under IDEA §300.530(e), a manifestation determination must occur within 10 days of any decision to change the child’s placement because of a violation of a code of student conduct.</t>
  </si>
  <si>
    <t>001375</t>
  </si>
  <si>
    <t>IncidentRelatedToDisabilityManifestation</t>
  </si>
  <si>
    <t>Incident Reported to Law Enforcement Indicator</t>
  </si>
  <si>
    <t>An indication that the school resource officer or any other law enforcement official was notified about the incident‚ regardless of whether official action is taken.</t>
  </si>
  <si>
    <t>001376</t>
  </si>
  <si>
    <t>IncidentReportedToLawEnforcementIndicator</t>
  </si>
  <si>
    <t>Incident Reporter Type</t>
  </si>
  <si>
    <t>Information on the type of person who reported the incident. When known and/or if useful, use a more specific option code (e.g., "Counselor" rather than "Professional Staff").</t>
  </si>
  <si>
    <t>000506</t>
  </si>
  <si>
    <t>IncidentReporterType</t>
  </si>
  <si>
    <t>Incident Time</t>
  </si>
  <si>
    <t>An indication of the time of day the incident took place.</t>
  </si>
  <si>
    <t>000503</t>
  </si>
  <si>
    <t>IncidentTime</t>
  </si>
  <si>
    <t>Incident Time Description Code</t>
  </si>
  <si>
    <t>A code for the description of the time of day that an incident took place.</t>
  </si>
  <si>
    <t>000515</t>
  </si>
  <si>
    <t>IncidentTimeDescriptionCode</t>
  </si>
  <si>
    <t>Incident Victim Identifier</t>
  </si>
  <si>
    <t>Identifies the victim of the incident by use of a pre-existing unique identifier assigned to a student or staff member by a school or district.</t>
  </si>
  <si>
    <t>001377</t>
  </si>
  <si>
    <t>IncidentVictimIdentifier</t>
  </si>
  <si>
    <t>Incident Victim Type</t>
  </si>
  <si>
    <t>Information on the type of individual who was injured or otherwise harmed as a direct result of the incident. A “victim” is the individual who suffers injury or harm that directly results from the incident.</t>
  </si>
  <si>
    <t>001378</t>
  </si>
  <si>
    <t>IncidentVictimType</t>
  </si>
  <si>
    <t>Incident Witness Identifier</t>
  </si>
  <si>
    <t>Identifies the witness of the incident by use of a pre-existing unique identifier assigned to a student or staff member by a school or district. Using this data element permits linkage to descriptive information about the individual in the student or staff database.</t>
  </si>
  <si>
    <t>001379</t>
  </si>
  <si>
    <t>IncidentWitnessIdentifier</t>
  </si>
  <si>
    <t>Incident Witness Type</t>
  </si>
  <si>
    <t>Information on the type of individual who witnessed the incident and can give a firsthand account of an incident that was seen‚ heard‚ or experienced.</t>
  </si>
  <si>
    <t>001380</t>
  </si>
  <si>
    <t>IncidentWitnessType</t>
  </si>
  <si>
    <t>Income Calculation Method</t>
  </si>
  <si>
    <t>The calculation method used by a program to determine total family income.</t>
  </si>
  <si>
    <t>000334</t>
  </si>
  <si>
    <t>IncomeCalculationMethod</t>
  </si>
  <si>
    <t>Increased Learning Time Type</t>
  </si>
  <si>
    <t>The types of increased learning time provided.</t>
  </si>
  <si>
    <t>000164</t>
  </si>
  <si>
    <t>IncreasedLearningTimeType</t>
  </si>
  <si>
    <t>Individualized Program Date</t>
  </si>
  <si>
    <t>The year, month and day on which the status of an individualized program for a student is significantly altered.</t>
  </si>
  <si>
    <t>001232</t>
  </si>
  <si>
    <t>IndividualizedProgramDate</t>
  </si>
  <si>
    <t>Individualized Program Date Type</t>
  </si>
  <si>
    <t>An indication of the significance of a date to an individualized program.</t>
  </si>
  <si>
    <t>001231</t>
  </si>
  <si>
    <t>IndividualizedProgramDateType</t>
  </si>
  <si>
    <t>Individualized Program Inclusion Minutes Per Week</t>
  </si>
  <si>
    <t>The number of minutes per week that a student with disabilities is served in a special education setting separate from his or her non-disabled peers.</t>
  </si>
  <si>
    <t>001234</t>
  </si>
  <si>
    <t>IndividualizedProgramInclusionMinutesPerWeek</t>
  </si>
  <si>
    <t>Individualized Program NonInclusion Minutes Per Week</t>
  </si>
  <si>
    <t>The number of minutes per week that a student with disabilities is served in a regular classroom with his or her non-disabled peers.</t>
  </si>
  <si>
    <t>001233</t>
  </si>
  <si>
    <t>IndividualizedProgramNonInclusionMinutesPerWeek</t>
  </si>
  <si>
    <t>Individualized Program Planned Service Duration</t>
  </si>
  <si>
    <t>The length, in hours, that delivery of the service is planned.</t>
  </si>
  <si>
    <t>001520</t>
  </si>
  <si>
    <t>IndividualizedProgramPlannedServiceDuration</t>
  </si>
  <si>
    <t>Individualized Program Planned Service Frequency</t>
  </si>
  <si>
    <t>The frequency that a service is planned to be provided.</t>
  </si>
  <si>
    <t>001519</t>
  </si>
  <si>
    <t>IndividualizedProgramPlannedServiceFrequency</t>
  </si>
  <si>
    <t>Individualized Program Planned Service Start Date</t>
  </si>
  <si>
    <t>The date the service is planned to begin.</t>
  </si>
  <si>
    <t>As decided on by an IFSP/IEP team, including the parent.</t>
  </si>
  <si>
    <t>001381</t>
  </si>
  <si>
    <t>IndividualizedProgramPlannedServiceStartDate</t>
  </si>
  <si>
    <t>Individualized Program Planned Service Type</t>
  </si>
  <si>
    <t>001383</t>
  </si>
  <si>
    <t>IndividualizedProgramPlannedServiceType</t>
  </si>
  <si>
    <t>Individualized Program Service Plan Date</t>
  </si>
  <si>
    <t>The year, month and day on which the status of the service plan for a child is established or significantly altered.</t>
  </si>
  <si>
    <t>001236</t>
  </si>
  <si>
    <t>IndividualizedProgramServicePlanDate</t>
  </si>
  <si>
    <t>Individualized Program Service Plan Meeting Location</t>
  </si>
  <si>
    <t>The place in which a child's service plan meeting is held.</t>
  </si>
  <si>
    <t>001237</t>
  </si>
  <si>
    <t>IndividualizedProgramServicePlanMeetingLocation</t>
  </si>
  <si>
    <t>Individualized Program Service Plan Meeting Participants</t>
  </si>
  <si>
    <t>The position titles of individuals who attend the service plan meeting.</t>
  </si>
  <si>
    <t>001238</t>
  </si>
  <si>
    <t>IndividualizedProgramServicePlanMeetingParticipants</t>
  </si>
  <si>
    <t>Individualized Program Service Plan Reevaluation Date</t>
  </si>
  <si>
    <t>Date student will be reevaluated for continued placement in a support program(s).</t>
  </si>
  <si>
    <t>001241</t>
  </si>
  <si>
    <t>IndividualizedProgramServicePlanReevaluationDate</t>
  </si>
  <si>
    <t>Individualized Program Service Plan Signature Date</t>
  </si>
  <si>
    <t>The year, month and day on which the service plan document is signed.</t>
  </si>
  <si>
    <t>001240</t>
  </si>
  <si>
    <t>IndividualizedProgramServicePlanSignatureDate</t>
  </si>
  <si>
    <t>Individualized Program Service Plan Signed By</t>
  </si>
  <si>
    <t>The position titles of individuals who sign a written service plan.</t>
  </si>
  <si>
    <t>001239</t>
  </si>
  <si>
    <t>IndividualizedProgramServicePlanSignedBy</t>
  </si>
  <si>
    <t>Individualized Program Transition Plan Type</t>
  </si>
  <si>
    <t>The post-school transition plan for the student recorded on their Individualized Education Program.</t>
  </si>
  <si>
    <t>001235</t>
  </si>
  <si>
    <t>IndividualizedProgramTransitionPlanType</t>
  </si>
  <si>
    <t>Individualized Program Type</t>
  </si>
  <si>
    <t>A designation of the type of program developed for a student.</t>
  </si>
  <si>
    <t>000320</t>
  </si>
  <si>
    <t>IndividualizedProgramType</t>
  </si>
  <si>
    <t>Initial Enrollment Term</t>
  </si>
  <si>
    <t>The first registration term of a person enrolling in credit-granting courses at a postsecondary institution after completing high school (or its equivalent).</t>
  </si>
  <si>
    <t>000165</t>
  </si>
  <si>
    <t>InitialEnrollmentTerm</t>
  </si>
  <si>
    <t>Initial License Date</t>
  </si>
  <si>
    <t>The year, month and day on which a program or center received its initial license.</t>
  </si>
  <si>
    <t>000348</t>
  </si>
  <si>
    <t>InitialLicenseDate</t>
  </si>
  <si>
    <t>Innovative Dollars Spent</t>
  </si>
  <si>
    <t>The total Title V, Part A funds expended by LEAs.</t>
  </si>
  <si>
    <t>000461</t>
  </si>
  <si>
    <t>InnovativeDollarsSpent</t>
  </si>
  <si>
    <t>Innovative Dollars Spent on Strategic Priorities</t>
  </si>
  <si>
    <t>The total amount of Title V, Part A funds expended by LEAs for the four strategic priorities.</t>
  </si>
  <si>
    <t>000462</t>
  </si>
  <si>
    <t>InnovativeDollarsSpentOnStrategicPriorities</t>
  </si>
  <si>
    <t>Innovative Programs Funds Received</t>
  </si>
  <si>
    <t>The total Title V, Part A funds received by LEAs.</t>
  </si>
  <si>
    <t>000464</t>
  </si>
  <si>
    <t>InnovativeProgramsFundsReceived</t>
  </si>
  <si>
    <t>Institution IPEDS UnitID</t>
  </si>
  <si>
    <t>Unique identification number assigned to postsecondary institutions surveyed through the Integrated Postsecondary Education Data System (IPEDS). Also referred to as UNITID or IPEDS ID.</t>
  </si>
  <si>
    <t>Six digits - no decimal place</t>
  </si>
  <si>
    <t>000166</t>
  </si>
  <si>
    <t>IPEDS Identifier</t>
  </si>
  <si>
    <t>IPEDSIdentifier</t>
  </si>
  <si>
    <t>Institution Telephone Number Type</t>
  </si>
  <si>
    <t>The type of communication number listed for an organization.</t>
  </si>
  <si>
    <t>000167</t>
  </si>
  <si>
    <t>InstitutionTelephoneNumberType</t>
  </si>
  <si>
    <t>Institutionally Controlled Housing Status</t>
  </si>
  <si>
    <t>An indication of whether an institution has any residence hall or housing facility located on- or off-campus that is owned or controlled by an institution and used by the institution in direct support of or in a manner related to, the institution's educational purposes.</t>
  </si>
  <si>
    <t>000748</t>
  </si>
  <si>
    <t>InstitutionallyControlledHousingStatus</t>
  </si>
  <si>
    <t>Instruction Credit Type</t>
  </si>
  <si>
    <t>A designation of the type(s) of instruction being delivered by staff whose primary responsibility is instruction. Instruction that is for "credit" can be applied toward the requirements for a postsecondary degree, diploma, certificate or other formal award.</t>
  </si>
  <si>
    <t>Element definition and option set defined in IPEDS; new collection element for the 2012 survey year</t>
  </si>
  <si>
    <t>000741</t>
  </si>
  <si>
    <t>InstructionCreditType</t>
  </si>
  <si>
    <t>Instruction Language</t>
  </si>
  <si>
    <t>The language of instruction, other than English, used in the program or course.</t>
  </si>
  <si>
    <t>000448</t>
  </si>
  <si>
    <t>InstructionLanguage</t>
  </si>
  <si>
    <t>Instructional Activity Hours Attempted</t>
  </si>
  <si>
    <t>The number of credit hours and/or contact hours attempted by a person during a term.</t>
  </si>
  <si>
    <t>000168</t>
  </si>
  <si>
    <t>InstructionalActivityHoursAttempted</t>
  </si>
  <si>
    <t>Instructional Activity Hours Completed</t>
  </si>
  <si>
    <t>The number of credit hours and/or contact hours successfully completed by a person during a term.</t>
  </si>
  <si>
    <t>000362</t>
  </si>
  <si>
    <t>InstructionalActivityHoursCompleted</t>
  </si>
  <si>
    <t>Instructional Activity Hours Type</t>
  </si>
  <si>
    <t>The unit of measure of student instructional activity.</t>
  </si>
  <si>
    <t>000169</t>
  </si>
  <si>
    <t>InstructionalActivityHoursType</t>
  </si>
  <si>
    <t>Instructional Minutes</t>
  </si>
  <si>
    <t>The total number of instruction minutes in a given session, as determined by time in class, time on task (e.g., engaged in a class), or as estimated by a qualified course designer.</t>
  </si>
  <si>
    <t>000499</t>
  </si>
  <si>
    <t>InstructionalMinutes</t>
  </si>
  <si>
    <t>Instructional Recommendation</t>
  </si>
  <si>
    <t>This provides the next steps for instruction for the student based upon the assessment results and student characteristics.</t>
  </si>
  <si>
    <t>000370</t>
  </si>
  <si>
    <t>InstructionalRecommendation</t>
  </si>
  <si>
    <t>Instructional Staff Contract Length</t>
  </si>
  <si>
    <t>The contracted teaching period for faculty.</t>
  </si>
  <si>
    <t>Option set new for IPEDS in 2012 survey year; IPEDS does not include the Less than 9-month code</t>
  </si>
  <si>
    <t>000735</t>
  </si>
  <si>
    <t>InstructionalStaffContractLength</t>
  </si>
  <si>
    <t>Instructional Staff Faculty Tenure Status</t>
  </si>
  <si>
    <t>An indicator of the type of faculty status a person has if, by institutional definition, a staff member has faculty status.</t>
  </si>
  <si>
    <t>000739</t>
  </si>
  <si>
    <t>InstructionalStaffFacultyTenureStatus</t>
  </si>
  <si>
    <t>Instructional Staff Status</t>
  </si>
  <si>
    <t>Staff whose primary function/occupational activity is primarily instruction or instruction combined with research and/or public service. Does not include medical school staff.</t>
  </si>
  <si>
    <t>000732</t>
  </si>
  <si>
    <t>InstructionalStaffStatus</t>
  </si>
  <si>
    <t>Insurance Coverage</t>
  </si>
  <si>
    <t>The nature of insurance covering an person's hospitalization and other health or medical care.</t>
  </si>
  <si>
    <t>000335</t>
  </si>
  <si>
    <t>InsuranceCoverage</t>
  </si>
  <si>
    <t>Integrated Technology Status</t>
  </si>
  <si>
    <t>An indication of the extent to which the district has effectively and fully integrated technology, as defined by the state.</t>
  </si>
  <si>
    <t>000170</t>
  </si>
  <si>
    <t>IntegratedTechnologyStatus</t>
  </si>
  <si>
    <t>Intended Administration Start Date</t>
  </si>
  <si>
    <t>The beginning date of the time period in which the form is intended to be administered.</t>
  </si>
  <si>
    <t>001186</t>
  </si>
  <si>
    <t>IntendedAdministrationStartDate</t>
  </si>
  <si>
    <t>Internet Access</t>
  </si>
  <si>
    <t>The type of internet access available.</t>
  </si>
  <si>
    <t>000587</t>
  </si>
  <si>
    <t>InternetAccess</t>
  </si>
  <si>
    <t>Interscholastic Sport Participants - Female Only</t>
  </si>
  <si>
    <t>The number of female students who participated on an interscholastic team. A student should be counted once for each team she was on.</t>
  </si>
  <si>
    <t>000658</t>
  </si>
  <si>
    <t>InterscholasticSportParticipantsFemaleOnly</t>
  </si>
  <si>
    <t>Interscholastic Sport Participants - Male Only</t>
  </si>
  <si>
    <t>The number of male students who participated on an interscholastic team. A student should be counted once for each team he was on.</t>
  </si>
  <si>
    <t>000657</t>
  </si>
  <si>
    <t>InterscholasticSportParticipantsMaleOnly</t>
  </si>
  <si>
    <t>Interscholastic Sports - Female Only</t>
  </si>
  <si>
    <t>The number of interscholastic sports in which only female students participate. Sports include distinct sports such as football, basketball, soccer but not intramural sports or cheerleading.</t>
  </si>
  <si>
    <t>000654</t>
  </si>
  <si>
    <t>InterscholasticSportsFemaleOnly</t>
  </si>
  <si>
    <t>Interscholastic Sports - Male Only</t>
  </si>
  <si>
    <t>The number of interscholastic sports in which only male students participate. Sports include distinct sports such as football, basketball, soccer but not intramural sports or cheerleading.</t>
  </si>
  <si>
    <t>000653</t>
  </si>
  <si>
    <t>InterscholasticSportsMaleOnly</t>
  </si>
  <si>
    <t>Interscholastic Teams - Female Only</t>
  </si>
  <si>
    <t>The number of interscholastic teams in which only female students participate. Teams include each competitive level team in each sport, such as freshman team, junior varsity team, and varsity team but not intramural sports or cheerleading.</t>
  </si>
  <si>
    <t>000656</t>
  </si>
  <si>
    <t>InterscholasticTeamsFemaleOnly</t>
  </si>
  <si>
    <t>Interscholastic Teams - Male Only</t>
  </si>
  <si>
    <t>The number of interscholastic teams in which only male students participate. Teams include each competitive level team in each sport, such as freshman team, junior varsity team, and varsity team but not intramural sports or cheerleading.</t>
  </si>
  <si>
    <t>000655</t>
  </si>
  <si>
    <t>InterscholasticTeamsMaleOnly</t>
  </si>
  <si>
    <t>IPEDS Occupational Category</t>
  </si>
  <si>
    <t>The Integrated Postsecondary Education Data System (IPEDS) occupational categories used to report employees.</t>
  </si>
  <si>
    <t>IPEDS reporting categories beginning with the 2012 IPEDS survey year.</t>
  </si>
  <si>
    <t>000731</t>
  </si>
  <si>
    <t>IPEDSOccupationalCategory</t>
  </si>
  <si>
    <t>Itinerant Provider</t>
  </si>
  <si>
    <t>An indication of whether a person provides services at more than one site.</t>
  </si>
  <si>
    <t>001384</t>
  </si>
  <si>
    <t>ItinerantProvider</t>
  </si>
  <si>
    <t>Itinerant Teacher</t>
  </si>
  <si>
    <t>An indication of whether a teacher provides instruction in more than one instructional site.</t>
  </si>
  <si>
    <t>000528</t>
  </si>
  <si>
    <t>ItinerantTeacher</t>
  </si>
  <si>
    <t>K12 End of Course Requirement</t>
  </si>
  <si>
    <t>An indication that this course has an end of course examination required by the SEA or LEA.</t>
  </si>
  <si>
    <t>K12 -&gt; K12 Course</t>
  </si>
  <si>
    <t>001386</t>
  </si>
  <si>
    <t>K12EndOfCourseRequirement</t>
  </si>
  <si>
    <t>Kindergarten Daily Length</t>
  </si>
  <si>
    <t>The portion of a day that a kindergarten program is provided to the students it serves.</t>
  </si>
  <si>
    <t>K12 -&gt; LEA -&gt; Programs and Services</t>
  </si>
  <si>
    <t>000491</t>
  </si>
  <si>
    <t>KindergartenDailyLength</t>
  </si>
  <si>
    <t>Kindergarten Program Participation Type</t>
  </si>
  <si>
    <t>The type of Kindergarten program the student is enrolled in.</t>
  </si>
  <si>
    <t>000714</t>
  </si>
  <si>
    <t>KindergartenProgramParticipationType</t>
  </si>
  <si>
    <t>Language Code</t>
  </si>
  <si>
    <t>The code for the specific language or dialect that a person uses to communicate.</t>
  </si>
  <si>
    <t>The CEDS Language Code option set comes from the ISO Z39.53 standard. Discontinued codes from the ISO standard are not included in the CEDS list.</t>
  </si>
  <si>
    <t>000317</t>
  </si>
  <si>
    <t>LanguageCode</t>
  </si>
  <si>
    <t>Language of Session</t>
  </si>
  <si>
    <t>The language in which the professional development session is delivered.</t>
  </si>
  <si>
    <t>001388</t>
  </si>
  <si>
    <t>LanguageOfSession</t>
  </si>
  <si>
    <t>Language Translation Policy</t>
  </si>
  <si>
    <t>Indicates that the organization or class/group has translation services available .</t>
  </si>
  <si>
    <t>001226</t>
  </si>
  <si>
    <t>LanguageTranslationPolicy</t>
  </si>
  <si>
    <t>Language Type</t>
  </si>
  <si>
    <t>An indication of the function and context in which a person uses a language to communicate.</t>
  </si>
  <si>
    <t>000316</t>
  </si>
  <si>
    <t>LanguageType</t>
  </si>
  <si>
    <t>Last Instruction Date</t>
  </si>
  <si>
    <t>The year, month and day of the last day of student instruction (including days or times that students are present for purposes of testing and/or evaluation, but not including whole or part-days whose sole purposes is for distribution of report cards).</t>
  </si>
  <si>
    <t>000498</t>
  </si>
  <si>
    <t>LastInstructionDate</t>
  </si>
  <si>
    <t>Last or Surname</t>
  </si>
  <si>
    <t>The full legal last name borne in common by members of a family.</t>
  </si>
  <si>
    <t>000172</t>
  </si>
  <si>
    <t>Last Name</t>
  </si>
  <si>
    <t>LastOrSurname</t>
  </si>
  <si>
    <t>Last Qualifying Move Date</t>
  </si>
  <si>
    <t>The year, month and day of the last qualifying move of a migrant student.</t>
  </si>
  <si>
    <t>000171</t>
  </si>
  <si>
    <t>LastQualifyingMoveDate</t>
  </si>
  <si>
    <t>Latitude</t>
  </si>
  <si>
    <t>The north or south angular distance from the equator that, when combined with longitude, reflects an estimation of where the school is physically situated.</t>
  </si>
  <si>
    <t>000606</t>
  </si>
  <si>
    <t>Learner Action Date</t>
  </si>
  <si>
    <t>The date on which the action was taken.</t>
  </si>
  <si>
    <t>000937</t>
  </si>
  <si>
    <t>LearnerActionDate</t>
  </si>
  <si>
    <t>Learner Action Time</t>
  </si>
  <si>
    <t>The time to the second or millisecond when the action was taken.</t>
  </si>
  <si>
    <t>HH:MM:SS.sss</t>
  </si>
  <si>
    <t>000936</t>
  </si>
  <si>
    <t>LearnerActionTime</t>
  </si>
  <si>
    <t>Learner Action Type</t>
  </si>
  <si>
    <t>The type of action taken by the learner.</t>
  </si>
  <si>
    <t>000934</t>
  </si>
  <si>
    <t>LearnerActionType</t>
  </si>
  <si>
    <t>Learner Action Value</t>
  </si>
  <si>
    <t>The value representing input by the learner using an online system, such as a value entered in response to an assessment question, or the URL of a learning resource link clicked.</t>
  </si>
  <si>
    <t>000935</t>
  </si>
  <si>
    <t>LearnerActionValue</t>
  </si>
  <si>
    <t>Learner Activity Add To Grade Book Flag</t>
  </si>
  <si>
    <t>Identifies the assignment as one that is graded.</t>
  </si>
  <si>
    <t>000949</t>
  </si>
  <si>
    <t>LearnerActivityAddToGradeBookFlag</t>
  </si>
  <si>
    <t>Learner Activity Creation Date</t>
  </si>
  <si>
    <t>The creation date of the assignment.</t>
  </si>
  <si>
    <t>000943</t>
  </si>
  <si>
    <t>LearnerActivityCreationDate</t>
  </si>
  <si>
    <t>Learner Activity Description</t>
  </si>
  <si>
    <t>The description and context for the assignment described in a way that the learner can understand.</t>
  </si>
  <si>
    <t>000940</t>
  </si>
  <si>
    <t>LearnerActivityDescription</t>
  </si>
  <si>
    <t>Learner Activity Due Date</t>
  </si>
  <si>
    <t>The date assignment is due.</t>
  </si>
  <si>
    <t>000946</t>
  </si>
  <si>
    <t>LearnerActivityDueDate</t>
  </si>
  <si>
    <t>Learner Activity Due Time</t>
  </si>
  <si>
    <t>The time the assignment is due.</t>
  </si>
  <si>
    <t>000947</t>
  </si>
  <si>
    <t>LearnerActivityDueTime</t>
  </si>
  <si>
    <t>Learner Activity Language</t>
  </si>
  <si>
    <t>The default language used for the assignment.</t>
  </si>
  <si>
    <t>(Note: CEDS uses ISO 639.2 for language code/option sets. See http://www.iso.org/iso/iso_catalogue/catalogue_tc/catalogue_detail.htm?csnumber=4767).</t>
  </si>
  <si>
    <t>000938</t>
  </si>
  <si>
    <t>LearnerActivityLanguage</t>
  </si>
  <si>
    <t>Learner Activity Maximum Attempts Allowed</t>
  </si>
  <si>
    <t>The number attempts a student may make on this assignment. Assumed to be unlimited if zero or omitted.</t>
  </si>
  <si>
    <t>000948</t>
  </si>
  <si>
    <t>LearnerActivityMaximumAttemptsAllowed</t>
  </si>
  <si>
    <t>Learner Activity Maximum Time Allowed</t>
  </si>
  <si>
    <t>The time required to complete the assignment.</t>
  </si>
  <si>
    <t>Time allowed is assumed to be unlimited if zero or omitted.</t>
  </si>
  <si>
    <t>000944</t>
  </si>
  <si>
    <t>LearnerActivityMaximumTimeAllowed</t>
  </si>
  <si>
    <t>Learner Activity Maximum Time Allowed Unit</t>
  </si>
  <si>
    <t>The unit of time of the Maximum Time Allowed value.</t>
  </si>
  <si>
    <t>000945</t>
  </si>
  <si>
    <t>LearnerActivityMaximumTimeAllowedUnit</t>
  </si>
  <si>
    <t>Learner Activity Possible Points</t>
  </si>
  <si>
    <t>The number of possible points for an assignment.</t>
  </si>
  <si>
    <t>Numeric - up to two digits after decimal place</t>
  </si>
  <si>
    <t>000952</t>
  </si>
  <si>
    <t>LearnerActivityPossiblePoints</t>
  </si>
  <si>
    <t>Learner Activity Prerequisite</t>
  </si>
  <si>
    <t>The description of the skills or competencies the student must have to engage in assignment.</t>
  </si>
  <si>
    <t>Note: Prerequisites may also be referenced via an associated Learning Goal and Competency Set (prerequisites for individual competencies). For some applications enumeration of the detailed prerequisites will have greater utility than a single descriptive field.</t>
  </si>
  <si>
    <t>000941</t>
  </si>
  <si>
    <t>LearnerActivityPrerequisite</t>
  </si>
  <si>
    <t>Learner Activity Release Date</t>
  </si>
  <si>
    <t>The date the student was informed about an assignment or that an automated system displays the assignment.</t>
  </si>
  <si>
    <t>000950</t>
  </si>
  <si>
    <t>LearnerActivityReleaseDate</t>
  </si>
  <si>
    <t>Learner Activity Rubric URL</t>
  </si>
  <si>
    <t>The Uniform Resource Locator pointing to a rubric that may be used to evaluate learner performance on the assignment.</t>
  </si>
  <si>
    <t>000953</t>
  </si>
  <si>
    <t>LearnerActivityRubricURL</t>
  </si>
  <si>
    <t>Learner Activity Title</t>
  </si>
  <si>
    <t>The title for work assigned to the learner, which can comprise of learning resources, activities, and assessments.</t>
  </si>
  <si>
    <t>000939</t>
  </si>
  <si>
    <t>LearnerActivityTitle</t>
  </si>
  <si>
    <t>Learner Activity Type</t>
  </si>
  <si>
    <t>The type of work assigned to the learner.</t>
  </si>
  <si>
    <t>000942</t>
  </si>
  <si>
    <t>LearnerActivityType</t>
  </si>
  <si>
    <t>Learner Activity Weight</t>
  </si>
  <si>
    <t>The percentage weight of the assignment during the particular course or term.</t>
  </si>
  <si>
    <t>000951</t>
  </si>
  <si>
    <t>LearnerActivityWeight</t>
  </si>
  <si>
    <t>Learning Goal Description</t>
  </si>
  <si>
    <t>A statement that specifies the learning that is intended in a way that both the educators and learners can understand.</t>
  </si>
  <si>
    <t>000903</t>
  </si>
  <si>
    <t>LearningGoalDescription</t>
  </si>
  <si>
    <t>Learning Goal End Date</t>
  </si>
  <si>
    <t>The date on which the Learning Goal expires or has been achieved.</t>
  </si>
  <si>
    <t>001166</t>
  </si>
  <si>
    <t>LearningGoalEndDate</t>
  </si>
  <si>
    <t>Learning Goal Start Date</t>
  </si>
  <si>
    <t>The date on which the Learning Goal becomes active.</t>
  </si>
  <si>
    <t>001165</t>
  </si>
  <si>
    <t>LearningGoalStartDate</t>
  </si>
  <si>
    <t>Learning Goal Success Criteria</t>
  </si>
  <si>
    <t>One or more statements that describes the criteria used by teachers and students to check for attainment of a leaning goal. This criteria gives clear indications as to the degree to which learning is moving through the Zone or Proximal Development toward independent achievement of the learning goal.</t>
  </si>
  <si>
    <t>000902</t>
  </si>
  <si>
    <t>LearningGoalSuccessCriteria</t>
  </si>
  <si>
    <t>Learning Resource Access API Type</t>
  </si>
  <si>
    <t>Indicates that the learning resource is compatible with the referenced accessibility application programming interface (API).</t>
  </si>
  <si>
    <t>Options derive primarily from IMS Global's Access for All (AfA) specification, specifically: apiInteroperable.</t>
  </si>
  <si>
    <t>001389</t>
  </si>
  <si>
    <t>LearningResourceAccessAPIType</t>
  </si>
  <si>
    <t>Learning Resource Access Hazard Type</t>
  </si>
  <si>
    <t>A characteristic of the described learning resource that is physiologically dangerous to some users.</t>
  </si>
  <si>
    <t>001390</t>
  </si>
  <si>
    <t>LearningResourceAccessHazardType</t>
  </si>
  <si>
    <t>Learning Resource Access Mode Type</t>
  </si>
  <si>
    <t>An access mode through which the intellectual content of a described learning resource or adaptation is communicated; if adaptations for the resource are known, the access modes of those adaptations are not included.</t>
  </si>
  <si>
    <t>Options derive primarily from IMS Global's Access for All (AfA) specification, specifically: AccessModeRequired.Type/existingAccessMode.</t>
  </si>
  <si>
    <t>001391</t>
  </si>
  <si>
    <t>LearningResourceAccessModeType</t>
  </si>
  <si>
    <t>Learning Resource Adaptation URL</t>
  </si>
  <si>
    <t>The Uniform Resource Locator of a learning resource that is an adaptation for this resource.</t>
  </si>
  <si>
    <t>001392</t>
  </si>
  <si>
    <t>LearningResourceAdaptationURL</t>
  </si>
  <si>
    <t>Learning Resource Adapted From URL</t>
  </si>
  <si>
    <t>URL identifier of a learning resource for which this resource is an adaptation.</t>
  </si>
  <si>
    <t>001398</t>
  </si>
  <si>
    <t>LearningResourceAdaptedFromURL</t>
  </si>
  <si>
    <t>Learning Resource Assistive Technologies Compatible Indicator</t>
  </si>
  <si>
    <t>Indicates that the learning resource is compatible with assistive technologies.</t>
  </si>
  <si>
    <t>For example, that the resource complies to Web Content Accessibility Guidelines (WCAG) 2.0 checkpoints: 1.1.1, 1.3.1, 1.3.2, 2.4.4, 3.1.1, 3.1.2, 3.3.2, 4.1.1, 4.1.2.</t>
  </si>
  <si>
    <t>001393</t>
  </si>
  <si>
    <t>LearningResourceAssistiveTechnologiesCompatibleIndicator</t>
  </si>
  <si>
    <t>Learning Resource Based On URL</t>
  </si>
  <si>
    <t>A resource that was used in the creation of this resource. This term can be repeated for multiple sources.</t>
  </si>
  <si>
    <t>Changed name from Learning Resource Is Based On URL.</t>
  </si>
  <si>
    <t>Ex: “http://example.com/great-multiplication-intro.html“</t>
  </si>
  <si>
    <t>000922</t>
  </si>
  <si>
    <t>LearningResourceBasedOnURL</t>
  </si>
  <si>
    <t>Learning Resource Book Format Type</t>
  </si>
  <si>
    <t>Specifies the format for a learning resource that is a book. Other options may be considered for inclusion in the option set.</t>
  </si>
  <si>
    <t>001394</t>
  </si>
  <si>
    <t>LearningResourceBookFormatType</t>
  </si>
  <si>
    <t>Learning Resource Competency Alignment Type</t>
  </si>
  <si>
    <t>The alignment relationship between the resource and the competency.</t>
  </si>
  <si>
    <t>A community of SEAs have agreed to use a limited set of Learning Resource Competency Alignment Type options when tagging learning resources in shared resource repositories. Those options are assesses, teaches, and requires.</t>
  </si>
  <si>
    <t>000879</t>
  </si>
  <si>
    <t>LearningResourceCompetencyAlignmentType</t>
  </si>
  <si>
    <t>Learning Resource Concept Keyword</t>
  </si>
  <si>
    <t>The significant topicality of the Learning Resource using free-text keywords and phrases.</t>
  </si>
  <si>
    <t>001146</t>
  </si>
  <si>
    <t>LearningResourceConceptKeyword</t>
  </si>
  <si>
    <t>Learning Resource Control Flexibility Type</t>
  </si>
  <si>
    <t>Identifies a single input method that is sufficient to control the described learning resource.</t>
  </si>
  <si>
    <t>001395</t>
  </si>
  <si>
    <t>LearningResourceControlFlexibilityType</t>
  </si>
  <si>
    <t>Learning Resource Copyright Holder Name</t>
  </si>
  <si>
    <t>The name(s) of the person(s) or organization(s) holding the copyright for the Learning Resource.</t>
  </si>
  <si>
    <t>001144</t>
  </si>
  <si>
    <t>LearningResourceCopyrightHolderName</t>
  </si>
  <si>
    <t>Learning Resource Copyright Year</t>
  </si>
  <si>
    <t>The copyright year for the Learning Resource.</t>
  </si>
  <si>
    <t>001145</t>
  </si>
  <si>
    <t>LearningResourceCopyrightYear</t>
  </si>
  <si>
    <t>Learning Resource Creator</t>
  </si>
  <si>
    <t>The name of individual credited with the creation of the resource.</t>
  </si>
  <si>
    <t>000917</t>
  </si>
  <si>
    <t>LearningResourceCreator</t>
  </si>
  <si>
    <t>Learning Resource Date Created</t>
  </si>
  <si>
    <t>The date on which the resource was created.</t>
  </si>
  <si>
    <t>000916</t>
  </si>
  <si>
    <t>LearningResourceDateCreated</t>
  </si>
  <si>
    <t>Learning Resource Description</t>
  </si>
  <si>
    <t>A short description of the Learning Resource.</t>
  </si>
  <si>
    <t>001143</t>
  </si>
  <si>
    <t>LearningResourceDescription</t>
  </si>
  <si>
    <t>Learning Resource Digital Media Sub Type</t>
  </si>
  <si>
    <t>The media or file subtype of the digital resource being based on the Media Types and Subtypes, formerly known as MIME types, defined by the Internet Assigned Numbers Authority (IANA).</t>
  </si>
  <si>
    <t>(from the list of Media Subtypes registered with the IANA accesible from http://www.iana.org/assignments/media-types, e.g. for "audio/mpg4" the Learning Resource Digital Media Sub Type is "mpg4")</t>
  </si>
  <si>
    <t>001396</t>
  </si>
  <si>
    <t>LearningResourceDigitalMediaSubType</t>
  </si>
  <si>
    <t>Learning Resource Digital Media Type</t>
  </si>
  <si>
    <t>The media or file type of the digital resource being based on the media types defined by the Internet Assigned Numbers Authority (AINA) at http://www.iana.org/assignments/media-types.</t>
  </si>
  <si>
    <t>001397</t>
  </si>
  <si>
    <t>LearningResourceDigitalMediaType</t>
  </si>
  <si>
    <t>Learning Resource Education Level </t>
  </si>
  <si>
    <t>The education level, grade level or primary instructional level at which a Learning Resource is intended.</t>
  </si>
  <si>
    <t>Replaced option set.</t>
  </si>
  <si>
    <t>001246</t>
  </si>
  <si>
    <t>LearningResourceEducationLevel</t>
  </si>
  <si>
    <t>Learning Resource Educational Use</t>
  </si>
  <si>
    <t>The purpose of the work in the context of education.</t>
  </si>
  <si>
    <t>Changes to option set</t>
  </si>
  <si>
    <t>001002</t>
  </si>
  <si>
    <t>LearningResourceEducationalUse</t>
  </si>
  <si>
    <t>Learning Resource Intended End User Role</t>
  </si>
  <si>
    <t>The individual or group for which the resource was produced.</t>
  </si>
  <si>
    <t>000923</t>
  </si>
  <si>
    <t>LearningResourceIntendedEndUserRole</t>
  </si>
  <si>
    <t>Learning Resource Interactivity Type</t>
  </si>
  <si>
    <t>The predominate mode of learning supported by the learning resource. Acceptable values are active, expositive, or mixed.</t>
  </si>
  <si>
    <t>000927</t>
  </si>
  <si>
    <t>LearningResourceInteractivityType</t>
  </si>
  <si>
    <t>Learning Resource Language</t>
  </si>
  <si>
    <t>The primary language of the resource.</t>
  </si>
  <si>
    <t>Updated usage note.</t>
  </si>
  <si>
    <t>(Note: CEDS uses ISO 639.2 for language code/option sets. See http://www.iso.org/iso/iso_catalogue/catalogue_tc/catalogue_detail.htm?csnumber=4767).Note: For accessible resources LRMI uses language codes from the IETF BCP 47 standard which also refers to ISO 639. (Equivalent of the AfA languageOfAdaptation property.)</t>
  </si>
  <si>
    <t>000919</t>
  </si>
  <si>
    <t>LearningResourceLanguage</t>
  </si>
  <si>
    <t>Learning Resource Media Feature Type</t>
  </si>
  <si>
    <t>Accessible content features included with the learning resource.</t>
  </si>
  <si>
    <t>Options derive primarily from IMS Global's Access for All (AfA) specification, specifically: AdaptationTypeRequired.Type/adaptationRequest.</t>
  </si>
  <si>
    <t>001399</t>
  </si>
  <si>
    <t>LearningResourceMediaFeatureType</t>
  </si>
  <si>
    <t>Learning Resource Media Type</t>
  </si>
  <si>
    <t>The type of media which is being described.</t>
  </si>
  <si>
    <t>Replaced by Learning Resource Digital Media Type and Learning Resource Physical Media Type</t>
  </si>
  <si>
    <t>000920</t>
  </si>
  <si>
    <t>LearningResourceMediaType</t>
  </si>
  <si>
    <t>Learning Resource Peer Rating Sample Size</t>
  </si>
  <si>
    <t>The sample size of a peer rating value. Only used when the Peer Rating Value is collected in aggregate as an average of multiple atomic/individual ratings.</t>
  </si>
  <si>
    <t>001400</t>
  </si>
  <si>
    <t>LearningResourcePeerRatingSampleSize</t>
  </si>
  <si>
    <t>Learning Resource Peer Rating Value</t>
  </si>
  <si>
    <t>An individual score, rating or level assigned to a Learning Resource by a person within the boundaries set by a Peer Rating System that may be aggregated to derive an overall score for the learning resource.</t>
  </si>
  <si>
    <t>001148</t>
  </si>
  <si>
    <t>LearningResourcePeerRatingValue</t>
  </si>
  <si>
    <t>Learning Resource Physical Media Type</t>
  </si>
  <si>
    <t>A type of physical media on which the Learning Resource is delivered or available.</t>
  </si>
  <si>
    <t>001401</t>
  </si>
  <si>
    <t>LearningResourcePhysicalMediaType</t>
  </si>
  <si>
    <t>Learning Resource Published Date</t>
  </si>
  <si>
    <t>The published date of an educational resource, such as instructional media, an assessment form, or section of an assessment form.</t>
  </si>
  <si>
    <t>001184</t>
  </si>
  <si>
    <t>LearningResourcePublishedDate</t>
  </si>
  <si>
    <t>Learning Resource Publisher Name</t>
  </si>
  <si>
    <t>The name of the organization credited with publishing the resource.</t>
  </si>
  <si>
    <t>000918</t>
  </si>
  <si>
    <t>LearningResourcePublisherName</t>
  </si>
  <si>
    <t>Learning Resource Subject Code</t>
  </si>
  <si>
    <t>The code used to identify the organization of subject matter and related learning experiences addressed by the learning resource.</t>
  </si>
  <si>
    <t>Whenever applicable use: "SCED" - School Codes for the Exchange of Data (SCED) two digit subject codes</t>
  </si>
  <si>
    <t>000914</t>
  </si>
  <si>
    <t>LearningResourceSubjectCode</t>
  </si>
  <si>
    <t>Learning Resource Subject Code System</t>
  </si>
  <si>
    <t>The system that is used to identify the organization of subject matter and related learning experiences addressed by the learning resource.</t>
  </si>
  <si>
    <t>Whenever applicable use: "SCED" - School Codes for the Exchange of Data (SCED) subject</t>
  </si>
  <si>
    <t>000915</t>
  </si>
  <si>
    <t>LearningResourceSubjectCodeSystem</t>
  </si>
  <si>
    <t>Learning Resource Subject Name</t>
  </si>
  <si>
    <t>The descriptive name for the subject of the content for the learning resource.</t>
  </si>
  <si>
    <t>000913</t>
  </si>
  <si>
    <t>LearningResourceSubjectName</t>
  </si>
  <si>
    <t>Learning Resource Text Complexity System</t>
  </si>
  <si>
    <t>The scaling system used to specify the text complexity of an Learning Resource</t>
  </si>
  <si>
    <t>000930</t>
  </si>
  <si>
    <t>LearningResourceTextComplexitySystem</t>
  </si>
  <si>
    <t>Learning Resource Text Complexity Value</t>
  </si>
  <si>
    <t>The complexity of the text using the scaling system defined by Text Complexity System, e.g. Lexile(tm).</t>
  </si>
  <si>
    <t>000929</t>
  </si>
  <si>
    <t>LearningResourceTextComplexityValue</t>
  </si>
  <si>
    <t>Learning Resource Time Required</t>
  </si>
  <si>
    <t>The approximate or typical time it takes to work with or through this learning resource for the typical intended target audience.</t>
  </si>
  <si>
    <t>Hours and Minutes (HH:MM)</t>
  </si>
  <si>
    <t>Name changed from Learning Resource Minutes Required.</t>
  </si>
  <si>
    <t>000924</t>
  </si>
  <si>
    <t>LearningResourceTimeRequired</t>
  </si>
  <si>
    <t>Learning Resource Title</t>
  </si>
  <si>
    <t>The title of the resource.</t>
  </si>
  <si>
    <t>000912</t>
  </si>
  <si>
    <t>LearningResourceTitle</t>
  </si>
  <si>
    <t>Learning Resource Type</t>
  </si>
  <si>
    <t>The predominate type or kind characterizing the learning resource.</t>
  </si>
  <si>
    <t>A community of SEAs have agreed to use a limited set of Learning Resource Type options when tagging learning resources in shared resource repositories. The options defined for this element align with those common tagging specifications.</t>
  </si>
  <si>
    <t>000928</t>
  </si>
  <si>
    <t>LearningResourceType</t>
  </si>
  <si>
    <t>Learning Resource Typical Age Range Maximum</t>
  </si>
  <si>
    <t>The maximum for the typical range of ages of the content’s intended end user.</t>
  </si>
  <si>
    <t>000926</t>
  </si>
  <si>
    <t>LearningResourceTypicalAgeRangeMaximum</t>
  </si>
  <si>
    <t>Learning Resource Typical Age Range Minimum</t>
  </si>
  <si>
    <t>The minimum for the typical range of ages of the content’s intended end user.</t>
  </si>
  <si>
    <t>000925</t>
  </si>
  <si>
    <t>LearningResourceTypicalAgeRangeMinimum</t>
  </si>
  <si>
    <t>Learning Resource URL</t>
  </si>
  <si>
    <t>The Uniform Resource Locator where the resource may be accessed, or a proxy for the resource, such as an information page for a commercially available resource.</t>
  </si>
  <si>
    <t>000911</t>
  </si>
  <si>
    <t>LearningResourceURL</t>
  </si>
  <si>
    <t>Learning Resource Use Rights URL</t>
  </si>
  <si>
    <t>The URL where the owner specifies permissions for using the resource.</t>
  </si>
  <si>
    <t>Ex: “http://creativecommons.org/licenses/by/3.0/“</t>
  </si>
  <si>
    <t>000921</t>
  </si>
  <si>
    <t>LearningResourceUseRightsURL</t>
  </si>
  <si>
    <t>Learning Resource Version</t>
  </si>
  <si>
    <t>Defines the version of the learning resource as defined by the publisher.</t>
  </si>
  <si>
    <t>001216</t>
  </si>
  <si>
    <t>LearningResourceVersion</t>
  </si>
  <si>
    <t>Learning Standard Document Creator</t>
  </si>
  <si>
    <t>The person or organization chiefly responsible for the intellectual content of the standards document.</t>
  </si>
  <si>
    <t>000696</t>
  </si>
  <si>
    <t>LearningStandardDocumentCreator</t>
  </si>
  <si>
    <t>Learning Standard Document Description</t>
  </si>
  <si>
    <t>A textual description of the scope and contents of the Learning Standards Document.</t>
  </si>
  <si>
    <t>000697</t>
  </si>
  <si>
    <t>LearningStandardDocumentDescription</t>
  </si>
  <si>
    <t>Learning Standard Document Identifier URI</t>
  </si>
  <si>
    <t>An unambiguous reference to the standards document using a network-resolvable URI.</t>
  </si>
  <si>
    <t>000693</t>
  </si>
  <si>
    <t>LearningStandardDocumentIdentifierURI</t>
  </si>
  <si>
    <t>Learning Standard Document Jurisdiction</t>
  </si>
  <si>
    <t>A legal, quasi-legal, organizational or institutional domain of the entity mandating the use of the statement--e.g., California.</t>
  </si>
  <si>
    <t>000699</t>
  </si>
  <si>
    <t>LearningStandardDocumentJurisdiction</t>
  </si>
  <si>
    <t>Learning Standard Document Language</t>
  </si>
  <si>
    <t>The default language of the text used for the content in the learning standard document.</t>
  </si>
  <si>
    <t>000880</t>
  </si>
  <si>
    <t>LearningStandardDocumentLanguage</t>
  </si>
  <si>
    <t>Learning Standard Document License</t>
  </si>
  <si>
    <t>A legal document giving official permission to do something with the standards document.</t>
  </si>
  <si>
    <t>000882</t>
  </si>
  <si>
    <t>LearningStandardDocumentLicense</t>
  </si>
  <si>
    <t>Learning Standard Document Publication Status</t>
  </si>
  <si>
    <t>The publication status of the document.</t>
  </si>
  <si>
    <t>000698</t>
  </si>
  <si>
    <t>LearningStandardDocumentPublicationStatus</t>
  </si>
  <si>
    <t>Learning Standard Document Publisher</t>
  </si>
  <si>
    <t>The entity responsible for making the learning standards document available.</t>
  </si>
  <si>
    <t>000884</t>
  </si>
  <si>
    <t>LearningStandardDocumentPublisher</t>
  </si>
  <si>
    <t>Learning Standard Document Rights</t>
  </si>
  <si>
    <t>The information about rights held in and over the resource.</t>
  </si>
  <si>
    <t>000885</t>
  </si>
  <si>
    <t>LearningStandardDocumentRights</t>
  </si>
  <si>
    <t>Learning Standard Document Rights Holder</t>
  </si>
  <si>
    <t>The person or organization owning or managing rights over the learning standards document.</t>
  </si>
  <si>
    <t>000886</t>
  </si>
  <si>
    <t>LearningStandardDocumentRightsHolder</t>
  </si>
  <si>
    <t>Learning Standard Document Subject</t>
  </si>
  <si>
    <t>The topic or academic subject of the Learning Standard Document.</t>
  </si>
  <si>
    <t>000702</t>
  </si>
  <si>
    <t>LearningStandardDocumentSubject</t>
  </si>
  <si>
    <t>Learning Standard Document Title</t>
  </si>
  <si>
    <t>The name of the standards document.</t>
  </si>
  <si>
    <t>000694</t>
  </si>
  <si>
    <t>LearningStandardDocumentTitle</t>
  </si>
  <si>
    <t>Learning Standard Document Valid End Date</t>
  </si>
  <si>
    <t>The year, month and day the standards document was deprecated/replaced by the jurisdiction in which it was intended to apply.</t>
  </si>
  <si>
    <t>000701</t>
  </si>
  <si>
    <t>LearningStandardDocumentValidEndDate</t>
  </si>
  <si>
    <t>Learning Standard Document Valid Start Date</t>
  </si>
  <si>
    <t>The year, month and day the standards document was adopted by the jurisdiction in which it was intended to apply.</t>
  </si>
  <si>
    <t>000700</t>
  </si>
  <si>
    <t>LearningStandardDocumentValidStartDate</t>
  </si>
  <si>
    <t>Learning Standard Document Version</t>
  </si>
  <si>
    <t>Defines the revision of the document as a version number or date.</t>
  </si>
  <si>
    <t>000695</t>
  </si>
  <si>
    <t>LearningStandardDocumentVersion</t>
  </si>
  <si>
    <t>Learning Standard Item Association Connection Citation</t>
  </si>
  <si>
    <t>Any citation appropriate to evidence the connection between nodes</t>
  </si>
  <si>
    <t>Learning Standards -&gt; Learning Standard Item -&gt; Learning Standard Item Association</t>
  </si>
  <si>
    <t>001402</t>
  </si>
  <si>
    <t>LearningStandardItemAssociationConnectionCitation</t>
  </si>
  <si>
    <t>Learning Standard Item Association Destination Node Name</t>
  </si>
  <si>
    <t>Name of the destination node when the Learning Standard Item Association is used as a connector in a learning map.</t>
  </si>
  <si>
    <t>001403</t>
  </si>
  <si>
    <t>LearningStandardItemAssociationDestinationNodeName</t>
  </si>
  <si>
    <t>Learning Standard Item Association Destination Node URI</t>
  </si>
  <si>
    <t>URI of the destination node when the Learning Standard Item Association is used as a connector in a learning map.</t>
  </si>
  <si>
    <t>001404</t>
  </si>
  <si>
    <t>LearningStandardItemAssociationDestinationNodeURI</t>
  </si>
  <si>
    <t>Learning Standard Item Association Identifier</t>
  </si>
  <si>
    <t>A URI that establishes uniqueness of an association.</t>
  </si>
  <si>
    <t>000871</t>
  </si>
  <si>
    <t>LearningStandardItemAssociationIdentifier</t>
  </si>
  <si>
    <t>Learning Standard Item Association Origin Node Name</t>
  </si>
  <si>
    <t>Name of the origin node when the Learning Standard Item Association is used as a connector in a learning map.</t>
  </si>
  <si>
    <t>001405</t>
  </si>
  <si>
    <t>LearningStandardItemAssociationOriginNodeName</t>
  </si>
  <si>
    <t>Learning Standard Item Association Origin Node URI</t>
  </si>
  <si>
    <t>URI of the origin node when the Learning Standard Item Association is used as a connector in a learning map.</t>
  </si>
  <si>
    <t>001406</t>
  </si>
  <si>
    <t>LearningStandardItemAssociationOriginNodeURI</t>
  </si>
  <si>
    <t>Learning Standard Item Association Type</t>
  </si>
  <si>
    <t>Defines the nature of the association between a Learning Standard Item and an associated data object such as a Learning Resource, an Assessment Item, or even another Learning Standard Item.</t>
  </si>
  <si>
    <t>The Learning Standard Item Association entity defines metadata relationships between a Learning Standard Item and other objects or relationships between Learning Standard Items not otherwise defined in the normal taxonomy of the framework such as for competency-based pathways, relationships between different versions of the same learning standard, and relationships to resources.</t>
  </si>
  <si>
    <t>For example, "Prerequisite" may indicate that the Associated Learning Standard Item is a Prerequisite of this Learning Standards Item. Another association may specify that a Learning Resource "Teaches" the specified Learning Standard Item, or is aligned to the "Reading Level" specified as part of the Learning Standard Item.</t>
  </si>
  <si>
    <t>000869</t>
  </si>
  <si>
    <t>LearningStandardItemAssociationType</t>
  </si>
  <si>
    <t>Learning Standard Item Association Weight</t>
  </si>
  <si>
    <t>Indicates the relative significance this connection has for the destination node in a learning map.</t>
  </si>
  <si>
    <t>Numeric - up to 3 digits after decimal place</t>
  </si>
  <si>
    <t>This element is used to support learning maps and may be used in two ways 1) use a 1.000 to flag incoming nodes as important prerequisites/predecessors and 0.000 to indicate those with less significance, or 2) to indicate a levels of significance for the connection as a decimal between 0.000 and 1.000.</t>
  </si>
  <si>
    <t>001407</t>
  </si>
  <si>
    <t>LearningStandardItemAssociationWeight</t>
  </si>
  <si>
    <t>Learning Standard Item Blooms Taxonomy Domain</t>
  </si>
  <si>
    <t>Classification of the Learning Standard Item using Bloom's Taxonomy Domains. </t>
  </si>
  <si>
    <t>000875</t>
  </si>
  <si>
    <t>LearningStandardItemBloomsTaxonomyDomain</t>
  </si>
  <si>
    <t>Learning Standard Item Code</t>
  </si>
  <si>
    <t>A human-referenceable code designated by the publisher to identify the item in the hierarchy of learning standard items.</t>
  </si>
  <si>
    <t>For example: "M.1.N.3" The code is usually not globally unique and usually has embedded meaning such as a number that represents a grade/level and letters that represent content strands.</t>
  </si>
  <si>
    <t>000692</t>
  </si>
  <si>
    <t>Competency Item Code</t>
  </si>
  <si>
    <t>LearningStandardItemCode</t>
  </si>
  <si>
    <t>Learning Standard Item Concept Keyword</t>
  </si>
  <si>
    <t>The significant topicality of the learning standard using free-text keywords and phrases.</t>
  </si>
  <si>
    <t>000887</t>
  </si>
  <si>
    <t>LearningStandardItemConceptKeyword</t>
  </si>
  <si>
    <t>Learning Standard Item Concept Term</t>
  </si>
  <si>
    <t>The topicality of the achievement standard, e.g. "Pythagorean Theorem" "Trigonometric functions" "Forces and energy" "Scientific method" "Oral history" etc.</t>
  </si>
  <si>
    <t>000888</t>
  </si>
  <si>
    <t>LearningStandardItemConceptTerm</t>
  </si>
  <si>
    <t>Learning Standard Item Current Version Indicator</t>
  </si>
  <si>
    <t>Indicates that this is the most current version of the Learning Standard Item.</t>
  </si>
  <si>
    <t>This element supports version histories at the statement level. If corrections have been made to individual items/statements that are not part of a new Learning Standard Document, the elements 'Learning Standard Item Previous Version Identifier' and 'Learning Standard Item Current Version Indicator' provide a reference to historical versions of the current statement. In such uses the 'Learning Standard Item Code' could be the same for multiple versions of a statement and Learning Standard Item URL could resolve to the most current version of the statement.</t>
  </si>
  <si>
    <t>001525</t>
  </si>
  <si>
    <t>LearningStandardItemCurrentVersionIndicator</t>
  </si>
  <si>
    <t>Learning Standard Item Education Level</t>
  </si>
  <si>
    <t>The education level, grade level or primary instructional level at which a Learning Standard Item is intended.</t>
  </si>
  <si>
    <t>More than one Learning Standard Grade Level may be associated with one Learning Standard Item.</t>
  </si>
  <si>
    <t>000725</t>
  </si>
  <si>
    <t>LearningStandardItemEducationLevel</t>
  </si>
  <si>
    <t>Learning Standard Item Identifier</t>
  </si>
  <si>
    <t>The globally unique identifier (GUID) issued by the publisher of the competency framework that uniquely identifies the item in the hierarchy of learning standard items using a RFC 4122 compliant 32-character hexadecimal string, such as 21EC2020-3AEA-1069-A2DD-08002B30309D.</t>
  </si>
  <si>
    <t>Alphanumeric - 36 characters</t>
  </si>
  <si>
    <t>000689</t>
  </si>
  <si>
    <t>Competency Item Identifier</t>
  </si>
  <si>
    <t>LearningStandardItemIdentifier</t>
  </si>
  <si>
    <t>Learning Standard Item Language</t>
  </si>
  <si>
    <t>The default language of the text used for the content in the learning standard statement.</t>
  </si>
  <si>
    <t>000881</t>
  </si>
  <si>
    <t>LearningStandardItemLanguage</t>
  </si>
  <si>
    <t>Learning Standard Item License</t>
  </si>
  <si>
    <t>The full text or URL reference to a legal document giving official permission to do something with the standards statement.</t>
  </si>
  <si>
    <t>000883</t>
  </si>
  <si>
    <t>LearningStandardItemLicense</t>
  </si>
  <si>
    <t>Learning Standard Item Multiple Intelligence</t>
  </si>
  <si>
    <t>Classification of the Learning Standard Item using intelligences defined for Howard Earl Gardner's Theory of Multiple Intelligences.</t>
  </si>
  <si>
    <t>000876</t>
  </si>
  <si>
    <t>LearningStandardItemMultipleIntelligence</t>
  </si>
  <si>
    <t>Learning Standard Item Node Accessibility Profile</t>
  </si>
  <si>
    <t>When the Learning Standard Item is used as a node in a learning map, this element supports alternative pathways based on a learner's accessibility profile. The type selected indicates which accessibility profile the node is designed to address.</t>
  </si>
  <si>
    <t>Learning Standards -&gt; Learning Standard Item</t>
  </si>
  <si>
    <t>001408</t>
  </si>
  <si>
    <t>LearningStandardItemNodeAccessibilityProfile</t>
  </si>
  <si>
    <t>Learning Standard Item Node Name</t>
  </si>
  <si>
    <t>The name or label displayed on the node when this learning standard item is used in a learning map.</t>
  </si>
  <si>
    <t>001409</t>
  </si>
  <si>
    <t>LearningStandardItemNodeName</t>
  </si>
  <si>
    <t>Learning Standard Item Notes</t>
  </si>
  <si>
    <t>Information about the derivation of a Learning Standard Item Statement.</t>
  </si>
  <si>
    <t>001249</t>
  </si>
  <si>
    <t>LearningStandardItemNotes</t>
  </si>
  <si>
    <t>Learning Standard Item Parent Code</t>
  </si>
  <si>
    <t>A human-referenceable code designated by the publisher to identify the parent item in the hierarchy of learning standard items.</t>
  </si>
  <si>
    <t>000873</t>
  </si>
  <si>
    <t>LearningStandardItemParentCode</t>
  </si>
  <si>
    <t>Learning Standard Item Parent Identifier</t>
  </si>
  <si>
    <t>The globally unique identifier (GUID) issued by the publisher of the competency framework that uniquely identifies the parent item in the hierarchy of learning standard items using a RFC 4122 compliant 32-character hexadecimal string, such as 21EC2020-3AEA-1069-A2DD-08002B30309D.</t>
  </si>
  <si>
    <t>000872</t>
  </si>
  <si>
    <t>LearningStandardItemParentIdentifier</t>
  </si>
  <si>
    <t>Learning Standard Item Parent URL</t>
  </si>
  <si>
    <t>A network-resolvable Uniform Resource Locator (URL) pointing to the authoritative reference for the hierarchal parent of the learning standard item.</t>
  </si>
  <si>
    <t>001094</t>
  </si>
  <si>
    <t>LearningStandardItemParentURL</t>
  </si>
  <si>
    <t>Learning Standard Item Prerequisite Identifier</t>
  </si>
  <si>
    <t>The unique identifier of a prerequisite Learning Standard Item, a competency needed prior to learning this one. (Some items may have no prerequisites others may have one or more prerequisites. This should only be used to represent the immediate predecessors in a competency-based pathway, i.e. not prerequisites of prerequisites.)</t>
  </si>
  <si>
    <t>Use the entity Learning Standard Item Association instead of this data element for flexibility in use cases that require multiple types of associations, including prerequisite and version relationships between learning standard items. Learning Standard Item Association also supports associating other entities, such as Learning Resources, to learning standard items.</t>
  </si>
  <si>
    <t>000715</t>
  </si>
  <si>
    <t>LearningStandardItemPrerequisiteIdentifier</t>
  </si>
  <si>
    <t>Learning Standard Item Previous Version Identifier</t>
  </si>
  <si>
    <t>The unique identifier of the previous version of the Learning Standard Item if the statement was modified.</t>
  </si>
  <si>
    <t>Alphanumeric - 36 characters in length</t>
  </si>
  <si>
    <t>001524</t>
  </si>
  <si>
    <t>LearningStandardItemPreviousVersionIdentifier</t>
  </si>
  <si>
    <t>Learning Standard Item Statement</t>
  </si>
  <si>
    <t>The text of the statement. The textual content that either describes a specific competency or describes a less granular group of competencies within the taxonomy of the standards document.</t>
  </si>
  <si>
    <t>Note: This element is designed to support statements from various learning standards frameworks. The Head Start Child Outcomes Framework includes statements for Domains, Elements, and Indicators. Examples from the K-12 Common Core State Standards are the domain: “Geometry", the cluster: “Understand and apply the Pythagorean Theorem,” and standard: “Apply the Pythagorean Theorem to determine unknown side lengths in right triangles in real-world and mathematical problems in two and three dimensions.”</t>
  </si>
  <si>
    <t>000690</t>
  </si>
  <si>
    <t>Competency Item Statement</t>
  </si>
  <si>
    <t>LearningStandardItemStatement</t>
  </si>
  <si>
    <t>Learning Standard Item Testability Type</t>
  </si>
  <si>
    <t>Indicates if the competency described in the Learning Standard Item Statement can be tested using one or more assessment items.</t>
  </si>
  <si>
    <t>001411</t>
  </si>
  <si>
    <t>LearningStandardItemTestabilityType</t>
  </si>
  <si>
    <t>Learning Standard Item Text Complexity Maximum Value</t>
  </si>
  <si>
    <t>The maximum value in the range of text complexity applicable to a language learning standard using the scaling system defined by Text Complexity System, e.g. Lexile(tm).</t>
  </si>
  <si>
    <t>001155</t>
  </si>
  <si>
    <t>LearningStandardItemTextComplexityMaximumValue</t>
  </si>
  <si>
    <t>Learning Standard Item Text Complexity Minimum Value</t>
  </si>
  <si>
    <t>The minimum value in the range of text complexity applicable to a language learning standard using the scaling system defined by Text Complexity System, e.g. Lexile(tm).</t>
  </si>
  <si>
    <t>001154</t>
  </si>
  <si>
    <t>LearningStandardItemTextComplexityMinimumValue</t>
  </si>
  <si>
    <t>Learning Standard Item Text Complexity System</t>
  </si>
  <si>
    <t>The scaling system used to specify the text complexity of an learning standard item.</t>
  </si>
  <si>
    <t>000910</t>
  </si>
  <si>
    <t>LearningStandardItemTextComplexitySystem</t>
  </si>
  <si>
    <t>Learning Standard Item Type</t>
  </si>
  <si>
    <t>The textual label identifying the class of the statement as designated by the promulgating body—e.g., "Standard," "Benchmark," "Strand," or "Topic." or "Level 1, Level 2,..."</t>
  </si>
  <si>
    <t>000691</t>
  </si>
  <si>
    <t>Competency Item Type</t>
  </si>
  <si>
    <t>LearningStandardItemType</t>
  </si>
  <si>
    <t>Learning Standard Item Typical Age Range</t>
  </si>
  <si>
    <t>The typical range of ages for the content’s intended end user.</t>
  </si>
  <si>
    <t>E.g. "7-9"</t>
  </si>
  <si>
    <t>000870</t>
  </si>
  <si>
    <t>LearningStandardItemTypicalAgeRange</t>
  </si>
  <si>
    <t>Learning Standard Item URL</t>
  </si>
  <si>
    <t>A network-resolvable Uniform Resource Locator (URL) pointing to the authoritative reference for the learning standard item.</t>
  </si>
  <si>
    <t>000874</t>
  </si>
  <si>
    <t>LearningStandardItemUrl</t>
  </si>
  <si>
    <t>Learning Standard Item Valid End Date</t>
  </si>
  <si>
    <t>The year, month and day the standards item was deprecated/replaced by the jurisdiction in which it was intended to apply.</t>
  </si>
  <si>
    <t>When not specified the entity is assumed contain the most current version of the specified learnig standard item.</t>
  </si>
  <si>
    <t>001511</t>
  </si>
  <si>
    <t>LearningStandardItemValidEndDate</t>
  </si>
  <si>
    <t>Learning Standard Item Valid Start Date</t>
  </si>
  <si>
    <t>The year, month and day the standards item was adopted by the jurisdiction in which it was intended to apply.</t>
  </si>
  <si>
    <t>001512</t>
  </si>
  <si>
    <t>LearningStandardItemValidStartDate</t>
  </si>
  <si>
    <t>Learning Standard Item Version</t>
  </si>
  <si>
    <t>A label assigned by the publisher indicating the version of the learning standard statement.</t>
  </si>
  <si>
    <t>001250</t>
  </si>
  <si>
    <t>LearningStandardItemVersion</t>
  </si>
  <si>
    <t>Leave Event Type</t>
  </si>
  <si>
    <t>The type of the leave event.</t>
  </si>
  <si>
    <t>K12 -&gt; K12 Staff -&gt; Attendance</t>
  </si>
  <si>
    <t>000624</t>
  </si>
  <si>
    <t>LeaveEventType</t>
  </si>
  <si>
    <t>Level of Institution</t>
  </si>
  <si>
    <t>A classification of whether a postsecondary institution's highest level of offering is a program of 4-years or higher (4 year), 2-but-less-than 4-years (2 year), or less than 2-years.</t>
  </si>
  <si>
    <t>000178</t>
  </si>
  <si>
    <t>LevelOfInstitution</t>
  </si>
  <si>
    <t>Level of Specialization in Early Learning</t>
  </si>
  <si>
    <t>The extent to which a person concentrates upon a particular subject matter area during his or her period of study at an educational institution.</t>
  </si>
  <si>
    <t>000341</t>
  </si>
  <si>
    <t>LevelOfSpecializationInEarlyLearning</t>
  </si>
  <si>
    <t>License Exempt</t>
  </si>
  <si>
    <t>The program or center is legally exempt from licensing.</t>
  </si>
  <si>
    <t>000350</t>
  </si>
  <si>
    <t>LicenseExempt</t>
  </si>
  <si>
    <t>Limited English Proficiency - Postsecondary</t>
  </si>
  <si>
    <t>The term "individual with limited English proficiency" means a secondary school student, an adult, or an out-of-school youth, who has limited ability in speaking, reading, writing, or understanding the English language AND whose native language is a language other than English; OR who lives in a family or community environment in which a language other than English is the dominant language.</t>
  </si>
  <si>
    <t>000179</t>
  </si>
  <si>
    <t>LEP - Postsecondary</t>
  </si>
  <si>
    <t>LEPPostsecondary</t>
  </si>
  <si>
    <t>Limited English Proficiency Entry Date</t>
  </si>
  <si>
    <t>The year, month and day a student classified as limited English proficient entered the LEP program.</t>
  </si>
  <si>
    <t>K12 -&gt; K12 Student -&gt; Limited English Proficiency</t>
  </si>
  <si>
    <t>001247</t>
  </si>
  <si>
    <t>LEP Entry Date</t>
  </si>
  <si>
    <t>LimitedEnglishProficiencyEntryDate</t>
  </si>
  <si>
    <t>Limited English Proficiency Exit Date</t>
  </si>
  <si>
    <t>The year, month and day a student classified as limited English proficient exited the LEP program.</t>
  </si>
  <si>
    <t>000570</t>
  </si>
  <si>
    <t>LEP Exit Date</t>
  </si>
  <si>
    <t>LEPExitDate</t>
  </si>
  <si>
    <t>Limited English Proficiency Status</t>
  </si>
  <si>
    <t>Used to indicate persons (A) who are ages 3 through 21; (B) who are enrolled or preparing to enroll in an elementary school or a secondary school; (C ) (who are I, ii, or iii) (i) who were not born in the United States or whose native languages are languages other than English; (ii) (who are I and II) (I) who are a Native American or Alaska Native, or a native resident of the outlying areas; and (II) who come from an environment where languages other than English have a significant impact on their level of language proficiency; or (iii) who are migratory, whose native languages are languages other than English, and who come from an environment where languages other than English are dominant; and (D) whose difficulties in speaking, reading, writing, or understanding the English language may be sufficient to deny the individuals (who are denied I or ii or iii) (i) the ability to meet the state's proficient level of achievement on state assessments described in section 1111(b)(3); (ii) the ability to successfully achieve in classrooms where the language of instruction is English; or (iii) the opportunity to participate fully in society.</t>
  </si>
  <si>
    <t>000180</t>
  </si>
  <si>
    <t>LEP Status</t>
  </si>
  <si>
    <t>LEPStatus</t>
  </si>
  <si>
    <t>Literacy Assessment Administered Type</t>
  </si>
  <si>
    <t>The type of literacy test administered.</t>
  </si>
  <si>
    <t>000466</t>
  </si>
  <si>
    <t>LiteracyAssessmentAdministeredType</t>
  </si>
  <si>
    <t>Literacy Goal Met Status</t>
  </si>
  <si>
    <t>The participant showed "significant learning gains" on measures of reading, the definition of which is determined at the State level.</t>
  </si>
  <si>
    <t>000467</t>
  </si>
  <si>
    <t>LiteracyGoalMetStatus</t>
  </si>
  <si>
    <t>Literacy Post Test Status</t>
  </si>
  <si>
    <t>The participant completed a literacy post-test.</t>
  </si>
  <si>
    <t>000468</t>
  </si>
  <si>
    <t>LiteracyPostTestStatus</t>
  </si>
  <si>
    <t>Literacy Pre Test Status</t>
  </si>
  <si>
    <t>The participant completed a literacy pre-test.</t>
  </si>
  <si>
    <t>000469</t>
  </si>
  <si>
    <t>LiteracyPreTestStatus</t>
  </si>
  <si>
    <t>Local Education Agency Funds Transfer Type</t>
  </si>
  <si>
    <t>An indication of the type of transfer for an LEAs that transferred funds from an eligible program to another eligible program.</t>
  </si>
  <si>
    <t>000451</t>
  </si>
  <si>
    <t>LEA Funds Transfer Type</t>
  </si>
  <si>
    <t>LEAFundsTransferType</t>
  </si>
  <si>
    <t>Local Education Agency Identification System</t>
  </si>
  <si>
    <t>A coding scheme that is used for identification and record-keeping purposes by schools, social services, or other agencies to refer to a local education agency.</t>
  </si>
  <si>
    <t>001072</t>
  </si>
  <si>
    <t>LEA Identification System</t>
  </si>
  <si>
    <t>LEAIdentificationSystem</t>
  </si>
  <si>
    <t>Local Education Agency Identifier</t>
  </si>
  <si>
    <t>A unique number or alphanumeric code assigned to a local education agency by a school system, a state, or other agency or entity.</t>
  </si>
  <si>
    <t>001068</t>
  </si>
  <si>
    <t>LEA Identifier</t>
  </si>
  <si>
    <t>LocalEducationAgencyIdentifier</t>
  </si>
  <si>
    <t>Local Education Agency Improvement Status</t>
  </si>
  <si>
    <t>An indication of the improvement stage for AYP of the local education agency (LEA).</t>
  </si>
  <si>
    <t>000173</t>
  </si>
  <si>
    <t>LEA Improvement Status</t>
  </si>
  <si>
    <t>LEAImprovementStatus</t>
  </si>
  <si>
    <t>Local Education Agency Operational Status</t>
  </si>
  <si>
    <t>The classification of the operational condition of a local education agency (LEA) at the start of the school year.</t>
  </si>
  <si>
    <t>K12 -&gt; LEA -&gt; Directory</t>
  </si>
  <si>
    <t>000174</t>
  </si>
  <si>
    <t>LEA Operational Status</t>
  </si>
  <si>
    <t>LEAOperationalStatus</t>
  </si>
  <si>
    <t>Local Education Agency Supervisory Union Identification Number</t>
  </si>
  <si>
    <t>The three-digit unique identifier assigned to the supervisory union by the state.</t>
  </si>
  <si>
    <t>Alphanumeric - 3 characters maximum</t>
  </si>
  <si>
    <t>000175</t>
  </si>
  <si>
    <t>LEA Supervisory Union Identification Number</t>
  </si>
  <si>
    <t>LEASupervisoryUnionIdentificationNumber</t>
  </si>
  <si>
    <t>Local Education Agency Transferability of Funds</t>
  </si>
  <si>
    <t>LEA notified the State that they were transferring funds under the LEA Transferability authority of Section 6123(b).</t>
  </si>
  <si>
    <t>000446</t>
  </si>
  <si>
    <t>LEA Transferability of Funds</t>
  </si>
  <si>
    <t>LEATransferabilityOfFunds</t>
  </si>
  <si>
    <t>Local Education Agency Type</t>
  </si>
  <si>
    <t>The classification of education agencies within the geographic boundaries of a state according to the level of administrative and operational control.</t>
  </si>
  <si>
    <t>000537</t>
  </si>
  <si>
    <t>LocalEducationAgencyType</t>
  </si>
  <si>
    <t>Longitude</t>
  </si>
  <si>
    <t>The east or west angular distance from the prime meridian that, when combined with latitude, reflects an estimation of where the school is physically situated.</t>
  </si>
  <si>
    <t>000607</t>
  </si>
  <si>
    <t>Low-income Status</t>
  </si>
  <si>
    <t>A person who receives or is a member of a family who receives a total family income in the 6 months prior to enrollment of 70 percent of the income standard for a family of that size or that does not exceed the poverty line, or the person is receiving or is a member of a family who is receiving cash assistance payments from Federal, State, or local agencies or food stamps, or the person can be designated as homeless under the McKinney Act.</t>
  </si>
  <si>
    <t>000775</t>
  </si>
  <si>
    <t>LowIncomeStatus</t>
  </si>
  <si>
    <t>Magnet or Special Program Emphasis School</t>
  </si>
  <si>
    <t>A school that has been designed: 1) to attract students of different racial/ethnic backgrounds for the purpose of reducing, preventing, or eliminating racial isolation; and/or 2)to provide an academic or social focus on a particular theme (e.g., science/math, performing arts, gifted/talented, career academy or foreign language).</t>
  </si>
  <si>
    <t>000181</t>
  </si>
  <si>
    <t>MagnetOrSpecialProgramEmphasisSchool</t>
  </si>
  <si>
    <t>Marking Period Name</t>
  </si>
  <si>
    <t>The name or description of the marking period (e.g., fall, first marking period).</t>
  </si>
  <si>
    <t>K12 -&gt; Course Section -&gt; Enrollment -&gt; Student Class Section Mark</t>
  </si>
  <si>
    <t>000182</t>
  </si>
  <si>
    <t>MarkingPeriodName</t>
  </si>
  <si>
    <t>Medical Alert Indicator</t>
  </si>
  <si>
    <t>Alert indicator for a medical/health condition.</t>
  </si>
  <si>
    <t>K12 -&gt; K12 Student -&gt; Health</t>
  </si>
  <si>
    <t>000439</t>
  </si>
  <si>
    <t>MedicalAlertIndicator</t>
  </si>
  <si>
    <t>Medical School Staff Status</t>
  </si>
  <si>
    <t>Staff employed by or employees working in the medical school component of a postsecondary institution or in a free standing medical school. Does not include staff employed by or employees working strictly in a hospital associated with a medical school or those who work in health or allied health schools or departments such as dentistry, veterinary medicine, nursing or dental hygiene.</t>
  </si>
  <si>
    <t>000733</t>
  </si>
  <si>
    <t>MedicalSchoolStaffStatus</t>
  </si>
  <si>
    <t>Method of Service Delivery</t>
  </si>
  <si>
    <t>The method by which the services will be provided.</t>
  </si>
  <si>
    <t>Early Learning -&gt; EL Child -&gt; Individualized Program</t>
  </si>
  <si>
    <t>001510</t>
  </si>
  <si>
    <t>MethodOfServiceDelivery</t>
  </si>
  <si>
    <t>Mid Term Mark</t>
  </si>
  <si>
    <t>Indicator of student performance at the mid-point of the marking period.</t>
  </si>
  <si>
    <t>Alphanumeric - 15</t>
  </si>
  <si>
    <t>000183</t>
  </si>
  <si>
    <t>MidTermMark</t>
  </si>
  <si>
    <t>Middle Name</t>
  </si>
  <si>
    <t>A full legal middle name given to a person at birth, baptism, or through legal change.</t>
  </si>
  <si>
    <t>000184</t>
  </si>
  <si>
    <t>MiddleName</t>
  </si>
  <si>
    <t>Migrant Education Program Continuation of Services Status</t>
  </si>
  <si>
    <t>An indication that migrant children are receiving instructional or support services under the continuation of services authority ESEA Title III Section 1304(e)(2)-(3).</t>
  </si>
  <si>
    <t>000563</t>
  </si>
  <si>
    <t>MEP Continuation of Services Status</t>
  </si>
  <si>
    <t>MEPContinuationOfServicesStatus</t>
  </si>
  <si>
    <t>Migrant Education Program Eligibility Expiration Date</t>
  </si>
  <si>
    <t>The year, month, and day on which the child is no longer eligible for the Migrant Education Program. This date should initially be a date equal to 36 months from the Qualifying Arrival Date to indicate the end of MEP eligibility or the student reaches 22 years of age, whichever comes first.</t>
  </si>
  <si>
    <t>000430</t>
  </si>
  <si>
    <t>MEP Eligibility Expiration Date</t>
  </si>
  <si>
    <t>MigrantEducationProgramEligibilityExpirationDate</t>
  </si>
  <si>
    <t>Migrant Education Program Enrollment Type</t>
  </si>
  <si>
    <t>The type of school/migrant education project in which instruction and/or support services are provided.</t>
  </si>
  <si>
    <t>000437</t>
  </si>
  <si>
    <t>MEP Enrollment Type</t>
  </si>
  <si>
    <t>MigrantEducationProgramEnrollmentType</t>
  </si>
  <si>
    <t>Migrant Education Program Participation Status</t>
  </si>
  <si>
    <t>An indicator of whether the student is served by a Migrant Education Program (MEP).</t>
  </si>
  <si>
    <t>000185</t>
  </si>
  <si>
    <t>MEP Participation Status</t>
  </si>
  <si>
    <t>MigrantEducationProgramParticipationStatus</t>
  </si>
  <si>
    <t>Migrant Education Program Personnel Indicator</t>
  </si>
  <si>
    <t>An indication that a staff member's salary is paid by the Title I, Part C Migrant Education Program (MEP) of ESEA as amended.</t>
  </si>
  <si>
    <t>000543</t>
  </si>
  <si>
    <t>MEP Personnel Indicator</t>
  </si>
  <si>
    <t>MEPPersonnelIndicator</t>
  </si>
  <si>
    <t>Migrant Education Program Project Based</t>
  </si>
  <si>
    <t>Indicates the type of MEP project based on the location where the MEP services are held.</t>
  </si>
  <si>
    <t>000440</t>
  </si>
  <si>
    <t>MEP Project Based</t>
  </si>
  <si>
    <t>MigrantEducationProgramProjectBased</t>
  </si>
  <si>
    <t>Migrant Education Program Project Type</t>
  </si>
  <si>
    <t>Type of project funded in whole or in part by MEP funds.</t>
  </si>
  <si>
    <t>000463</t>
  </si>
  <si>
    <t>MEP Project Type</t>
  </si>
  <si>
    <t>MigrantEducationProgramProjectType</t>
  </si>
  <si>
    <t>Migrant Education Program Services Type</t>
  </si>
  <si>
    <t>The type of services received by participating migrant students in the migrant education program (MEP).</t>
  </si>
  <si>
    <t>000186</t>
  </si>
  <si>
    <t>MEP Services Type</t>
  </si>
  <si>
    <t>MigrantEducationProgramServicesType</t>
  </si>
  <si>
    <t>Migrant Education Program Session Type</t>
  </si>
  <si>
    <t>The time of year that a Migrant Education Program operates.</t>
  </si>
  <si>
    <t>000187</t>
  </si>
  <si>
    <t>MEP Session Type</t>
  </si>
  <si>
    <t>MigrantEducationProgramSessionType</t>
  </si>
  <si>
    <t>Migrant Education Program Staff Category</t>
  </si>
  <si>
    <t>Titles of employment, official status, or rank of staff working in the Migrant Education Program (MEP).</t>
  </si>
  <si>
    <t>Funded by Title I-C.</t>
  </si>
  <si>
    <t>000188</t>
  </si>
  <si>
    <t>MEP Staff Category</t>
  </si>
  <si>
    <t>MigrantEducationProgramStaffCategory</t>
  </si>
  <si>
    <t>Migrant Prioritized for Services</t>
  </si>
  <si>
    <t>An indication that a migratory child 1) is failing to meet, or most at risk of failing to meet, the state's challenging academic content standards and student academic achievement standards; and 2) has experienced interruptions in their education during the regular school year.</t>
  </si>
  <si>
    <t>000562</t>
  </si>
  <si>
    <t>MigrantPrioritizedForServices</t>
  </si>
  <si>
    <t>Migrant Status</t>
  </si>
  <si>
    <t>Persons who are, or whose parents or spouses are, migratory agricultural workers, including migratory dairy workers, or migratory fishers, and who, in the preceding 36 months, in order to obtain, or accompany such parents or spouses, in order to obtain, temporary or seasonal employment in agricultural or fishing work (A) have moved from one LEA to another; (B) in a state that comprises a single LEA, have moved from one administrative area to another within such LEA; or (C) reside in an LEA of more than 15,000 square miles, and migrate a distance of 20 miles or more to a temporary residence to engage in a fishing activity.</t>
  </si>
  <si>
    <t>000189</t>
  </si>
  <si>
    <t>MigrantStatus</t>
  </si>
  <si>
    <t>Migrant Student Qualifying Arrival Date</t>
  </si>
  <si>
    <t>The qualifying arrival date (QAD) is the month, date, and year that the child completed a move with his or her parent to enable the parent to find qualifying employment. In some cases, the child and worker may not always move together, in which case the QAD would be the date that the child joins the worker who has already moved, or the date the worker joins the child who has already moved. The QAD is the date the child's eligibility for the Migrant Education Program begins.</t>
  </si>
  <si>
    <t>000432</t>
  </si>
  <si>
    <t>MigrantStudentQualifyingArrivalDate</t>
  </si>
  <si>
    <t>Military Enlistment After Exit</t>
  </si>
  <si>
    <t>An individual who is a member of the uniformed armed forces of the United States as reported through FEDES after exiting secondary, postsecondary, or adult education or workforce programs.</t>
  </si>
  <si>
    <t>Information on military enlistment is collected as a part of the FEDES program which facilitates periodic matches with the Department of Defense Manpower Information Center. While the unemployment insurance data cannot be used to indicate that an individual is not employed, the DOD Enlistment data can suggest "not enlisted when there is no match." These data are included in FEDES matches and may need to be "unduplicated" from employment counts.</t>
  </si>
  <si>
    <t>001412</t>
  </si>
  <si>
    <t>MilitaryEnlistmentAfterExit</t>
  </si>
  <si>
    <t>Minutes Per Day</t>
  </si>
  <si>
    <t>The number of minutes in the day in which the school is normally in session.</t>
  </si>
  <si>
    <t>000500</t>
  </si>
  <si>
    <t>MinutesPerDay</t>
  </si>
  <si>
    <t>Monitoring Visit End Date</t>
  </si>
  <si>
    <t>The date that monitoring visit ended.</t>
  </si>
  <si>
    <t>Early Learning -&gt; EL Organization -&gt; Monitoring</t>
  </si>
  <si>
    <t>001332</t>
  </si>
  <si>
    <t>MonitoringVisitEndDate</t>
  </si>
  <si>
    <t>Monitoring Visit Start Date</t>
  </si>
  <si>
    <t>The date that monitoring visit began.</t>
  </si>
  <si>
    <t>001331</t>
  </si>
  <si>
    <t>MonitoringVisitStartDate</t>
  </si>
  <si>
    <t>Mother's or Maternal Guardian Education</t>
  </si>
  <si>
    <t>The highest level of education attained by a person's mother or maternal guardian</t>
  </si>
  <si>
    <t>001229</t>
  </si>
  <si>
    <t>MothersOrMaternalGuardianEducation</t>
  </si>
  <si>
    <t>Multiple Birth Indicator</t>
  </si>
  <si>
    <t>An indication that the person is a twin, triplet, etc.</t>
  </si>
  <si>
    <t>000431</t>
  </si>
  <si>
    <t>MultipleBirthIndicator</t>
  </si>
  <si>
    <t>NAEP Aspects of Reading</t>
  </si>
  <si>
    <t>Aspects of reading defined by the National Assessment of Educational Progress (NAEP 2005b Framework).</t>
  </si>
  <si>
    <t>001122</t>
  </si>
  <si>
    <t>NAEPAspectsOfReading</t>
  </si>
  <si>
    <t>NAEP Mathematical Complexity Level</t>
  </si>
  <si>
    <t>Complexity levels defined by the National Assessment of Educational Progress (NAEP 2005a Framework).</t>
  </si>
  <si>
    <t>001088</t>
  </si>
  <si>
    <t>NAEPMathematicalComplexityLevel</t>
  </si>
  <si>
    <t>Name of Institution</t>
  </si>
  <si>
    <t>The full legally accepted name of the institution.</t>
  </si>
  <si>
    <t>000191</t>
  </si>
  <si>
    <t>NameOfInstitution</t>
  </si>
  <si>
    <t>Name of Professional Credential or License</t>
  </si>
  <si>
    <t>The name of the license/credential awarded by a given profession.</t>
  </si>
  <si>
    <t>001058</t>
  </si>
  <si>
    <t>NameOfProfessionalCredentialLicense</t>
  </si>
  <si>
    <t>National Collegiate Athletic Association Eligibility</t>
  </si>
  <si>
    <t>An indication that the course is approved for determining NCAA eligibility.</t>
  </si>
  <si>
    <t>001413</t>
  </si>
  <si>
    <t>NCAA Eligibility</t>
  </si>
  <si>
    <t>NCAAEligibility</t>
  </si>
  <si>
    <t>Native Hawaiian or Other Pacific Islander</t>
  </si>
  <si>
    <t>A person having origins in any of the original peoples of Hawaii, Guam, Samoa, or other Pacific Islands.</t>
  </si>
  <si>
    <t>000192</t>
  </si>
  <si>
    <t>NativeHawaiianOrOtherPacificIslander</t>
  </si>
  <si>
    <t>NCES College Course Map Code</t>
  </si>
  <si>
    <t>A taxonomy system for coding postsecondary courses in NCES research studies.</t>
  </si>
  <si>
    <t>See http://nces.ed.gov/pubs2012/2012162rev.pdf</t>
  </si>
  <si>
    <t>001414</t>
  </si>
  <si>
    <t>NCESCollegeCourseMapCode</t>
  </si>
  <si>
    <t>Neglected or Delinquent Academic Achievement Indicator</t>
  </si>
  <si>
    <t>Student was served by Title I, Part D, Subpart 1 of ESEA as amended for at least 90 consecutive days during the reporting period who took both a pre- and post-test.</t>
  </si>
  <si>
    <t>K12 -&gt; K12 Student -&gt; Neglected or Delinquent</t>
  </si>
  <si>
    <t>The elements "Neglected or Delinquent Academic Achievement Indicator " and "Neglected or Delinquent Academic Outcome Indicator" are different, although similarly worded. EDFacts guidance: The Neglected or Delinquent Academic Achievement indicator should only be used for Subpart 1; the Neglected or Delinquent Academic Outcome Indicator Academic Outcome Indicator should be used for subpart 2.</t>
  </si>
  <si>
    <t>000635</t>
  </si>
  <si>
    <t>NeglectedOrDelinquentAcademicAchievementIndicator</t>
  </si>
  <si>
    <t>Neglected or Delinquent Academic Outcome Indicator</t>
  </si>
  <si>
    <t>Student was served by Title I, Part D, Subpart 2 of ESEA as amended for at least 90 consecutive days during the reporting period who took both a pre- and post-test.</t>
  </si>
  <si>
    <t>000636</t>
  </si>
  <si>
    <t>NeglectedOrDelinquentAcademicOutcomeIndicator</t>
  </si>
  <si>
    <t>Neglected or Delinquent Obtained Employment</t>
  </si>
  <si>
    <t>An indication that a Neglected or Delinquent student obtained employment.</t>
  </si>
  <si>
    <t>000484</t>
  </si>
  <si>
    <t>NeglectedOrDelinquentObtainedEmployment</t>
  </si>
  <si>
    <t>Neglected or Delinquent Program Type</t>
  </si>
  <si>
    <t>The type of program under ESEA Title I, Part D, Subpart 1 (state programs) or Subpart 2 (LEA).</t>
  </si>
  <si>
    <t>000194</t>
  </si>
  <si>
    <t>NeglectedOrDelinquentProgramType</t>
  </si>
  <si>
    <t>Neglected or Delinquent Status</t>
  </si>
  <si>
    <t>An indication that the student is participating in programs for neglected or delinquent students (N or D) under Title I, Part D, Subpart 1 (state agencies) of ESEA as amended by NCLB.</t>
  </si>
  <si>
    <t>000193</t>
  </si>
  <si>
    <t>NeglectedOrDelinquentStatus</t>
  </si>
  <si>
    <t>Nonpromotion Reason</t>
  </si>
  <si>
    <t>The primary reason as to why a staff member determined that a student should not be promoted (or be demoted).</t>
  </si>
  <si>
    <t>000531</t>
  </si>
  <si>
    <t>NonpromotionReason</t>
  </si>
  <si>
    <t>Normal Length of Time for Completion</t>
  </si>
  <si>
    <t>The amount of time necessary for a person to complete all requirements for a degree or certificate according to the institution's catalog. This is typically 4 years (8 semesters or trimesters, or 12 quarters, excluding summer terms) for a bachelor's degree in a standard term-based institution; 2 years (4 semesters or trimesters, or 6 quarters, excluding summer terms) for an associate's degree in a standard term-based institution; and the various scheduled times for certificate programs.</t>
  </si>
  <si>
    <t>000197</t>
  </si>
  <si>
    <t>NormalLengthOfTimeForCompletion</t>
  </si>
  <si>
    <t>Normal Length of Time for Completion Units</t>
  </si>
  <si>
    <t>The unit of measurement for length of time for completion.</t>
  </si>
  <si>
    <t>000198</t>
  </si>
  <si>
    <t>NormalLengthOfTimeForCompletionUnits</t>
  </si>
  <si>
    <t>Number of Business-related Postsecondary Credit Hours</t>
  </si>
  <si>
    <t>The number of college course credit hours an individual has successfully completed that are related to business.</t>
  </si>
  <si>
    <t>000817</t>
  </si>
  <si>
    <t>NumberOfBusiness-relatedPostsecondaryCreditHours</t>
  </si>
  <si>
    <t>Number of Classrooms</t>
  </si>
  <si>
    <t>The total number of classrooms for a program, facility, location, or other educational environment.</t>
  </si>
  <si>
    <t>000844</t>
  </si>
  <si>
    <t>NumberOfClassrooms</t>
  </si>
  <si>
    <t>Number of Credits Attempted</t>
  </si>
  <si>
    <t>The number of credits that a student can earn for enrolling in and completing a given course.</t>
  </si>
  <si>
    <t>000199</t>
  </si>
  <si>
    <t>NumberOfCreditsAttempted</t>
  </si>
  <si>
    <t>Number of Credits Earned</t>
  </si>
  <si>
    <t>The number of credits an individual earns by the successful completion of a course.</t>
  </si>
  <si>
    <t>000200</t>
  </si>
  <si>
    <t>NumberOfCreditsEarned</t>
  </si>
  <si>
    <t>Number of Days Absent</t>
  </si>
  <si>
    <t>The number of days a person is absent when school is in session during a given reporting period.</t>
  </si>
  <si>
    <t>000201</t>
  </si>
  <si>
    <t>NumberOfDaysAbsent</t>
  </si>
  <si>
    <t>Number of Days for Title III Subgrants</t>
  </si>
  <si>
    <t>Average number of days for States receiving Title III funds to make subgrants to subgrantees beginning from July 1 of each year, except under conditions where funds are being withheld.</t>
  </si>
  <si>
    <t>000457</t>
  </si>
  <si>
    <t>NumberOfDaysForTitleIIISubgrants</t>
  </si>
  <si>
    <t>Number of Days in Attendance</t>
  </si>
  <si>
    <t>The number of days a person is present when school is in session during a given reporting period.</t>
  </si>
  <si>
    <t>Note: This applies to an enrollment period record. Separate records using this element definition could capture attendance for regular enrollment, an out-of-school program or other program requiring attendance records. CEDS now supports the detailed attendance events to capture attendance status on any given day, class period, or session. CEDS generally doesn't include elements for counts when it has the unit level elements to calculate the count. However, this element has been retained to support the intended use cases, recognizing that the rules for attendance vary based on location.</t>
  </si>
  <si>
    <t>000202</t>
  </si>
  <si>
    <t>NumberOfDaysInAttendance</t>
  </si>
  <si>
    <t>Number of Dependents</t>
  </si>
  <si>
    <t>The number of children or other dependents who live with the student and receive more than half their support from them.</t>
  </si>
  <si>
    <t>001415</t>
  </si>
  <si>
    <t>NumberOfDependents</t>
  </si>
  <si>
    <t>Number of Early Learning Fatalities</t>
  </si>
  <si>
    <t>Number of child fatalities at the program in the past year, as defined by the State</t>
  </si>
  <si>
    <t>000835</t>
  </si>
  <si>
    <t>NumberOfEarlyLearningFatalities</t>
  </si>
  <si>
    <t>Number of Early Learning Injuries</t>
  </si>
  <si>
    <t>Number of child injuries at the program in the past year, as defined by the State.</t>
  </si>
  <si>
    <t>000836</t>
  </si>
  <si>
    <t>NumberOfEarlyLearningInjuries</t>
  </si>
  <si>
    <t>Number of Early Learning Program Monitoring Visits</t>
  </si>
  <si>
    <t>Total number of monitoring visits the program received in the past year.</t>
  </si>
  <si>
    <t>000839</t>
  </si>
  <si>
    <t>NumberOfEarlyLearningProgramMonitoringVisits</t>
  </si>
  <si>
    <t>Number of Immigrant Program Subgrants</t>
  </si>
  <si>
    <t>The number of immigrant program [3114(d)(1)] subgrants.</t>
  </si>
  <si>
    <t>000470</t>
  </si>
  <si>
    <t>NumberOfImmigrantProgramSubgrants</t>
  </si>
  <si>
    <t>Number of People in Family</t>
  </si>
  <si>
    <t>Total number of persons in immediate family. Family means for the purposes of the regulations in this part all persons: (i) Living in the same household who are: (A) Supported by the income of the parent(s) or guardian(s) of the child enrolling or participating in the program; or (B) Related to the child by blood, marriage, or adoption; or (ii) Related to the child enrolling or participating in the program as parents or siblings, by blood, marriage, or adoption.</t>
  </si>
  <si>
    <t>000330</t>
  </si>
  <si>
    <t>NumberOfPeopleInFamily</t>
  </si>
  <si>
    <t>Number of People in Household</t>
  </si>
  <si>
    <t>Total number of persons residing in the same household.</t>
  </si>
  <si>
    <t>000331</t>
  </si>
  <si>
    <t>NumberOfPeopleInHousehold</t>
  </si>
  <si>
    <t>Number of Quality Rating and Improvement System Levels</t>
  </si>
  <si>
    <t>Number of quality levels in the Quality Rating and Improvement System (QRIS).</t>
  </si>
  <si>
    <t>Early Learning -&gt; EL Organization -&gt; QRIS Rating</t>
  </si>
  <si>
    <t>000843</t>
  </si>
  <si>
    <t>Number of QRIS Levels</t>
  </si>
  <si>
    <t>NumberOfQRISLevels</t>
  </si>
  <si>
    <t>Number of School-age Education Postsecondary Credit Hours</t>
  </si>
  <si>
    <t>The number of college course credit hours an individual has successfully completed that are related to K-12 education, parks and recreation, and juvenile justice.</t>
  </si>
  <si>
    <t>000816</t>
  </si>
  <si>
    <t>NumberOfSchool-ageEducationPostsecondaryCreditHours</t>
  </si>
  <si>
    <t>Office of Postsecondary Education Identifier</t>
  </si>
  <si>
    <t>Identification number used by the U.S. Department of Education's Office of Postsecondary Education (OPE) to identify schools that have Program Participation Agreements (PPA) so that its students are eligible to participate in Federal Student Financial Assistance programs under Title IV regulations. This is a 6-digit number followed by a 2-digit suffix used to identify branches, additional locations, and other entities that are part of the eligible institution.</t>
  </si>
  <si>
    <t>Eight digits - no decimal place</t>
  </si>
  <si>
    <t>000203</t>
  </si>
  <si>
    <t>OPEID</t>
  </si>
  <si>
    <t>Ongoing Health Screening Policy</t>
  </si>
  <si>
    <t>An indication of whether a program requires that all children are receiving ongoing health screenings.</t>
  </si>
  <si>
    <t>000847</t>
  </si>
  <si>
    <t>OngoingHealthScreeningPolicy</t>
  </si>
  <si>
    <t>Operation Date</t>
  </si>
  <si>
    <t>The year, month and day on which a program or center began operation.</t>
  </si>
  <si>
    <t>000351</t>
  </si>
  <si>
    <t>OperationDate</t>
  </si>
  <si>
    <t>Operational Status Effective Date</t>
  </si>
  <si>
    <t>The effective date for a change in operational status.</t>
  </si>
  <si>
    <t>000534</t>
  </si>
  <si>
    <t>OperationalStatusEffectiveDate</t>
  </si>
  <si>
    <t>Oral Defense Completed Indicator</t>
  </si>
  <si>
    <t>An indication of the individual's completion of an oral defense. The requirement to conduct an oral defense by doctoral individuals may vary across institutions, programs, or fields of study.</t>
  </si>
  <si>
    <t>001416</t>
  </si>
  <si>
    <t>OralDefenseCompletedIndicator</t>
  </si>
  <si>
    <t>Oral Defense Date</t>
  </si>
  <si>
    <t>The date on which the individual gave an oral defense.</t>
  </si>
  <si>
    <t>001417</t>
  </si>
  <si>
    <t>OralDefenseDate</t>
  </si>
  <si>
    <t>Organization Identification System</t>
  </si>
  <si>
    <t>A coding scheme that is used for identification and record-keeping purposes by schools, social services, or other agencies to refer to an organization.</t>
  </si>
  <si>
    <t>000827</t>
  </si>
  <si>
    <t>OrganizationIdentificationSystem</t>
  </si>
  <si>
    <t>Organization Identifier</t>
  </si>
  <si>
    <t>A unique number or alphanumeric code assigned to an organization by a school, school system, a state, or other agency or entity.</t>
  </si>
  <si>
    <t>000826</t>
  </si>
  <si>
    <t>OrganizationIdentifier</t>
  </si>
  <si>
    <t>Organization Monitoring Notifications</t>
  </si>
  <si>
    <t>Whether the organization received notification about monitoring</t>
  </si>
  <si>
    <t>001330</t>
  </si>
  <si>
    <t>OrganizationMonitoringNotifications</t>
  </si>
  <si>
    <t>Organization Name</t>
  </si>
  <si>
    <t>The name of a non-person entity such as an organization, institution, agency or business.</t>
  </si>
  <si>
    <t>000204</t>
  </si>
  <si>
    <t>OrganizationName</t>
  </si>
  <si>
    <t>Organization Operational Status</t>
  </si>
  <si>
    <t>The current status of the organization's operations, exclusive of scheduled breaks, holidays, or other temporary interruptions.</t>
  </si>
  <si>
    <t>001418</t>
  </si>
  <si>
    <t>OrganizationOperationalStatus</t>
  </si>
  <si>
    <t>Organization Seeking Accreditation Date</t>
  </si>
  <si>
    <t>The date in which accreditation process was started (but not officially approved or denied)</t>
  </si>
  <si>
    <t>001419</t>
  </si>
  <si>
    <t>OrganizationSeekingAccreditationDate</t>
  </si>
  <si>
    <t>Organization Type</t>
  </si>
  <si>
    <t>The type of educational organization or entity.</t>
  </si>
  <si>
    <t>Added new options.</t>
  </si>
  <si>
    <t>This element is used in data models that are normalize the organization and identifies the primary role that the organization.</t>
  </si>
  <si>
    <t>001156</t>
  </si>
  <si>
    <t>OrganizationType</t>
  </si>
  <si>
    <t>Organization Type of Monitoring</t>
  </si>
  <si>
    <t>The type of monitoring on the organization.</t>
  </si>
  <si>
    <t>001334</t>
  </si>
  <si>
    <t>OrganizationTypeOfMonitoring</t>
  </si>
  <si>
    <t>Original Course Identifier</t>
  </si>
  <si>
    <t>The course identifier as it was listed when the credit was earned (e.g. before a system conversion) to show consistency between present transcripts and older ones.</t>
  </si>
  <si>
    <t>001420</t>
  </si>
  <si>
    <t>OriginalCourseIdentifier</t>
  </si>
  <si>
    <t>Other First Name</t>
  </si>
  <si>
    <t>A first name given to a person.</t>
  </si>
  <si>
    <t>Other First Name may be repeatable and used with Other Name Type.</t>
  </si>
  <si>
    <t>001514</t>
  </si>
  <si>
    <t>OtherFirstName</t>
  </si>
  <si>
    <t>Other Last Name</t>
  </si>
  <si>
    <t>A last name given to a person.</t>
  </si>
  <si>
    <t>Other Last Name may be repeatable and used with Other Name Type.</t>
  </si>
  <si>
    <t>001513</t>
  </si>
  <si>
    <t>OtherLastName</t>
  </si>
  <si>
    <t>Other Middle Name</t>
  </si>
  <si>
    <t>A middle name given to a person.</t>
  </si>
  <si>
    <t>Other Middle Name may be repeatable and used with Other Name Type.</t>
  </si>
  <si>
    <t>001515</t>
  </si>
  <si>
    <t>OtherMiddleName</t>
  </si>
  <si>
    <t>Other Name</t>
  </si>
  <si>
    <t>Previous, alternate or other names or aliases associated with the person.</t>
  </si>
  <si>
    <t>000206</t>
  </si>
  <si>
    <t>OtherName</t>
  </si>
  <si>
    <t>Other Name Type</t>
  </si>
  <si>
    <t>The types of previous, alternate or other names for a person.</t>
  </si>
  <si>
    <t>000634</t>
  </si>
  <si>
    <t>OtherNameType</t>
  </si>
  <si>
    <t>Other Race Indicator</t>
  </si>
  <si>
    <t>Race other than American Indian, Black, Asian, White, Native Pacific Islander</t>
  </si>
  <si>
    <t>This element only applies to Early Learning (Head Start). For non-ED early learning programs only.</t>
  </si>
  <si>
    <t>001421</t>
  </si>
  <si>
    <t>OtherRaceIndicator</t>
  </si>
  <si>
    <t>Other Student Expenses</t>
  </si>
  <si>
    <t>The amount of money (estimated by the financial aid office) needed by a person to cover expenses such as laundry, transportation, and entertainment.</t>
  </si>
  <si>
    <t>000752</t>
  </si>
  <si>
    <t>OtherStudentExpenses</t>
  </si>
  <si>
    <t>Override School Course Number</t>
  </si>
  <si>
    <t>An indication of the way an academic course was identified at an educational institution.</t>
  </si>
  <si>
    <t>001422</t>
  </si>
  <si>
    <t>OverrideSchoolCourseNumber</t>
  </si>
  <si>
    <t>Paraprofessional Qualification Status</t>
  </si>
  <si>
    <t>An indication of whether paraprofessionals are classified as qualified for their assignment according to state definition.</t>
  </si>
  <si>
    <t>000207</t>
  </si>
  <si>
    <t>ParaprofessionalQualificationStatus</t>
  </si>
  <si>
    <t>Parent Communication Method</t>
  </si>
  <si>
    <t>The types of communication methods with parents.</t>
  </si>
  <si>
    <t>000857</t>
  </si>
  <si>
    <t>ParentCommunicationMethod</t>
  </si>
  <si>
    <t>Part-Time Employee Benefits</t>
  </si>
  <si>
    <t>The benefits offered by a program/facility/employer for part-time staff.</t>
  </si>
  <si>
    <t>000867</t>
  </si>
  <si>
    <t>PartTimeEmployeeBenefits</t>
  </si>
  <si>
    <t>Participation in School Food Service Programs</t>
  </si>
  <si>
    <t>An indication of a student's participation in free, reduced price, full price breakfast, lunch, snack, supper, and milk programs.</t>
  </si>
  <si>
    <t>000325</t>
  </si>
  <si>
    <t>ParticipationInSchoolFoodServicePrograms</t>
  </si>
  <si>
    <t>Participation Status for Math</t>
  </si>
  <si>
    <t>An indication of whether the school or district met the 95 percent participation requirement in the mathematics assessment in accordance with state definition for the purposes of determining AYP.</t>
  </si>
  <si>
    <t>000208</t>
  </si>
  <si>
    <t>ParticipationStatusForMath</t>
  </si>
  <si>
    <t>Participation Status for Reading and Language Arts</t>
  </si>
  <si>
    <t>An indication of whether the school or district met the 95 percent participation requirement on the reading/language arts assessment in accordance with state definition for the purposes of determining AYP.</t>
  </si>
  <si>
    <t>000209</t>
  </si>
  <si>
    <t>ParticipationStatusForReadingAndLanguageArts</t>
  </si>
  <si>
    <t>Peer Rating Date</t>
  </si>
  <si>
    <t>The date on which the Peer Rating was entered.</t>
  </si>
  <si>
    <t>001167</t>
  </si>
  <si>
    <t>PeerRatingDate</t>
  </si>
  <si>
    <t>Peer Rating System Maximum Value</t>
  </si>
  <si>
    <t>The maximum value allowed by the Peer Rating System.</t>
  </si>
  <si>
    <t>001149</t>
  </si>
  <si>
    <t>PeerRatingSystemMaximumValue</t>
  </si>
  <si>
    <t>Peer Rating System Minimum Value</t>
  </si>
  <si>
    <t>The minimum value allowed by the Peer Rating System.</t>
  </si>
  <si>
    <t>001150</t>
  </si>
  <si>
    <t>PeerRatingSystemMinimumValue</t>
  </si>
  <si>
    <t>Peer Rating System Name</t>
  </si>
  <si>
    <t>The name of the scaling system used to specify the Peer Rating.</t>
  </si>
  <si>
    <t>001147</t>
  </si>
  <si>
    <t>PeerRatingSystemName</t>
  </si>
  <si>
    <t>Peer Rating System Optimum Value</t>
  </si>
  <si>
    <t>The optimum value allowed by the Peer Rating System. The optimum or best rating may be the maximum value, the minimum value, or something in between.</t>
  </si>
  <si>
    <t>001151</t>
  </si>
  <si>
    <t>PeerRatingSystemOptimumValue</t>
  </si>
  <si>
    <t>Performance Level Descriptive Feedback</t>
  </si>
  <si>
    <t>Diagnostic statements or other feedback to the student or teacher specific to the performance level.</t>
  </si>
  <si>
    <t>001065</t>
  </si>
  <si>
    <t>PerformanceLevelDescriptiveFeedback</t>
  </si>
  <si>
    <t>Perkins Limited English Proficiency Status</t>
  </si>
  <si>
    <t>An indication that students have Limited English Proficiency according to the definition in the Carl D. Perkins Career and Technical Education Act of 2006, which is "a secondary student, an adult, or an out-of-school youth, who has limited ability in speaking, reading, writing, or understanding English language, and (a) whose native language is a language other than English, or (b) who lives in a family or community environment in which a language other than English is the dominant language.</t>
  </si>
  <si>
    <t>000581</t>
  </si>
  <si>
    <t>Perkins LEP Status</t>
  </si>
  <si>
    <t>PerkinsLEPStatus</t>
  </si>
  <si>
    <t>Persistently Dangerous Status</t>
  </si>
  <si>
    <t>An indication of whether the school is identified as persistently dangerous in accordance with state definition.</t>
  </si>
  <si>
    <t>000210</t>
  </si>
  <si>
    <t>PersistentlyDangerousStatus</t>
  </si>
  <si>
    <t>Persistently Lowest Achieving School Status</t>
  </si>
  <si>
    <t>An indication of whether the school is identified by the state as persistently lowest-achieving.</t>
  </si>
  <si>
    <t>000211</t>
  </si>
  <si>
    <t>PersistentlyLowestAchievingSchoolStatus</t>
  </si>
  <si>
    <t>Person Employed in Multiple Jobs Count</t>
  </si>
  <si>
    <t>The number of jobs held by a person during the reference period.</t>
  </si>
  <si>
    <t>Name changed from Person Employed in Multiple Jobs.</t>
  </si>
  <si>
    <t>Workforce Notes: The data sources represent employment during a three month period. Students found employed may have multiple jobs during a reference period with no indication of their sequence. The option set provides a set of numeric ranges for these instances. Many states report these numbers, some as indications of employment stability. Note that it may be desirable to collect these data over time, in a longitudinal sense, to measure things related to persistence, change, and growth in employment.</t>
  </si>
  <si>
    <t>000991</t>
  </si>
  <si>
    <t>PersonEmployedInMultipleJobsCount</t>
  </si>
  <si>
    <t>Person Relationship to Learner Contact Priority Number</t>
  </si>
  <si>
    <t>The numeric order in the preferred sequence and priority for contacting a person related to the learner.</t>
  </si>
  <si>
    <t>001423</t>
  </si>
  <si>
    <t>PersonRelationshipToLearnerContactPriorityNumber</t>
  </si>
  <si>
    <t>Person Relationship to Learner Contact Restrictions Description</t>
  </si>
  <si>
    <t>Restrictions for student and/or teacher contact with the individual (e.g., the student may not be picked up by the individual)</t>
  </si>
  <si>
    <t>001424</t>
  </si>
  <si>
    <t>PersonRelationshipToLearnerContactRestrictionsDescription</t>
  </si>
  <si>
    <t>Person Relationship to Learner Lives With Indicator</t>
  </si>
  <si>
    <t>Indicates whether or not the learner lives with the related person.</t>
  </si>
  <si>
    <t>001425</t>
  </si>
  <si>
    <t>PersonRelationshipToLearnerLivesWithIndicator</t>
  </si>
  <si>
    <t>Person Relationship to Learner Type</t>
  </si>
  <si>
    <t>The nature of the person's relationship to a learner. The learner may be an Early Learning Child, K12 Student, Postsecondary Student, or an adult learner in a workforce education program.</t>
  </si>
  <si>
    <t>000425</t>
  </si>
  <si>
    <t>PersonRelationshipToLearnerType</t>
  </si>
  <si>
    <t>Personal Information Verification</t>
  </si>
  <si>
    <t>The evidence by which a persons name, address, date of birth, etc. is confirmed.</t>
  </si>
  <si>
    <t>000618</t>
  </si>
  <si>
    <t>PersonalInformationVerification</t>
  </si>
  <si>
    <t>Personal Title or Prefix</t>
  </si>
  <si>
    <t>An appellation, if any, used to denote rank, placement, or status (e.g., Mr., Ms., Reverend, Sister, Dr., Colonel).</t>
  </si>
  <si>
    <t>000212</t>
  </si>
  <si>
    <t>Prefix</t>
  </si>
  <si>
    <t>PersonalTitleOrPrefix</t>
  </si>
  <si>
    <t>Personnel Policy Type</t>
  </si>
  <si>
    <t>Policies related to personnel in the organization.</t>
  </si>
  <si>
    <t>000842</t>
  </si>
  <si>
    <t>PersonnelPolicyType</t>
  </si>
  <si>
    <t>Position Title</t>
  </si>
  <si>
    <t>The descriptive name of a person's position.</t>
  </si>
  <si>
    <t>000213</t>
  </si>
  <si>
    <t>PositionTitle</t>
  </si>
  <si>
    <t>Postsecondary Applicant</t>
  </si>
  <si>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 Include early decision, early action, and students who began studies during summer in this cohort.</t>
  </si>
  <si>
    <t>CDS definition/instructions; first part matches IPEDS</t>
  </si>
  <si>
    <t>000755</t>
  </si>
  <si>
    <t>PostsecondaryApplicant</t>
  </si>
  <si>
    <t>Postsecondary Course Level</t>
  </si>
  <si>
    <t>The level of work which is reflected in the credits associated with the academic course being described or the level of the typical student taking the academic course.</t>
  </si>
  <si>
    <t>000215</t>
  </si>
  <si>
    <t>PostsecondaryCourseLevel</t>
  </si>
  <si>
    <t>Postsecondary Course Title</t>
  </si>
  <si>
    <t>The name or title of the course taken by a student at an academic institution.</t>
  </si>
  <si>
    <t>000068</t>
  </si>
  <si>
    <t>PostsecondaryCourseTitle</t>
  </si>
  <si>
    <t>Postsecondary Enrollment Action</t>
  </si>
  <si>
    <t>The action taken with respect to postsecondary enrollment by the student who graduated from the school, LEA or state in the past two years.</t>
  </si>
  <si>
    <t>000586</t>
  </si>
  <si>
    <t>PostsecondaryEnrollmentAction</t>
  </si>
  <si>
    <t>Postsecondary Enrollment Status</t>
  </si>
  <si>
    <t>An indication of the student's enrollment status for a particular term as defined by the institution</t>
  </si>
  <si>
    <t>000096</t>
  </si>
  <si>
    <t>PostsecondaryEnrollmentStatus</t>
  </si>
  <si>
    <t>Postsecondary Enrollment Type</t>
  </si>
  <si>
    <t>An indicator of the enrollment type associated with the enrollment award level of a person at the beginning of a term.</t>
  </si>
  <si>
    <t>000095</t>
  </si>
  <si>
    <t>PostsecondaryEnrollmentType</t>
  </si>
  <si>
    <t>Postsecondary Entering Student Indicator</t>
  </si>
  <si>
    <t>The initial enrollment of an individual in credit bearing courses or developmental/remedial courses at an institution after completing high school or a high school equivalency program (e.g. GED, Adult High School Diploma).</t>
  </si>
  <si>
    <t>An individual can only be an entering student once at an institution at the undergraduate level.</t>
  </si>
  <si>
    <t>001426</t>
  </si>
  <si>
    <t>PostsecondaryEnteringStudentIndicator</t>
  </si>
  <si>
    <t>Postsecondary Student Entering Term</t>
  </si>
  <si>
    <t>The term and year of the initial enrollment of an individual in credit bearing courses or developmental/remedial courses at an institution after completing high school or a high school equivalency program (e.g., GED, Adult High School Diploma).</t>
  </si>
  <si>
    <t>001427</t>
  </si>
  <si>
    <t>PostsecondaryStudentEnteringTerm</t>
  </si>
  <si>
    <t>Postsecondary Student Housing On-Campus</t>
  </si>
  <si>
    <t>The student resides in a residence hall or housing facility owned or controlled by an institution within the same reasonably contiguous geographic area and used by the institution in direct support of or in a manner related to, the institution's educational purposes.</t>
  </si>
  <si>
    <t>IPEDS Definition</t>
  </si>
  <si>
    <t>000760</t>
  </si>
  <si>
    <t>PostsecondaryStudentHousingOnCampus</t>
  </si>
  <si>
    <t>Pre and Post Test Indicator</t>
  </si>
  <si>
    <t>An indication of whether students took both a pre-test and a post-test to measure academic improvement.</t>
  </si>
  <si>
    <t>000571</t>
  </si>
  <si>
    <t>PreAndPostTestIndicator</t>
  </si>
  <si>
    <t>Predominant Calendar System</t>
  </si>
  <si>
    <t>The method by which an institution structures most of its courses for the academic year.</t>
  </si>
  <si>
    <t>Definition and code set in IPEDS</t>
  </si>
  <si>
    <t>000729</t>
  </si>
  <si>
    <t>PredominantCalendarSystem</t>
  </si>
  <si>
    <t>Prekindergarten Daily Length</t>
  </si>
  <si>
    <t>The portion of a day that a pre-kindergarten program is provided to the students it serves.</t>
  </si>
  <si>
    <t>000490</t>
  </si>
  <si>
    <t>PrekindergartenDailyLength</t>
  </si>
  <si>
    <t>Prekindergarten Eligibility</t>
  </si>
  <si>
    <t>The groups of students for whom pre-kindergarten programs are available.</t>
  </si>
  <si>
    <t>000216</t>
  </si>
  <si>
    <t>PrekindergartenEligibility</t>
  </si>
  <si>
    <t>Prekindergarten Eligible Ages for Non-IDEA Students</t>
  </si>
  <si>
    <t>The ages of children not served under IDEA to whom the LEA's pre-kindergarten services are available.</t>
  </si>
  <si>
    <t>000217</t>
  </si>
  <si>
    <t>PrekindergartenEligibleAgesForNonIDEAStudents</t>
  </si>
  <si>
    <t>Present Attendance Category</t>
  </si>
  <si>
    <t>The category that describes how the student spends his or her time when attending an instructional program approved by the state and/or school.</t>
  </si>
  <si>
    <t>000600</t>
  </si>
  <si>
    <t>PresentAttendanceCategory</t>
  </si>
  <si>
    <t>Price of Attendance</t>
  </si>
  <si>
    <t>The total amount institutions estimate that undergraduate-level full-time, first-time degree-seeking students will pay to attend before financial aid is considered. This price includes tuition and fees, books and supplies, room and board, and certain other designated expenses such as transportation. These estimates are the average amounts used by the financial aid office to determine a student’s financial aid.</t>
  </si>
  <si>
    <t>000753</t>
  </si>
  <si>
    <t>PriceOfAttendance</t>
  </si>
  <si>
    <t>Primary Assignment Indicator</t>
  </si>
  <si>
    <t>An indication of whether the assignment is this the staff member's primary assignment.</t>
  </si>
  <si>
    <t>000525</t>
  </si>
  <si>
    <t>PrimaryAssignmentIndicator</t>
  </si>
  <si>
    <t>Primary Contact Indicator</t>
  </si>
  <si>
    <t>Indicates that a person is a primary contact within the specified context, such as a primary parental contact specified in Person Relationship to Learner or a primary administrative contact for an organization.</t>
  </si>
  <si>
    <t>001428</t>
  </si>
  <si>
    <t>PrimaryContactIndicator</t>
  </si>
  <si>
    <t>Primary Disability Type</t>
  </si>
  <si>
    <t>The major or overriding disability condition that best describes a person's impairment.</t>
  </si>
  <si>
    <t>000218</t>
  </si>
  <si>
    <t>PrimaryDisabilityType</t>
  </si>
  <si>
    <t>Primary Telephone Number Indicator</t>
  </si>
  <si>
    <t>An indication that the telephone number should be used as the principal number for a person or organization.</t>
  </si>
  <si>
    <t>000219</t>
  </si>
  <si>
    <t>PrimaryTelephoneNumberIndicator</t>
  </si>
  <si>
    <t>Prior Early Childhood Experience</t>
  </si>
  <si>
    <t>Type(s) of prior experience (if any) in an early childhood program.</t>
  </si>
  <si>
    <t>000319</t>
  </si>
  <si>
    <t>PriorEarlyChildhoodExperience</t>
  </si>
  <si>
    <t>Prior to Secondary Course Identifier</t>
  </si>
  <si>
    <t>The five-digit SCED code and name of the course. The first two-digits of the code represent the Prior to Secondary Course Subject Area. Courses within a Subject Area are distinguished by a three-digit code. The codes carry no meaning within themselves. These identifiers are fairly general but provide enough specificity to identify the course's topic and to distinguish it from other courses in that subject area.</t>
  </si>
  <si>
    <t>000090</t>
  </si>
  <si>
    <t>PriorToSecondaryCourseIdentifier</t>
  </si>
  <si>
    <t>Prior to Secondary Course Subject Area</t>
  </si>
  <si>
    <t>A classification of related courses or units of courses provided for students of elementary and middle school levels. The two character code is used as the first two digits of the School Codes for Exchanged of Data that uniquely identify any course.</t>
  </si>
  <si>
    <t>001159</t>
  </si>
  <si>
    <t>PriorToSecondaryCourseSubjectArea</t>
  </si>
  <si>
    <t>Professional Association Membership Status</t>
  </si>
  <si>
    <t>An indication of whether the person is a member of a professional organization or association.</t>
  </si>
  <si>
    <t>000807</t>
  </si>
  <si>
    <t>ProfessionalAssociationMembershipStatus</t>
  </si>
  <si>
    <t>Professional Association Name</t>
  </si>
  <si>
    <t>The name of a professional association or organization.</t>
  </si>
  <si>
    <t>000808</t>
  </si>
  <si>
    <t>ProfessionalAssociationName</t>
  </si>
  <si>
    <t>Professional Certificate or License Number</t>
  </si>
  <si>
    <t>The number issued by the credentialing/licensing agency.</t>
  </si>
  <si>
    <t>Early Learning -&gt; EL Staff -&gt; Credential</t>
  </si>
  <si>
    <t>001429</t>
  </si>
  <si>
    <t>ProfessionalCertificateOrLicenseNumber</t>
  </si>
  <si>
    <t>Professional Development Activity Approval Code</t>
  </si>
  <si>
    <t>A code given to an event by approval organization.</t>
  </si>
  <si>
    <t>001432</t>
  </si>
  <si>
    <t>ProfessionalDevelopmentActivityApprovalCode</t>
  </si>
  <si>
    <t>Professional Development Activity Approved For</t>
  </si>
  <si>
    <t>Reference may be made to state or national content standards covered in the course.</t>
  </si>
  <si>
    <t>001433</t>
  </si>
  <si>
    <t>ProfessionalDevelopmentActivityApprovedFor</t>
  </si>
  <si>
    <t>Professional Development Activity Code</t>
  </si>
  <si>
    <t>A code assigned to an professional development activity by the organization offering the activity that is unique to the non-variable activity details.</t>
  </si>
  <si>
    <t>001434</t>
  </si>
  <si>
    <t>ProfessionalDevelopmentActivityCode</t>
  </si>
  <si>
    <t>Professional Development Activity Cost</t>
  </si>
  <si>
    <t>The cost for an attendee to participate in a professional development activity.</t>
  </si>
  <si>
    <t>001435</t>
  </si>
  <si>
    <t>ProfessionalDevelopmentActivityCost</t>
  </si>
  <si>
    <t>Professional Development Activity Credit Type</t>
  </si>
  <si>
    <t>The type of credit awarded.</t>
  </si>
  <si>
    <t>001436</t>
  </si>
  <si>
    <t>ProfessionalDevelopmentActivityCreditType</t>
  </si>
  <si>
    <t>Professional Development Activity Credits</t>
  </si>
  <si>
    <t>The number of credits a professional development activity provides.</t>
  </si>
  <si>
    <t>001437</t>
  </si>
  <si>
    <t>ProfessionalDevelopmentActivityCredits</t>
  </si>
  <si>
    <t>Professional Development Activity Description</t>
  </si>
  <si>
    <t>A description of the content covered in the professional development activity.</t>
  </si>
  <si>
    <t>001438</t>
  </si>
  <si>
    <t>ProfessionalDevelopmentActivityDescription</t>
  </si>
  <si>
    <t>Professional Development Activity Education Levels Addressed</t>
  </si>
  <si>
    <t>An age group or education level to which the professional development activity's content pertains.</t>
  </si>
  <si>
    <t>Early Learning -&gt; EL Staff -&gt; Professional Development Event</t>
  </si>
  <si>
    <t>Multiple options may be selected.</t>
  </si>
  <si>
    <t>001279</t>
  </si>
  <si>
    <t>ProfessionalDevelopmentActivityEducationLevelsAddressed</t>
  </si>
  <si>
    <t>Professional Development Activity Expiration Date</t>
  </si>
  <si>
    <t>The year, month, and day on which any certificate awarded as part of a professional development activity expires.</t>
  </si>
  <si>
    <t>001451</t>
  </si>
  <si>
    <t>ProfessionalDevelopmentActivityExpirationDate</t>
  </si>
  <si>
    <t>Professional Development Activity Identifier</t>
  </si>
  <si>
    <t>A unique number or alphanumeric code assigned to the Professional Development Activity as assigned by the organization offering the training.</t>
  </si>
  <si>
    <t>Early Learning -&gt; EL Staff -&gt; Professional Development Activity</t>
  </si>
  <si>
    <t>Changed name from Professional Development Training Identifier.</t>
  </si>
  <si>
    <t>000809</t>
  </si>
  <si>
    <t>ProfessionalDevelopmentActivityIdentifier</t>
  </si>
  <si>
    <t>Professional Development Activity Level</t>
  </si>
  <si>
    <t>An indicator of the level of a professional development activity on the beginner to advanced continuum.</t>
  </si>
  <si>
    <t>001439</t>
  </si>
  <si>
    <t>ProfessionalDevelopmentActivityLevel</t>
  </si>
  <si>
    <t>Professional Development Activity Objective</t>
  </si>
  <si>
    <t>The expected outcomes of a participant in an activity.</t>
  </si>
  <si>
    <t>001440</t>
  </si>
  <si>
    <t>ProfessionalDevelopmentActivityObjective</t>
  </si>
  <si>
    <t>Professional Development Activity Target Audience</t>
  </si>
  <si>
    <t>A categorization of the audience for which the professional development activity is intended.</t>
  </si>
  <si>
    <t>001492</t>
  </si>
  <si>
    <t>ProfessionalDevelopmentActivityTargetAudience</t>
  </si>
  <si>
    <t>Professional Development Activity Title</t>
  </si>
  <si>
    <t>The title of an activity designed for the purpose of developing someone professionally.</t>
  </si>
  <si>
    <t>Changed name from Professional Development Training Title. Updated definition.</t>
  </si>
  <si>
    <t>000810</t>
  </si>
  <si>
    <t>ProfessionalDevelopmentActivityTitle</t>
  </si>
  <si>
    <t>Professional Development Activity Type</t>
  </si>
  <si>
    <t>The indication of the type of profesional development activity.</t>
  </si>
  <si>
    <t>The type of event should be determined based on the content of the event, not the delivery method.</t>
  </si>
  <si>
    <t>001442</t>
  </si>
  <si>
    <t>ProfessionalDevelopmentActivityType</t>
  </si>
  <si>
    <t>Professional Development Audience Type</t>
  </si>
  <si>
    <t>The type of audience for the professional development activity.</t>
  </si>
  <si>
    <t>001430</t>
  </si>
  <si>
    <t>ProfessionalDevelopmentAudienceType</t>
  </si>
  <si>
    <t>Professional Development Delivery Method</t>
  </si>
  <si>
    <t>The method by which a session is delivered</t>
  </si>
  <si>
    <t>001431</t>
  </si>
  <si>
    <t>ProfessionalDevelopmentDeliveryMethod</t>
  </si>
  <si>
    <t>Professional Development Financial Support Type</t>
  </si>
  <si>
    <t>The type of financial assistance received in support of non-credit professional development activities.</t>
  </si>
  <si>
    <t>000812</t>
  </si>
  <si>
    <t>ProfessionalDevelopmentFinancialSupportType</t>
  </si>
  <si>
    <t>Professional Development Funding Source</t>
  </si>
  <si>
    <t>The primary source of funding for a professional development session.</t>
  </si>
  <si>
    <t>001443</t>
  </si>
  <si>
    <t>ProfessionalDevelopmentFundingSource</t>
  </si>
  <si>
    <t>Professional Development Instructional Delivery Mode</t>
  </si>
  <si>
    <t>The primary setting or medium of professional development delivery.</t>
  </si>
  <si>
    <t>001458</t>
  </si>
  <si>
    <t>ProfessionalDevelopmentInstructionalDeliveryMode</t>
  </si>
  <si>
    <t>Professional Development Instructor Identifier</t>
  </si>
  <si>
    <t>Identifies an instructor of a professional development session.</t>
  </si>
  <si>
    <t>001444</t>
  </si>
  <si>
    <t>ProfessionalDevelopmentInstructorIdentifier</t>
  </si>
  <si>
    <t>Professional Development Publish Activity Indicator</t>
  </si>
  <si>
    <t>An indicator of whether the professional development activity should be published.</t>
  </si>
  <si>
    <t>001445</t>
  </si>
  <si>
    <t>ProfessionalDevelopmentPublishActivityIndicator</t>
  </si>
  <si>
    <t>Professional Development Scholarship Status</t>
  </si>
  <si>
    <t>An indication of whether a scholarship was received for the person to participate in the professional development.</t>
  </si>
  <si>
    <t>000811</t>
  </si>
  <si>
    <t>ProfessionalDevelopmentScholarshipStatus</t>
  </si>
  <si>
    <t>Professional Development Session Capacity</t>
  </si>
  <si>
    <t>The total number of participants that can be accommodated by a professional development session.</t>
  </si>
  <si>
    <t>001446</t>
  </si>
  <si>
    <t>ProfessionalDevelopmentSessionCapacity</t>
  </si>
  <si>
    <t>Professional Development Session End Date</t>
  </si>
  <si>
    <t>The year, month and day a professional development session ends.</t>
  </si>
  <si>
    <t>001447</t>
  </si>
  <si>
    <t>ProfessionalDevelopmentSessionEndDate</t>
  </si>
  <si>
    <t>Professional Development Session End Time</t>
  </si>
  <si>
    <t>The time at which a professional development session ends.</t>
  </si>
  <si>
    <t>HH:MM</t>
  </si>
  <si>
    <t>001448</t>
  </si>
  <si>
    <t>ProfessionalDevelopmentSessionEndTime</t>
  </si>
  <si>
    <t>Professional Development Session Evaluation Method</t>
  </si>
  <si>
    <t>The method used to evaluate a professional development session.</t>
  </si>
  <si>
    <t>001449</t>
  </si>
  <si>
    <t>ProfessionalDevelopmentSessionEvaluationMethod</t>
  </si>
  <si>
    <t>Professional Development Session Evaluation Score</t>
  </si>
  <si>
    <t>The score or rating used to determine if a professional development session was successful.</t>
  </si>
  <si>
    <t>001450</t>
  </si>
  <si>
    <t>ProfessionalDevelopmentSessionEvaluationScore</t>
  </si>
  <si>
    <t>Professional Development Session Identifier</t>
  </si>
  <si>
    <t>The unique, non-duplicated, identification number assigned by the registry data system for a session of a particular professional development activity.</t>
  </si>
  <si>
    <t>001452</t>
  </si>
  <si>
    <t>ProfessionalDevelopmentSessionIdentifier</t>
  </si>
  <si>
    <t>Professional Development Session Location Name</t>
  </si>
  <si>
    <t>The name of a location where a professional development session will be held.</t>
  </si>
  <si>
    <t>001454</t>
  </si>
  <si>
    <t>ProfessionalDevelopmentSessionLocationName</t>
  </si>
  <si>
    <t>Professional Development Session Start Date</t>
  </si>
  <si>
    <t>The year, month, and day a professional development session begins.</t>
  </si>
  <si>
    <t>001455</t>
  </si>
  <si>
    <t>ProfessionalDevelopmentSessionStartDate</t>
  </si>
  <si>
    <t>Professional Development Session Start Time</t>
  </si>
  <si>
    <t>The time at which a professional development session begins.</t>
  </si>
  <si>
    <t>001456</t>
  </si>
  <si>
    <t>ProfessionalDevelopmentSessionStartTime</t>
  </si>
  <si>
    <t>Professional Development Session Status</t>
  </si>
  <si>
    <t>The current status of a professional development session</t>
  </si>
  <si>
    <t>001457</t>
  </si>
  <si>
    <t>ProfessionalDevelopmentSessionStatus</t>
  </si>
  <si>
    <t>Professional Educational Job Classification</t>
  </si>
  <si>
    <t>A general job classification that describes staff that performs duties requiring a high degree of knowledge and skills generally acquired through at least a baccalaureate degree (or its equivalent obtained through special study and/or experience) including skills in the field of education, educational psychology, educational social work, or an education therapy field.</t>
  </si>
  <si>
    <t>000220</t>
  </si>
  <si>
    <t>ProfessionalEducationalJobClassification</t>
  </si>
  <si>
    <t>Professional or Technical Credential Conferred</t>
  </si>
  <si>
    <t>An indicator of the category of credential conferred by a state occupational licensing entity or industry organization for competency in a specific area measured by a set of pre-established standards.</t>
  </si>
  <si>
    <t>000783</t>
  </si>
  <si>
    <t>ProfessionalOrTechnicalCredentialConferred</t>
  </si>
  <si>
    <t>Proficiency Status</t>
  </si>
  <si>
    <t>An indication of whether a student's scores were proficient.</t>
  </si>
  <si>
    <t>000573</t>
  </si>
  <si>
    <t>ProficiencyStatus</t>
  </si>
  <si>
    <t>Proficiency Target Status for Math</t>
  </si>
  <si>
    <t>An indication of whether the school or district met the math proficiency target in accordance with state definition for the purposes of determining AYP.</t>
  </si>
  <si>
    <t>000221</t>
  </si>
  <si>
    <t>ProficiencyTargetStatusForMath</t>
  </si>
  <si>
    <t>Proficiency Target Status for Reading and Language Arts</t>
  </si>
  <si>
    <t>An indication of whether the school or district met the reading/language arts proficiency target in accordance with state definition for the purposes of determining AYP.</t>
  </si>
  <si>
    <t>000553</t>
  </si>
  <si>
    <t>ProficiencyTargetStatusForReadingAndLanguageArts</t>
  </si>
  <si>
    <t>Program Collects Parental Feedback</t>
  </si>
  <si>
    <t>An indication of whether the program collects feedback from parents that informs program content and/or administration.</t>
  </si>
  <si>
    <t>000854</t>
  </si>
  <si>
    <t>ProgramCollectsParentalFeedback</t>
  </si>
  <si>
    <t>Program Follows Salary Scale</t>
  </si>
  <si>
    <t>An indication of whether a program has a salary scale that is followed for practitioners</t>
  </si>
  <si>
    <t>Early Learning -&gt; EL Organization -&gt; Compensation</t>
  </si>
  <si>
    <t>000863</t>
  </si>
  <si>
    <t>ProgramFollowsSalaryScale</t>
  </si>
  <si>
    <t>Program Gifted Eligibility Criteria</t>
  </si>
  <si>
    <t>State/local code used to determine a student's eligibility for Gifted/Talented program.</t>
  </si>
  <si>
    <t>001244</t>
  </si>
  <si>
    <t>ProgramGiftedEligibilityCriteria</t>
  </si>
  <si>
    <t>Program Heath Safety Checklist Use Status</t>
  </si>
  <si>
    <t>An indication of whether a program uses a health or safety checklist or documentation.</t>
  </si>
  <si>
    <t>K12 -&gt; K12 Student -&gt; CTE</t>
  </si>
  <si>
    <t>000851</t>
  </si>
  <si>
    <t>ProgramHeathSafetyChecklistUseStatus</t>
  </si>
  <si>
    <t>Program Identifier</t>
  </si>
  <si>
    <t>A unique number or alphanumeric code assigned to a program by a school, school system, a state, or other agency or entity.</t>
  </si>
  <si>
    <t>000625</t>
  </si>
  <si>
    <t>ProgramIdentifier</t>
  </si>
  <si>
    <t>Program in Multiple Purpose Facility</t>
  </si>
  <si>
    <t>An institution/facility/program that serves more than one programming purpose. For example, the same facility may run both a juvenile correction program and a juvenile detention program.</t>
  </si>
  <si>
    <t>000485</t>
  </si>
  <si>
    <t>ProgramInMultiplePurposeFacility</t>
  </si>
  <si>
    <t>Program Length Hours</t>
  </si>
  <si>
    <t>The normal length in credit/contact hours of a person's program as published in the institution's catalogue, website, or other official documents.</t>
  </si>
  <si>
    <t>000223</t>
  </si>
  <si>
    <t>ProgramLengthHours</t>
  </si>
  <si>
    <t>Program Length Hours Type</t>
  </si>
  <si>
    <t>The type of hours (credit or contact) by which the normal length of a program of study is measured.</t>
  </si>
  <si>
    <t>000224</t>
  </si>
  <si>
    <t>ProgramLengthHoursType</t>
  </si>
  <si>
    <t>Program Name</t>
  </si>
  <si>
    <t>The name of the program of instruction, training, services or benefits available through federal, state, or local agencies.</t>
  </si>
  <si>
    <t>000626</t>
  </si>
  <si>
    <t>ProgramName</t>
  </si>
  <si>
    <t>Program Participation Exit Date</t>
  </si>
  <si>
    <t>The year, month and day on which the person ceased to participate in a program.</t>
  </si>
  <si>
    <t>000591</t>
  </si>
  <si>
    <t>ProgramParticipationExitDate</t>
  </si>
  <si>
    <t>Program Participation Start Date</t>
  </si>
  <si>
    <t>The year, month and day on which the person began to participate in a program.</t>
  </si>
  <si>
    <t>000590</t>
  </si>
  <si>
    <t>ProgramParticipationStartDate</t>
  </si>
  <si>
    <t>Program Participation Status</t>
  </si>
  <si>
    <t>The current status of the student's program participation.</t>
  </si>
  <si>
    <t>K12 -&gt; K12 Student -&gt; Program</t>
  </si>
  <si>
    <t>001243</t>
  </si>
  <si>
    <t>ProgramParticipationStatus</t>
  </si>
  <si>
    <t>Program Provides Parent Education</t>
  </si>
  <si>
    <t>An indication of whether the program provides parent training/education/workshops.</t>
  </si>
  <si>
    <t>000856</t>
  </si>
  <si>
    <t>ProgramProvidesParentEducation</t>
  </si>
  <si>
    <t>Program Provides Parent Involvement Opportunity</t>
  </si>
  <si>
    <t>An indication of whether the program provides opportunities to parents to be involved with their children's activities.</t>
  </si>
  <si>
    <t>000855</t>
  </si>
  <si>
    <t>ProgramProvidesParentInvolvementOpportunity</t>
  </si>
  <si>
    <t>Program Provides Translated Materials</t>
  </si>
  <si>
    <t>An indication of whether a program translates written materials into the individual's home or parent's language.</t>
  </si>
  <si>
    <t>Early Learning -&gt; EL Organization -&gt; Cultural and Linguistic Diversity</t>
  </si>
  <si>
    <t>000845</t>
  </si>
  <si>
    <t>ProgramProvidesTranslatedMaterials</t>
  </si>
  <si>
    <t>Program Provides Written Handbook</t>
  </si>
  <si>
    <t>An indication of whether the program provides each parent with a written handbook.</t>
  </si>
  <si>
    <t>000853</t>
  </si>
  <si>
    <t>ProgramProvidesWrittenHandbook</t>
  </si>
  <si>
    <t>Program Sponsor Type</t>
  </si>
  <si>
    <t>A type of organization providing funds for a particular educational or service program or activity or for an individual's participation in the program or activity.</t>
  </si>
  <si>
    <t>Updated definition. Additions to Option Set.</t>
  </si>
  <si>
    <t>000716</t>
  </si>
  <si>
    <t>ProgramSponsorType</t>
  </si>
  <si>
    <t>Program Transition Planning Policy</t>
  </si>
  <si>
    <t>An indication of whether a program has a transition planning policy (to center, to classroom, to school).</t>
  </si>
  <si>
    <t>000859</t>
  </si>
  <si>
    <t>ProgramTransitionPlanningPolicy</t>
  </si>
  <si>
    <t>Program Type</t>
  </si>
  <si>
    <t>The system outlining instructional or non-instructional activities and procedures designed to accomplish a predetermined educational objective or set of objectives or to provide support services to a person and/or the community.</t>
  </si>
  <si>
    <t>Updated definition. Added option for targeted intervention.</t>
  </si>
  <si>
    <t>000225</t>
  </si>
  <si>
    <t>ProgramType</t>
  </si>
  <si>
    <t>Progress Level</t>
  </si>
  <si>
    <t>The amount of progress shown in academic subjects.</t>
  </si>
  <si>
    <t>000561</t>
  </si>
  <si>
    <t>ProgressLevel</t>
  </si>
  <si>
    <t>Projected Graduation Date</t>
  </si>
  <si>
    <t>The year and month the student is projected to graduate.</t>
  </si>
  <si>
    <t>000226</t>
  </si>
  <si>
    <t>ProjectedGraduationDate</t>
  </si>
  <si>
    <t>Promotion Reason</t>
  </si>
  <si>
    <t>The nature of the student's promotion or progress at the end of a given school term.</t>
  </si>
  <si>
    <t>000530</t>
  </si>
  <si>
    <t>PromotionReason</t>
  </si>
  <si>
    <t>Proof of Residency Type</t>
  </si>
  <si>
    <t>An accepted form of proof of residency in the district/county/other locality.</t>
  </si>
  <si>
    <t>Changed name from Proof of Residency.</t>
  </si>
  <si>
    <t>000305</t>
  </si>
  <si>
    <t>ProofOfResidencyType</t>
  </si>
  <si>
    <t>Proxy Contact Hours</t>
  </si>
  <si>
    <t>The number of instructional hours completed by an adult enrolled in a distance learning program.</t>
  </si>
  <si>
    <t>Numeric - up to 1 digit after decimal place</t>
  </si>
  <si>
    <t>000790</t>
  </si>
  <si>
    <t>ProxyContactHours</t>
  </si>
  <si>
    <t>Public Assistance Status</t>
  </si>
  <si>
    <t>A person who receives financial assistance from Federal, State, or local government agencies, including Temporary Assistance for Needy Families or equivalent.</t>
  </si>
  <si>
    <t>000777</t>
  </si>
  <si>
    <t>PublicAssistanceStatus</t>
  </si>
  <si>
    <t>Public School Choice Funds Spent</t>
  </si>
  <si>
    <t>The dollar amount spent on transportation for public school choice during the school year under Title I of ESEA as amended, Part A, Section 1116.</t>
  </si>
  <si>
    <t>000568</t>
  </si>
  <si>
    <t>PublicSchoolChoiceFundsSpent</t>
  </si>
  <si>
    <t>Public School Choice Implementation Status</t>
  </si>
  <si>
    <t>An indication of whether the LEA was able to implement the provisions for public school choice under Title I, Part A, Section 1116 of ESEA as amended.</t>
  </si>
  <si>
    <t>000227</t>
  </si>
  <si>
    <t>PublicSchoolChoiceImplementationStatus</t>
  </si>
  <si>
    <t>Public School Residence Status</t>
  </si>
  <si>
    <t>An indication of the location of a persons legal residence relative to (within or outside) the boundaries of the public school attended and its administrative unit.</t>
  </si>
  <si>
    <t>000532</t>
  </si>
  <si>
    <t>PublicSchoolResidenceStatus</t>
  </si>
  <si>
    <t>Purpose of Monitoring Visit</t>
  </si>
  <si>
    <t>The purpose for the monitoring visit.</t>
  </si>
  <si>
    <t>001333</t>
  </si>
  <si>
    <t>PurposeOfMonitoringVisit</t>
  </si>
  <si>
    <t>Qualifying Move From City</t>
  </si>
  <si>
    <t>The name of the city in which the child resided prior to the qualifying move.</t>
  </si>
  <si>
    <t>000433</t>
  </si>
  <si>
    <t>QualifyingMoveFromCity</t>
  </si>
  <si>
    <t>Qualifying Move From Country</t>
  </si>
  <si>
    <t>The abbreviation code for a country (other than the US) area in which the child resided prior to the qualifying move.</t>
  </si>
  <si>
    <t>000434</t>
  </si>
  <si>
    <t>QualifyingMoveFromCountry</t>
  </si>
  <si>
    <t>Qualifying Move From State</t>
  </si>
  <si>
    <t>The postal abbreviation code for a state (within the United States) or outlying area in which the child resided prior to the qualifying move.</t>
  </si>
  <si>
    <t>000435</t>
  </si>
  <si>
    <t>QualifyingMoveFromState</t>
  </si>
  <si>
    <t>Quality Initiative Maximum Score</t>
  </si>
  <si>
    <t>The maximum score option for the QRIS or other quality initiative.</t>
  </si>
  <si>
    <t>Early Learning -&gt; EL Organization -&gt; Quality</t>
  </si>
  <si>
    <t>001460</t>
  </si>
  <si>
    <t>QualityInitiativeMaximumScore</t>
  </si>
  <si>
    <t>Quality Initiative Minimum Score</t>
  </si>
  <si>
    <t>The minimum score option for the QRIS or other quality initiative.</t>
  </si>
  <si>
    <t>001461</t>
  </si>
  <si>
    <t>QualityInitiativeMinimumScore</t>
  </si>
  <si>
    <t>Quality Initiative Participation End Date</t>
  </si>
  <si>
    <t>The quality initiative end date.</t>
  </si>
  <si>
    <t>001464</t>
  </si>
  <si>
    <t>QualityInitiativeParticipationEndDate</t>
  </si>
  <si>
    <t>Quality Initiative Participation Indicator</t>
  </si>
  <si>
    <t>Site participates in a quality improvement initiative component other than QRIS.</t>
  </si>
  <si>
    <t>001463</t>
  </si>
  <si>
    <t>QualityInitiativeParticipationIndicator</t>
  </si>
  <si>
    <t>Quality Initiative Participation Start Date</t>
  </si>
  <si>
    <t>The quality initiative start date.</t>
  </si>
  <si>
    <t>001465</t>
  </si>
  <si>
    <t>QualityInitiativeParticipationStartDate</t>
  </si>
  <si>
    <t>Quality Initiative Score Level</t>
  </si>
  <si>
    <t>The score, rating or level received by a program for its Quality Rating and Improvement System (QRIS) or other quality initiative.</t>
  </si>
  <si>
    <t>001462</t>
  </si>
  <si>
    <t>QualityInitiativeScoreLevel</t>
  </si>
  <si>
    <t>Quality Rating and Improvement System Award Date</t>
  </si>
  <si>
    <t>Date Quality Rating and Improvement System score, level or rating was awarded.</t>
  </si>
  <si>
    <t>000830</t>
  </si>
  <si>
    <t>QRIS Award Date</t>
  </si>
  <si>
    <t>QRISAwardDate</t>
  </si>
  <si>
    <t>Quality Rating and Improvement System Expiration Date</t>
  </si>
  <si>
    <t>Date Quality Rating and Improvement System score, level or rating expires.</t>
  </si>
  <si>
    <t>000831</t>
  </si>
  <si>
    <t>QRIS Expiration Date</t>
  </si>
  <si>
    <t>QRISExpirationDate</t>
  </si>
  <si>
    <t>Quality Rating and Improvement System Participation</t>
  </si>
  <si>
    <t>Program site participates in a Quality Rating and Improvement System (QRIS).</t>
  </si>
  <si>
    <t>Early Learning -&gt; Quality</t>
  </si>
  <si>
    <t>000357</t>
  </si>
  <si>
    <t>QRIS Participation</t>
  </si>
  <si>
    <t>QRISParticipation</t>
  </si>
  <si>
    <t>Quality Rating and Improvement System Score</t>
  </si>
  <si>
    <t>The score, rating or level received by a program for its Quality Rating and Improvement System (QRIS).</t>
  </si>
  <si>
    <t>000358</t>
  </si>
  <si>
    <t>QRIS Score</t>
  </si>
  <si>
    <t>QRISScore</t>
  </si>
  <si>
    <t>Quarterly Earnings</t>
  </si>
  <si>
    <t>The quarterly amount paid to individuals found employed during the reference period.</t>
  </si>
  <si>
    <t>Name changed from Quarterly Employment Record Earnings. Updated definition.</t>
  </si>
  <si>
    <t>Workforce Notes: Quarterly earnings are the sum of all the reported earnings for each individual for all jobs held during the reference quarter. "Reference" quarter is the period of employment defined by the agency for its purposes either for students who are enrolled or after they exit. The amount is expressed as a numeric dollar amount. Note that it may be desirable to collect these data over time, in a longitudinal sense, to measure things related to persistence and growth in employment.</t>
  </si>
  <si>
    <t>000989</t>
  </si>
  <si>
    <t>QuarterlyEarnings</t>
  </si>
  <si>
    <t>Reason for Declined Services</t>
  </si>
  <si>
    <t>The reason given for declining the recommended services.</t>
  </si>
  <si>
    <t>001488</t>
  </si>
  <si>
    <t>ReasonForDeclinedServices</t>
  </si>
  <si>
    <t>Reason for Delay of Transition Conference</t>
  </si>
  <si>
    <t>The reasons for the delay of a transition conference.</t>
  </si>
  <si>
    <t>001521</t>
  </si>
  <si>
    <t>ReasonForDelayOfTransitionConference</t>
  </si>
  <si>
    <t>Reason Not Tested</t>
  </si>
  <si>
    <t>The primary reason a student is not tested.</t>
  </si>
  <si>
    <t>000228</t>
  </si>
  <si>
    <t>ReasonNotTested</t>
  </si>
  <si>
    <t>Receiving Location of Instruction</t>
  </si>
  <si>
    <t>The type of location at which instruction or service takes place.</t>
  </si>
  <si>
    <t>000524</t>
  </si>
  <si>
    <t>ReceivingLocationOfInstruction</t>
  </si>
  <si>
    <t>Recognition for Participation or Performance in an Activity</t>
  </si>
  <si>
    <t>The nature of recognition given to the student for accomplishments in a co-curricular, or extra-curricular activity.</t>
  </si>
  <si>
    <t>000229</t>
  </si>
  <si>
    <t>RecognitionForParticipationOrPerformanceInAnActivity</t>
  </si>
  <si>
    <t>Reconstituted Status</t>
  </si>
  <si>
    <t>An indication that the school was restructured, transformed or otherwise changed as a consequence of the state’s accountability system under ESEA or as a result of School Improvement Grants (SIG).</t>
  </si>
  <si>
    <t>Corrected typo in option set definition.</t>
  </si>
  <si>
    <t>000230</t>
  </si>
  <si>
    <t>ReconstitutedStatus</t>
  </si>
  <si>
    <t>Referral Date</t>
  </si>
  <si>
    <t>The date of referral.</t>
  </si>
  <si>
    <t>Early Learning -&gt; EL Child -&gt; Referral</t>
  </si>
  <si>
    <t>001481</t>
  </si>
  <si>
    <t>ReferralDate</t>
  </si>
  <si>
    <t>Referral Outcome</t>
  </si>
  <si>
    <t>The outcome of the referral.</t>
  </si>
  <si>
    <t>001482</t>
  </si>
  <si>
    <t>ReferralOutcome</t>
  </si>
  <si>
    <t>Referral Policy</t>
  </si>
  <si>
    <t>An indication of whether the program has a policy for referrals for all children requiring them.</t>
  </si>
  <si>
    <t>000850</t>
  </si>
  <si>
    <t>ReferralPolicy</t>
  </si>
  <si>
    <t>Referral Reason</t>
  </si>
  <si>
    <t>The reason for the referral.</t>
  </si>
  <si>
    <t>001483</t>
  </si>
  <si>
    <t>ReferralReason</t>
  </si>
  <si>
    <t>Referral Source</t>
  </si>
  <si>
    <t>The program or organization making the initial referral.</t>
  </si>
  <si>
    <t>001484</t>
  </si>
  <si>
    <t>ReferralSource</t>
  </si>
  <si>
    <t>Referral Type</t>
  </si>
  <si>
    <t>The type of referral.</t>
  </si>
  <si>
    <t>001485</t>
  </si>
  <si>
    <t>ReferralType</t>
  </si>
  <si>
    <t>Referred To</t>
  </si>
  <si>
    <t>The program or organization to which the child/family was referred.</t>
  </si>
  <si>
    <t>001486</t>
  </si>
  <si>
    <t>ReferredTo</t>
  </si>
  <si>
    <t>Related Learning Standards</t>
  </si>
  <si>
    <t>An indication of the state or local standard(s) addressed in the Class Section.</t>
  </si>
  <si>
    <t>000231</t>
  </si>
  <si>
    <t>RelatedLearningStandards</t>
  </si>
  <si>
    <t>Related to Zero Tolerance Policy</t>
  </si>
  <si>
    <t>An indication of whether or not any of the disciplinary actions taken against a student were imposed as a consequence of state or local zero tolerance policies.</t>
  </si>
  <si>
    <t>000512</t>
  </si>
  <si>
    <t>RelatedToZeroTolerancePolicy</t>
  </si>
  <si>
    <t>Reporter Identifier</t>
  </si>
  <si>
    <t>Identifies the reporter of the incident using a pre-existing unique student identifier or unique staff identifier, when the reporter is a student or staff member.</t>
  </si>
  <si>
    <t>000507</t>
  </si>
  <si>
    <t>ReporterIdentifier</t>
  </si>
  <si>
    <t>Required Immunization</t>
  </si>
  <si>
    <t>An indication that an immunization is specifically required by an organization or governing body.</t>
  </si>
  <si>
    <t>000307</t>
  </si>
  <si>
    <t>RequiredImmunization</t>
  </si>
  <si>
    <t>Required Student Fees</t>
  </si>
  <si>
    <t>Fixed sum charged to persons for items not covered by tuition and required of such a large proportion of all students that the student who does not pay the charge is the exception.</t>
  </si>
  <si>
    <t>000747</t>
  </si>
  <si>
    <t>RequiredStudentFees</t>
  </si>
  <si>
    <t>Required Training Clock Hours</t>
  </si>
  <si>
    <t>Number of clock hours of training required for providers to meet requirements of the state.</t>
  </si>
  <si>
    <t>000804</t>
  </si>
  <si>
    <t>RequiredTrainingClockHours</t>
  </si>
  <si>
    <t>Responsible District Identifier</t>
  </si>
  <si>
    <t>The district responsible for specific educational services and/or instruction of the student.</t>
  </si>
  <si>
    <t>000637</t>
  </si>
  <si>
    <t>ResponsibleDistrictIdentifier</t>
  </si>
  <si>
    <t>Responsible District Type</t>
  </si>
  <si>
    <t>The type of responsibility the district has for the student.</t>
  </si>
  <si>
    <t>000594</t>
  </si>
  <si>
    <t>ResponsibleDistrictType</t>
  </si>
  <si>
    <t>Responsible Organization Identifier</t>
  </si>
  <si>
    <t>Identifies an organization responsible for specific educational services and/or instruction based on a type of responsibility specified in the Responsible Organization Type.</t>
  </si>
  <si>
    <t>K12 -&gt; Organization</t>
  </si>
  <si>
    <t>This may be used to specify responsisbility when the organization is not a school (Responsible School) or school district (Responsible District).</t>
  </si>
  <si>
    <t>001466</t>
  </si>
  <si>
    <t>ResponsibleOrganizationIdentifier</t>
  </si>
  <si>
    <t>Responsible Organization Name</t>
  </si>
  <si>
    <t>The name of a non-person entity such as an organization, institution, agency or business responsible for the institution/site.</t>
  </si>
  <si>
    <t>000631</t>
  </si>
  <si>
    <t>ResponsibleOrganizationName</t>
  </si>
  <si>
    <t>Responsible Organization Type</t>
  </si>
  <si>
    <t>001467</t>
  </si>
  <si>
    <t>ResponsibleOrganizationType</t>
  </si>
  <si>
    <t>Responsible School Identifier</t>
  </si>
  <si>
    <t>The school responsible for specific education services and/or instruction of the student.</t>
  </si>
  <si>
    <t>000638</t>
  </si>
  <si>
    <t>ResponsibleSchoolIdentifier</t>
  </si>
  <si>
    <t>Responsible School Type</t>
  </si>
  <si>
    <t>The type of services/instruction the school is responsible for providing to the student.</t>
  </si>
  <si>
    <t>000595</t>
  </si>
  <si>
    <t>ResponsibleSchoolType</t>
  </si>
  <si>
    <t>Restructuring Action</t>
  </si>
  <si>
    <t>The types of actions being implemented in Title I schools as a result of the school being in an improvement status of restructuring – year 2 (implementation year).</t>
  </si>
  <si>
    <t>000232</t>
  </si>
  <si>
    <t>RestructuringAction</t>
  </si>
  <si>
    <t>Room Charges</t>
  </si>
  <si>
    <t>The charges for an academic year for rooming accommodations for a typical student sharing a room with one other student.</t>
  </si>
  <si>
    <t>000749</t>
  </si>
  <si>
    <t>RoomCharges</t>
  </si>
  <si>
    <t>Rubric Criterion Category</t>
  </si>
  <si>
    <t>A textual label for category by which Rubric Criterion may be grouped.</t>
  </si>
  <si>
    <t>001469</t>
  </si>
  <si>
    <t>RubricCriterionCategory</t>
  </si>
  <si>
    <t>Rubric Criterion Description</t>
  </si>
  <si>
    <t>Text describing a criterion that must be met to demonstrate quality for a product, process, or performance task.</t>
  </si>
  <si>
    <t>001470</t>
  </si>
  <si>
    <t>RubricCriterionDescription</t>
  </si>
  <si>
    <t>Rubric Criterion Level Description</t>
  </si>
  <si>
    <t>Text describing one or more benchmarks that must be met to achieve a degree of achievement on a product, process, or performance task.</t>
  </si>
  <si>
    <t>001471</t>
  </si>
  <si>
    <t>RubricCriterionLevelDescription</t>
  </si>
  <si>
    <t>Rubric Criterion Level Feedback</t>
  </si>
  <si>
    <t>Pre-defined feedback text to be relayed to the person or organization being evaluated. This may include guidance and suggestions for improvement or development.</t>
  </si>
  <si>
    <t>001472</t>
  </si>
  <si>
    <t>RubricCriterionLevelFeedback</t>
  </si>
  <si>
    <t>Rubric Criterion Level Position</t>
  </si>
  <si>
    <t>A numeric value representing the level's position in the list of levels defined for the Rubric Criterion.</t>
  </si>
  <si>
    <t>001473</t>
  </si>
  <si>
    <t>RubricCriterionLevelPosition</t>
  </si>
  <si>
    <t>Rubric Criterion Level Quality Label</t>
  </si>
  <si>
    <t>A qualitative description of this degree of achievement used for column headers or row labels in tabular rubrics.</t>
  </si>
  <si>
    <t>001474</t>
  </si>
  <si>
    <t>RubricCriterionLevelQualityLabel</t>
  </si>
  <si>
    <t>Rubric Criterion Level Score</t>
  </si>
  <si>
    <t>The points awarded for achieving this level.</t>
  </si>
  <si>
    <t>001475</t>
  </si>
  <si>
    <t>RubricCriterionLevelScore</t>
  </si>
  <si>
    <t>Rubric Criterion Position</t>
  </si>
  <si>
    <t>A numeric value representing this criterion's position in the criteria list for this rubric.</t>
  </si>
  <si>
    <t>001476</t>
  </si>
  <si>
    <t>RubricCriterionPosition</t>
  </si>
  <si>
    <t>Rubric Criterion Title</t>
  </si>
  <si>
    <t>The title of the rubric criterion.</t>
  </si>
  <si>
    <t>001477</t>
  </si>
  <si>
    <t>RubricCriterionTitle</t>
  </si>
  <si>
    <t>Rubric Criterion Weight</t>
  </si>
  <si>
    <t>A numeric weight assigned to this Rubric Criterion, used for scored rubrics.</t>
  </si>
  <si>
    <t>001478</t>
  </si>
  <si>
    <t>RubricCriterionWeight</t>
  </si>
  <si>
    <t>Rubric Description</t>
  </si>
  <si>
    <t>Text describing the intended use of the rubric.</t>
  </si>
  <si>
    <t>001479</t>
  </si>
  <si>
    <t>RubricDescription</t>
  </si>
  <si>
    <t>Rural Education Achievement Program Alternative Funding Status</t>
  </si>
  <si>
    <t>An indication that the local education agency (LEA) notified the state of the LEA's intention to use REAP-Flex Alternative Uses of Funding Authority during the school year as specified in the Title VI, Section 6211 of ESEA as amended.</t>
  </si>
  <si>
    <t>000560</t>
  </si>
  <si>
    <t>REAP Alternative Funding Status</t>
  </si>
  <si>
    <t>REAPAlternativeFundingStatus</t>
  </si>
  <si>
    <t>Rural Residency Status</t>
  </si>
  <si>
    <t>A person who resides in a place with a population of less than 2,500 that is not near any metropolitan area with a population greater than 50,000, or in a city with adjacent areas of high density.</t>
  </si>
  <si>
    <t>000778</t>
  </si>
  <si>
    <t>RuralResidencyStatus</t>
  </si>
  <si>
    <t>Safe and Drug Free Baseline</t>
  </si>
  <si>
    <t>The baseline of the performance indicator of student behavior under the Safe and Drug-Free Schools and Communities Act.</t>
  </si>
  <si>
    <t>K12 -&gt; LEA -&gt; Safe and Drug Free Program</t>
  </si>
  <si>
    <t>000477</t>
  </si>
  <si>
    <t>SafeAndDrugFreeBaseline</t>
  </si>
  <si>
    <t>Safe and Drug Free Baseline Year</t>
  </si>
  <si>
    <t>The academic year the baseline was established.</t>
  </si>
  <si>
    <t>000478</t>
  </si>
  <si>
    <t>SafeAndDrugFreeBaselineYear</t>
  </si>
  <si>
    <t>Safe and Drug Free Collection Frequency</t>
  </si>
  <si>
    <t>The frequency of data collection for performance indicator under the Safe and Drug-Free Schools and Communities Act.</t>
  </si>
  <si>
    <t>000473</t>
  </si>
  <si>
    <t>SafeAndDrugFreeCollectionFrequency</t>
  </si>
  <si>
    <t>Safe and Drug Free Indicator Name</t>
  </si>
  <si>
    <t>The name of the performance indicator for student behaviors under the Safe and Drug-Free Schools and Communities Act.</t>
  </si>
  <si>
    <t>000471</t>
  </si>
  <si>
    <t>SafeAndDrugFreeIndicatorName</t>
  </si>
  <si>
    <t>Safe and Drug Free Instrument</t>
  </si>
  <si>
    <t>The instrument or data source for reported performance indicator of student behavior under the Safe and Drug-Free Schools and Communities Act.</t>
  </si>
  <si>
    <t>000472</t>
  </si>
  <si>
    <t>SafeAndDrugFreeInstrument</t>
  </si>
  <si>
    <t>Safe and Drug Free Performance</t>
  </si>
  <si>
    <t>Actual performance for the given indicator of student behavior under the Safe and Drug-Free Schools and Communities Act</t>
  </si>
  <si>
    <t>000476</t>
  </si>
  <si>
    <t>SafeAndDrugFreePerformance</t>
  </si>
  <si>
    <t>Safe and Drug Free Target</t>
  </si>
  <si>
    <t>The targeted performance for the given indicator of student behavior under the Safe and Drug-Free Schools and Communities Act.</t>
  </si>
  <si>
    <t>000475</t>
  </si>
  <si>
    <t>SafeAndDrugFreeTarget</t>
  </si>
  <si>
    <t>Safe and Drug Free Year Most Recent Collection</t>
  </si>
  <si>
    <t>The academic year of the most recent collection of the performance indicator under the Sage and Drug-Free Schools and Communities Act.</t>
  </si>
  <si>
    <t>000474</t>
  </si>
  <si>
    <t>SafeAndDrugFreeYearMostRecentCollection</t>
  </si>
  <si>
    <t>Salary For Teaching Assignment Only Indicator</t>
  </si>
  <si>
    <t>Indicator to determine whether the teacher's base salary includes pay for teaching assignments alone.</t>
  </si>
  <si>
    <t>000234</t>
  </si>
  <si>
    <t>SalaryForTeachingAssignmentOnlyIndicator</t>
  </si>
  <si>
    <t>School Choice Applied for Transfer Status</t>
  </si>
  <si>
    <t>An indication that a student applied to transfer in the current year (regardless of whether the student transferred), OR previously applied and transferred under the public school choice provisions and continue to attend the transfer school in the current year.</t>
  </si>
  <si>
    <t>K12 -&gt; K12 Student -&gt; Title I</t>
  </si>
  <si>
    <t>000235</t>
  </si>
  <si>
    <t>SchoolChoiceAppliedForTransferStatus</t>
  </si>
  <si>
    <t>School Choice Eligible for Transfer Status</t>
  </si>
  <si>
    <t>An indication the student is eligible to transfer for the current school year under the public school choice provisions or who applied and transferred in the current school year under the public school choice provisions or previously applied and transferred under the public school choice provisions and continue to attend the transfer school in the current year.</t>
  </si>
  <si>
    <t>Which students should be reported?</t>
  </si>
  <si>
    <t>000236</t>
  </si>
  <si>
    <t>SchoolChoiceEligibleForTransferStatus</t>
  </si>
  <si>
    <t>School Choice Transfer Status</t>
  </si>
  <si>
    <t>An indication of whether an eligible student transferred to the school under the provisions for public school choice in accordance with Title I, Part A, Section 1116 of ESEA as amended.</t>
  </si>
  <si>
    <t>000237</t>
  </si>
  <si>
    <t>SchoolChoiceTransferStatus</t>
  </si>
  <si>
    <t>School Codes for the Exchange of Data Course Code</t>
  </si>
  <si>
    <t>The five-digit SCED code. The first two-digits of the code represent the Course Subject Area and the next three digits identify the course number. These identifiers are fairly general but provide enough specificity to identify the course's topic and to distinguish it from other courses in that subject area.</t>
  </si>
  <si>
    <t>See http://ceds.ed.gov/ScedCourseCodes.aspx</t>
  </si>
  <si>
    <t>Alphanumeric - exactly five digits in length</t>
  </si>
  <si>
    <t>See http://www.nces.ed.gov/programs/handbook/elementinfo.asp?elementid=14106.</t>
  </si>
  <si>
    <t>001517</t>
  </si>
  <si>
    <t>SCED Course Code</t>
  </si>
  <si>
    <t>SCEDCourseCode</t>
  </si>
  <si>
    <t>School Codes for the Exchange of Data Course Level</t>
  </si>
  <si>
    <t>The course's level of rigor.</t>
  </si>
  <si>
    <t>Alphanumeric - exactly one character in length</t>
  </si>
  <si>
    <t>001516</t>
  </si>
  <si>
    <t>SCED Course Level</t>
  </si>
  <si>
    <t>SCEDCourseLevel</t>
  </si>
  <si>
    <t>School Codes for the Exchange of Data Course Subject Area</t>
  </si>
  <si>
    <t>The intended major subject area of the education course.</t>
  </si>
  <si>
    <t>Alphaumeric - exactly two digits in length</t>
  </si>
  <si>
    <t>This is a compilation of Secondary Course Subject Area and Prior to Secondary Course Subject Area. This version merges SCED and pSCED.</t>
  </si>
  <si>
    <t>001518</t>
  </si>
  <si>
    <t>SCED Course Subject Area</t>
  </si>
  <si>
    <t>SCEDCourseSubjectArea</t>
  </si>
  <si>
    <t>School Codes for the Exchange of Data Grade Span</t>
  </si>
  <si>
    <t>The grade span for which the course is appropriate.</t>
  </si>
  <si>
    <t>Alphanumeric - exactly four characters in length</t>
  </si>
  <si>
    <t>The span is represented by a four-character code with no decimals. Each grade level from 1 through 12 is represented by a two-digit code, ranging from 01 to 12; kindergarten is represented by the letters KG and prekindergarten by the letters PK.</t>
  </si>
  <si>
    <t>001480</t>
  </si>
  <si>
    <t>SCED Grade Span</t>
  </si>
  <si>
    <t>SCEDGradeSpan</t>
  </si>
  <si>
    <t>School Codes for the Exchange of Data Sequence of Course</t>
  </si>
  <si>
    <t>Where a specific course lies when it is part of a consecutive sequence of courses. This element should be interpreted as "part 'n' of 'm' parts.</t>
  </si>
  <si>
    <t>Name changed from Sequence of Course.</t>
  </si>
  <si>
    <t>For example: if a school offers 4 years of Theater, Theater 3 within this school would be indicated in the sequence elements as 3 4, denoting the 3rd part of a 4-part sequence of courses.</t>
  </si>
  <si>
    <t>000250</t>
  </si>
  <si>
    <t>SCED Sequence of Course</t>
  </si>
  <si>
    <t>SCEDSequenceOfCourse</t>
  </si>
  <si>
    <t>School Identification System</t>
  </si>
  <si>
    <t>001073</t>
  </si>
  <si>
    <t>SchoolIdentificationSystem</t>
  </si>
  <si>
    <t>School Identifier</t>
  </si>
  <si>
    <t>001069</t>
  </si>
  <si>
    <t>SchoolIdentifier</t>
  </si>
  <si>
    <t>School Improvement Allocation</t>
  </si>
  <si>
    <t>The amount of Section 1003(a) and 1003(g) allocations to LEAs and Schools.</t>
  </si>
  <si>
    <t>000480</t>
  </si>
  <si>
    <t>SchoolImprovementAllocation</t>
  </si>
  <si>
    <t>School Improvement Exit Date</t>
  </si>
  <si>
    <t>Date the school exited school improvement status.</t>
  </si>
  <si>
    <t>000481</t>
  </si>
  <si>
    <t>SchoolImprovementExitDate</t>
  </si>
  <si>
    <t>School Improvement Funds Status</t>
  </si>
  <si>
    <t>An indication of whether the school received funds under Section 1003 of ESEA, as amended.</t>
  </si>
  <si>
    <t>000238</t>
  </si>
  <si>
    <t>SchoolImprovementFundsStatus</t>
  </si>
  <si>
    <t>School Improvement Grant Intervention Type</t>
  </si>
  <si>
    <t>The type of intervention used by the school under the School Improvement Grant (SIG).</t>
  </si>
  <si>
    <t>000239</t>
  </si>
  <si>
    <t>SchoolImprovementGrantInterventionType</t>
  </si>
  <si>
    <t>School Improvement Reserved Funds Percentage</t>
  </si>
  <si>
    <t>An indication of the percentage of the Title I, Part A allocation that the SEA reserved in accordance with Section 1003(a) of ESEA and §200.100(a) of ED's regulations governing the reservation of funds for school improvement under Section 1003(a) of ESEA.</t>
  </si>
  <si>
    <t>000479</t>
  </si>
  <si>
    <t>SchoolImprovementReservedFundsPercentage</t>
  </si>
  <si>
    <t>School Improvement Status</t>
  </si>
  <si>
    <t>An indication of the improvement stage of the school.</t>
  </si>
  <si>
    <t>000240</t>
  </si>
  <si>
    <t>SchoolImprovementStatus</t>
  </si>
  <si>
    <t>School Level</t>
  </si>
  <si>
    <t>An indication of the level of the education institution.</t>
  </si>
  <si>
    <t>000241</t>
  </si>
  <si>
    <t>SchoolLevel</t>
  </si>
  <si>
    <t>School Operational Status</t>
  </si>
  <si>
    <t>The current status of the school operations, exclusive of scheduled breaks, holidays, or other temporary interruptions.</t>
  </si>
  <si>
    <t>000533</t>
  </si>
  <si>
    <t>SchoolOperationalStatus</t>
  </si>
  <si>
    <t>School Type</t>
  </si>
  <si>
    <t>The type of education institution as classified by its primary focus.</t>
  </si>
  <si>
    <t>000242</t>
  </si>
  <si>
    <t>SchoolType</t>
  </si>
  <si>
    <t>School Year</t>
  </si>
  <si>
    <t>The year for a reported school session.</t>
  </si>
  <si>
    <t>For academic years that span a calendar year this is the four digit year-end. E.g. 2013 for 2012-2013</t>
  </si>
  <si>
    <t>000243</t>
  </si>
  <si>
    <t>SchoolYear</t>
  </si>
  <si>
    <t>School Year Minutes</t>
  </si>
  <si>
    <t>The number of minutes that all students were required to be at school and any additional learning time (e.g., before or after school, weekend school, summer school) for which all students had the opportunity to participate.</t>
  </si>
  <si>
    <t>000244</t>
  </si>
  <si>
    <t>SchoolYearMinutes</t>
  </si>
  <si>
    <t>Secondary Course Identifier</t>
  </si>
  <si>
    <t>The five-digit SCED code and name of the course. The first two-digits of the code represent the Secondary Course Subject Area. These identifiers are fairly general but provide enough specificity to identify the course's topic and to distinguish it from other courses in that subject area.</t>
  </si>
  <si>
    <t>There are 1378 Codes: http://www.nces.ed.gov/programs/handbook/elementinfo.asp?elementid=14106</t>
  </si>
  <si>
    <t>000246</t>
  </si>
  <si>
    <t>SecondaryCourseIdentifier</t>
  </si>
  <si>
    <t>Secondary Course Level</t>
  </si>
  <si>
    <t>The secondary course's level of rigor.</t>
  </si>
  <si>
    <t>000247</t>
  </si>
  <si>
    <t>SecondaryCourseLevel</t>
  </si>
  <si>
    <t>Secondary Course Subject Area</t>
  </si>
  <si>
    <t>The intended major subject area of the secondary education course.</t>
  </si>
  <si>
    <t>000248</t>
  </si>
  <si>
    <t>SecondaryCourseSubjectArea</t>
  </si>
  <si>
    <t>Secondary Incident Behavior</t>
  </si>
  <si>
    <t>Supplemental information about an incident when the primary offense is more serious in nature than alcohol or drug, etc. offenses.</t>
  </si>
  <si>
    <t>000627</t>
  </si>
  <si>
    <t>SecondaryIncidentBehavior</t>
  </si>
  <si>
    <t>Section 504 Status</t>
  </si>
  <si>
    <t>Individuals with disabilities who are being provided with related aids and services under Section 504 of the Rehabilitation Act of 1973, as amended.</t>
  </si>
  <si>
    <t>000249</t>
  </si>
  <si>
    <t>Section504Status</t>
  </si>
  <si>
    <t>Serves Children with Special Needs</t>
  </si>
  <si>
    <t>An indication of whether a class or group serves children with special needs.</t>
  </si>
  <si>
    <t>000822</t>
  </si>
  <si>
    <t>ServesChildrenWithSpecialNeeds</t>
  </si>
  <si>
    <t>Service Entry Date</t>
  </si>
  <si>
    <t>The year, month and day on which a person begins to receive early intervention, special education or other services.</t>
  </si>
  <si>
    <t>000326</t>
  </si>
  <si>
    <t>ServiceEntryDate</t>
  </si>
  <si>
    <t>Service Exit Date</t>
  </si>
  <si>
    <t>The year, month and day on which a person stops receiving early intervention or special education services.</t>
  </si>
  <si>
    <t>000327</t>
  </si>
  <si>
    <t>ServiceExitDate</t>
  </si>
  <si>
    <t>Service Option Variation</t>
  </si>
  <si>
    <t>Nature of early childhood program, class or group in which a person is enrolled.</t>
  </si>
  <si>
    <t>000353</t>
  </si>
  <si>
    <t>ServiceOptionVariation</t>
  </si>
  <si>
    <t>Session Attendance Term Indicator</t>
  </si>
  <si>
    <t>Indicates that the session is an attendance term.</t>
  </si>
  <si>
    <t>001274</t>
  </si>
  <si>
    <t>SessionAttendanceTermIndicator</t>
  </si>
  <si>
    <t>Session Begin Date</t>
  </si>
  <si>
    <t>The year, month and day on which a session begins.</t>
  </si>
  <si>
    <t>000251</t>
  </si>
  <si>
    <t>SessionBeginDate</t>
  </si>
  <si>
    <t>Session Code</t>
  </si>
  <si>
    <t>A local code given to the session, usually for a session that represents a term within the school year such as a marking term.</t>
  </si>
  <si>
    <t>001270</t>
  </si>
  <si>
    <t>SessionCode</t>
  </si>
  <si>
    <t>Session Description</t>
  </si>
  <si>
    <t>A short description of the Session.</t>
  </si>
  <si>
    <t>001271</t>
  </si>
  <si>
    <t>SessionDescription</t>
  </si>
  <si>
    <t>Session Designator</t>
  </si>
  <si>
    <t>The academic session for which the data are recorded and applicable.</t>
  </si>
  <si>
    <t>000252</t>
  </si>
  <si>
    <t>SessionDesignator</t>
  </si>
  <si>
    <t>Session End Date</t>
  </si>
  <si>
    <t>The year, month and day on which a session ends.</t>
  </si>
  <si>
    <t>000253</t>
  </si>
  <si>
    <t>SessionEndDate</t>
  </si>
  <si>
    <t>Session End Time</t>
  </si>
  <si>
    <t>Time at which the organization concludes the session</t>
  </si>
  <si>
    <t>000986</t>
  </si>
  <si>
    <t>SessionEndTime</t>
  </si>
  <si>
    <t>Session Marking Term Indicator</t>
  </si>
  <si>
    <t>Indicates that the session is a marking term.</t>
  </si>
  <si>
    <t>001272</t>
  </si>
  <si>
    <t>SessionMarkingTermIndicator</t>
  </si>
  <si>
    <t>Session Scheduling Term Indicator</t>
  </si>
  <si>
    <t>Indicates that the session is a scheduling term.</t>
  </si>
  <si>
    <t>001273</t>
  </si>
  <si>
    <t>SessionSchedulingTermIndicator</t>
  </si>
  <si>
    <t>Session Start Time</t>
  </si>
  <si>
    <t>Time at which the organization begins the session.</t>
  </si>
  <si>
    <t>000985</t>
  </si>
  <si>
    <t>SessionStartTime</t>
  </si>
  <si>
    <t>Session Type</t>
  </si>
  <si>
    <t>A prescribed span of time when an education institution is open, instruction is provided, and students are under the direction and guidance of teachers and/or education institution administration. A session may be interrupted by one or more vacations.</t>
  </si>
  <si>
    <t>000254</t>
  </si>
  <si>
    <t>SessionType</t>
  </si>
  <si>
    <t>Sex</t>
  </si>
  <si>
    <t>The concept describing the biological traits that distinguish the males and females of a species.</t>
  </si>
  <si>
    <t>Postsecondary: As defined in IPEDS</t>
  </si>
  <si>
    <t>000255</t>
  </si>
  <si>
    <t>Shared Time Indicator</t>
  </si>
  <si>
    <t>An indication that a school offers career and technical education or other educational services in which some or all students are enrolled at a separate school of record and attend the shared-time school on a part-time basis.</t>
  </si>
  <si>
    <t>000257</t>
  </si>
  <si>
    <t>SharedTimeIndicator</t>
  </si>
  <si>
    <t>Short Name of Institution</t>
  </si>
  <si>
    <t>The name of the institution, which may be the abbreviated form of the full legally accepted name.</t>
  </si>
  <si>
    <t>An abbreviated name of an institution is commonly used, especially in reports and applications, e.g. a K12 school with the full legal name "Dr. Martin Luther King, Jr. Elementary School" may use "King Elementary".</t>
  </si>
  <si>
    <t>001487</t>
  </si>
  <si>
    <t>ShortNameOfInstitution</t>
  </si>
  <si>
    <t>Shortened Expulsion</t>
  </si>
  <si>
    <t>An expulsion with or without services that is shortened to a term of less than one year by the superintendent or chief administrator of a school district.</t>
  </si>
  <si>
    <t>000514</t>
  </si>
  <si>
    <t>ShortenedExpulsion</t>
  </si>
  <si>
    <t>Single Parent Or Single Pregnant Woman Status</t>
  </si>
  <si>
    <t>A student who, at some time during the school year, is either a pregnant female student who is unmarried; or a male or female student who is unmarried or legally separated from a spouse and has a minor child or children.</t>
  </si>
  <si>
    <t>000580</t>
  </si>
  <si>
    <t>SingleParentOrSinglePregnantWomanStatus</t>
  </si>
  <si>
    <t>Site Name</t>
  </si>
  <si>
    <t>The full, legally accepted name of the institution at the site level.</t>
  </si>
  <si>
    <t>Early Learning -&gt; EL Organization -&gt; Site Level Characteristics</t>
  </si>
  <si>
    <t>000632</t>
  </si>
  <si>
    <t>SiteName</t>
  </si>
  <si>
    <t>Size of High School Graduating Class</t>
  </si>
  <si>
    <t>The total number of students in the student's high school graduating class.</t>
  </si>
  <si>
    <t>000294</t>
  </si>
  <si>
    <t>TotalNumberInClass</t>
  </si>
  <si>
    <t>Social Security Number</t>
  </si>
  <si>
    <t>The nine-digit number of identification assigned to the person by the Social Security Administration.</t>
  </si>
  <si>
    <t>Alphanumeric - 9 digits</t>
  </si>
  <si>
    <t>Workforce Notes: The most complete data source and most often used is the Unemployment Insurance Wage Record system in states. Data contained in the wage record are built around quarterly employer payroll information from each person in their employ. The common element that identifies each employee is the person's social security number. Another identifier typically included is the first three digits of the person's last name. States that have attempted to use the latter have found it to be unreliable for matching purposes. Also, to collect data on workforce program participation, a data match will have to be negotiated between state agencies. The workforce data elements collected for workforce programs include many of the same elements defined for K12 students and postsecondary students, including gender and ethnicity. At a minimum, reliable matches can be obtained through the use of names and social security numbers.</t>
  </si>
  <si>
    <t>000259</t>
  </si>
  <si>
    <t>SSN</t>
  </si>
  <si>
    <t>SocialSecurityNumber</t>
  </si>
  <si>
    <t>Sorority Participation Status</t>
  </si>
  <si>
    <t>Student is in membership in a chiefly social organization of women students at a college or university, usually designated by Greek letters.</t>
  </si>
  <si>
    <t>000762</t>
  </si>
  <si>
    <t>SororityParticipationStatus</t>
  </si>
  <si>
    <t>Source of Family Income</t>
  </si>
  <si>
    <t>Sources of total family income.</t>
  </si>
  <si>
    <t>000333</t>
  </si>
  <si>
    <t>SourceOfFamilyIncome</t>
  </si>
  <si>
    <t>Special Circumstances Population Served</t>
  </si>
  <si>
    <t>Program provides services to meet the needs of children in special circumstances.</t>
  </si>
  <si>
    <t>000852</t>
  </si>
  <si>
    <t>SpecialCircumstancesPopulationServed</t>
  </si>
  <si>
    <t>Special Education Age Group Taught</t>
  </si>
  <si>
    <t>The age range of special education students taught.</t>
  </si>
  <si>
    <t>000564</t>
  </si>
  <si>
    <t>SpecialEducationAgeGroupTaught</t>
  </si>
  <si>
    <t>Special Education Exit Reason</t>
  </si>
  <si>
    <t>The reason children who were in special education at the start of the reporting period were not in special education at the end of the reporting period.</t>
  </si>
  <si>
    <t>Definition updated. Options added to option set.</t>
  </si>
  <si>
    <t>000260</t>
  </si>
  <si>
    <t>SpecialEducationExitReason</t>
  </si>
  <si>
    <t>Special Education Full Time Equivalency</t>
  </si>
  <si>
    <t>Calculated ratio of time the student is in a special education setting. Values range from 0.00 to 1.00. If the student is in a special education setting 25% of the time, the value is .25; if 100% of the time, the value is 1.00.</t>
  </si>
  <si>
    <t>A decimal number between 0 and 1 with up to two digits after decimal place.</t>
  </si>
  <si>
    <t>001242</t>
  </si>
  <si>
    <t>Special Education FTE</t>
  </si>
  <si>
    <t>SpecialEducationFTE</t>
  </si>
  <si>
    <t>Special Education Paraprofessional</t>
  </si>
  <si>
    <t>An indication of whether a paraprofessional is employed or contracted to work with children with disabilities who are ages 3 through 21.</t>
  </si>
  <si>
    <t>000261</t>
  </si>
  <si>
    <t>SpecialEducationParaprofessional</t>
  </si>
  <si>
    <t>Special Education Related Services Personnel</t>
  </si>
  <si>
    <t>An indication of whether a related services person is employed or contracted to work with children with disabilities who are ages 3 through 21.</t>
  </si>
  <si>
    <t>000262</t>
  </si>
  <si>
    <t>SpecialEducationRelatedServicesPersonnel</t>
  </si>
  <si>
    <t>Special Education Services Exit Date</t>
  </si>
  <si>
    <t>The year, month and day a child with disabilities (IDEA) ages 14 through 21 exited special education.</t>
  </si>
  <si>
    <t>K12 -&gt; K12 Student -&gt; IDEA</t>
  </si>
  <si>
    <t>000263</t>
  </si>
  <si>
    <t>SpecialEducationServicesExitDate</t>
  </si>
  <si>
    <t>Special Education Staff Category</t>
  </si>
  <si>
    <t>Titles of personnel employed and contracted to provide related services for children with disabilities.</t>
  </si>
  <si>
    <t>000558</t>
  </si>
  <si>
    <t>SpecialEducationStaffCategory</t>
  </si>
  <si>
    <t>Special Education Teacher</t>
  </si>
  <si>
    <t>An indication of whether a teacher is employed or contracted to work with children with disabilities who are ages 3 through 21.</t>
  </si>
  <si>
    <t>000264</t>
  </si>
  <si>
    <t>SpecialEducationTeacher</t>
  </si>
  <si>
    <t>Special Needs Policy</t>
  </si>
  <si>
    <t>Program ensures that policies are in place for Individualized Education Programs (IEPs) or Individual Family Service Plans (IFSPs) to meet the child's unique needs.</t>
  </si>
  <si>
    <t>Early Learning -&gt; EL Organization -&gt; Inclusion</t>
  </si>
  <si>
    <t>001001</t>
  </si>
  <si>
    <t>SpecialNeedsPolicy</t>
  </si>
  <si>
    <t>Sponsoring Agency Name</t>
  </si>
  <si>
    <t>The name of the sponsoring agency.</t>
  </si>
  <si>
    <t>001489</t>
  </si>
  <si>
    <t>SponsoringAgencyName</t>
  </si>
  <si>
    <t>Staff Compensation Base Salary</t>
  </si>
  <si>
    <t>The salary or wage a person is paid before deductions (excluding differentials) but including annuities.</t>
  </si>
  <si>
    <t>For the Common Core Data Teacher Compensation Survey this is: 'The negotiated annual salary for teaching duties for the school year. The base salary excludes pay for additional duties, such as supervising or directing afterschool activities, school administration activities, and teaching summer school or adult education classes. Bonuses and other incentives are not included in base salaries.' Also use CEDS element Salary For Teaching Assignment Only Indicator to indicate if a Base Salary is specific to teaching assignments.</t>
  </si>
  <si>
    <t>000032</t>
  </si>
  <si>
    <t>StaffCompensationBaseSalary</t>
  </si>
  <si>
    <t>Staff Compensation Health Benefits</t>
  </si>
  <si>
    <t>Contributions made by the school district, municipal, state, and other government agencies for the teacher's health insurance, prorated to the specific school indicated on the record (does not include contributions made by the teacher).</t>
  </si>
  <si>
    <t>000136</t>
  </si>
  <si>
    <t>StaffCompensationHealthBenefits</t>
  </si>
  <si>
    <t>Staff Compensation Other Benefits</t>
  </si>
  <si>
    <t>All other benefits (excluding retirement and health insurance) paid by the school district, municipal, state, and other government agencies for the teacher, prorated to the specific school indicated on the record (does not include contributions made by the teacher).</t>
  </si>
  <si>
    <t>000205</t>
  </si>
  <si>
    <t>StaffCompensationOtherBenefits</t>
  </si>
  <si>
    <t>Staff Compensation Retirement Benefits</t>
  </si>
  <si>
    <t>Contributions made by the school district, municipal, state, and other government agencies toward the teacher's retirement plan, prorated to the specific school indicated on the record (does not include contributions made by the teacher).</t>
  </si>
  <si>
    <t>000233</t>
  </si>
  <si>
    <t>StaffCompensationRetirementBenefits</t>
  </si>
  <si>
    <t>Staff Compensation Total Benefits</t>
  </si>
  <si>
    <t>Sum of retirement, health, and all other benefits, or total benefits paid by the school district, municipal, state, and other government agencies, prorated to the specific school indicated on the record.</t>
  </si>
  <si>
    <t>000293</t>
  </si>
  <si>
    <t>StaffCompensationTotalBenefits</t>
  </si>
  <si>
    <t>Staff Compensation Total Salary</t>
  </si>
  <si>
    <t>Total salary paid to the teacher at the specific school indicated on the record in the school year specified on the record.</t>
  </si>
  <si>
    <t>000295</t>
  </si>
  <si>
    <t>StaffCompensationTotalSalary</t>
  </si>
  <si>
    <t>Staff Education Entry Date</t>
  </si>
  <si>
    <t>The year, month and day that a staff member began participating in an educational experience (course, educational program, or formal education activity).</t>
  </si>
  <si>
    <t>000793</t>
  </si>
  <si>
    <t>StaffEducationEntryDate</t>
  </si>
  <si>
    <t>Staff Education Withdrawal Date</t>
  </si>
  <si>
    <t>The year, month and day that an individual ceased participating in an educational experience without completing the course, educational program, or staff development activity.</t>
  </si>
  <si>
    <t>000794</t>
  </si>
  <si>
    <t>StaffEducationWithdrawalDate</t>
  </si>
  <si>
    <t>Staff Evaluation Outcome</t>
  </si>
  <si>
    <t>The result of an assessment of a person's performance.</t>
  </si>
  <si>
    <t>000102</t>
  </si>
  <si>
    <t>StaffEvaluationOutcome</t>
  </si>
  <si>
    <t>Staff Evaluation Scale</t>
  </si>
  <si>
    <t>The quantitative or qualitative range of possible scores/rating for a person's performance (e.g., 0 - 10; Poor, Fair, Average, Good, Excellent).</t>
  </si>
  <si>
    <t>000103</t>
  </si>
  <si>
    <t>StaffEvaluationScale</t>
  </si>
  <si>
    <t>Staff Evaluation Score or Rating</t>
  </si>
  <si>
    <t>The actual quantitative or qualitative assessment of a person's performance.</t>
  </si>
  <si>
    <t>000104</t>
  </si>
  <si>
    <t>StaffEvaluationScoreOrRating</t>
  </si>
  <si>
    <t>Staff Evaluation System</t>
  </si>
  <si>
    <t>The instrument and/or set of procedures with which a person's performance is assessed.</t>
  </si>
  <si>
    <t>000105</t>
  </si>
  <si>
    <t>StaffEvaluationSystem</t>
  </si>
  <si>
    <t>Staff Full Time Equivalency</t>
  </si>
  <si>
    <t>The ratio between the hours of work expected in a position and the hours of work normally expected in a full-time position in the same setting.</t>
  </si>
  <si>
    <t>A decimal number between 0 and 1 with up to two digits after decimal place. For example, quarter time would be represented as 0.25</t>
  </si>
  <si>
    <t>000118</t>
  </si>
  <si>
    <t>Staff FTE</t>
  </si>
  <si>
    <t>StaffFullTimeEquivalency</t>
  </si>
  <si>
    <t>Staff Member Identification System</t>
  </si>
  <si>
    <t>A coding scheme that is used for identification and record-keeping purposes by schools, social services, registry, or other agencies to refer to a staff member.</t>
  </si>
  <si>
    <t>001074</t>
  </si>
  <si>
    <t>StaffMemberIdentificationSystem</t>
  </si>
  <si>
    <t>Staff Member Identifier</t>
  </si>
  <si>
    <t>A unique number or alphanumeric code assigned to a staff member by a school, school system, a state, registry, or other agency or entity.</t>
  </si>
  <si>
    <t>001070</t>
  </si>
  <si>
    <t>StaffMemberIdentifier</t>
  </si>
  <si>
    <t>Staff Professional Development Activity Completion Date</t>
  </si>
  <si>
    <t>The year, month and day on which an individual completed a course, an education program or a staff development activity.</t>
  </si>
  <si>
    <t>"Staff" added to element name.</t>
  </si>
  <si>
    <t>001062</t>
  </si>
  <si>
    <t>StaffProfessionalDevelopmentActivityCompletionDate</t>
  </si>
  <si>
    <t>Staff Professional Development Activity Start Date</t>
  </si>
  <si>
    <t>The year, month and day on which an individual begins a course, an education program or a staff development activity.</t>
  </si>
  <si>
    <t>001061</t>
  </si>
  <si>
    <t>StaffProfessionalDevelopmentActivityStartDate</t>
  </si>
  <si>
    <t>Standard Occupational Classification</t>
  </si>
  <si>
    <t>A Bureau of Labor Statistics coding system for classifying occupations by work performed and, in some cases, on the skills, education and training needed to perform the work at a competent level. See http://www.bls.gov/soc/soc_structure_2010.pdf.</t>
  </si>
  <si>
    <t>##-####</t>
  </si>
  <si>
    <t>000730</t>
  </si>
  <si>
    <t>StandardOccupationalClassification</t>
  </si>
  <si>
    <t>Standardized Admission Test Score</t>
  </si>
  <si>
    <t>The quantitative score on a standardized admission test reported to a postsecondary institution.</t>
  </si>
  <si>
    <t>Postsecondary -&gt; PS Student -&gt; Application</t>
  </si>
  <si>
    <t>000265</t>
  </si>
  <si>
    <t>StandardizedAdmissionTestScore</t>
  </si>
  <si>
    <t>Standardized Admission Test Type</t>
  </si>
  <si>
    <t>The type of test prepared and administered by an agency that is independent of any postsecondary education institution and is typically used for admissions purposes. Tests provide information about prospective students and their academic qualifications relative to a national sample.</t>
  </si>
  <si>
    <t>000266</t>
  </si>
  <si>
    <t>StandardizedAdmissionTestType</t>
  </si>
  <si>
    <t>State Abbreviation</t>
  </si>
  <si>
    <t>The abbreviation for the state (within the United States) or outlying area in which an address is located.</t>
  </si>
  <si>
    <t>000267</t>
  </si>
  <si>
    <t>StateAbbreviation</t>
  </si>
  <si>
    <t>State Agency Identification System</t>
  </si>
  <si>
    <t>A coding scheme that is used for identification and record-keeping purposes by to refer to a state agency.</t>
  </si>
  <si>
    <t>K12 -&gt; SEA -&gt; Identification</t>
  </si>
  <si>
    <t>001491</t>
  </si>
  <si>
    <t>StateAgencyIdentificationSystem</t>
  </si>
  <si>
    <t>State Agency Identifier</t>
  </si>
  <si>
    <t>A unique number or alphanumeric code assigned to a state agency.</t>
  </si>
  <si>
    <t>001490</t>
  </si>
  <si>
    <t>StateAgencyIdentifier</t>
  </si>
  <si>
    <t>State ANSI Code</t>
  </si>
  <si>
    <t>The American National Standards Institute (ANSI) two-digit code for the state.</t>
  </si>
  <si>
    <t>K12 -&gt; SEA -&gt; Address</t>
  </si>
  <si>
    <t>000424</t>
  </si>
  <si>
    <t>StateANSICode</t>
  </si>
  <si>
    <t>State Approved Technical Assistance Provider Status</t>
  </si>
  <si>
    <t>An indication of whether an individual has been approved as a technical assistance provider through a state process.</t>
  </si>
  <si>
    <t>000815</t>
  </si>
  <si>
    <t>StateApprovedTechnicalAssistanceProviderStatus</t>
  </si>
  <si>
    <t>State Approved Trainer Status</t>
  </si>
  <si>
    <t>An indication of whether an individual has been approved as a trainer through a state process.</t>
  </si>
  <si>
    <t>000814</t>
  </si>
  <si>
    <t>StateApprovedTrainerStatus</t>
  </si>
  <si>
    <t>State Assessment Administration Funding</t>
  </si>
  <si>
    <t>The percentage of funds used to administer assessments required by section 1111(b) or to carry out other activities described in section 6111 and other activities related to ensuring that the State’s schools and local educational agencies are held accountable for results.</t>
  </si>
  <si>
    <t>000454</t>
  </si>
  <si>
    <t>StateAssessmentAdministrationFunding</t>
  </si>
  <si>
    <t>State Assessment Standards Funding</t>
  </si>
  <si>
    <t>The percentage of funds used to pay the costs of the development of the State assessments and standards required by section 1111(b).</t>
  </si>
  <si>
    <t>000453</t>
  </si>
  <si>
    <t>StateAssessmentStandardsFunding</t>
  </si>
  <si>
    <t>State Issuing Professional Credential or License</t>
  </si>
  <si>
    <t>State where the professional license/credential was issued.</t>
  </si>
  <si>
    <t>000805</t>
  </si>
  <si>
    <t>StateIssuingProfessionalCredentialOrLicense</t>
  </si>
  <si>
    <t>State Licensed Facility Capacity</t>
  </si>
  <si>
    <t>The maximum number of children for which a state licensed a facility.</t>
  </si>
  <si>
    <t>000865</t>
  </si>
  <si>
    <t>StateLicensedFacilityCapacity</t>
  </si>
  <si>
    <t>State of Birth Abbreviation</t>
  </si>
  <si>
    <t>The abbreviation for the name of the state (within the United States) or extra-state jurisdiction in which a person was born.</t>
  </si>
  <si>
    <t>000427</t>
  </si>
  <si>
    <t>StateOfBirthAbbreviation</t>
  </si>
  <si>
    <t>State of Residence</t>
  </si>
  <si>
    <t>An person's permanent address as determined by such evidence as a driver's license or voter registration. For entering freshmen, state of residence may be the legal state of residence of a parent or guardian.</t>
  </si>
  <si>
    <t>Postsecondary -&gt; PS Student -&gt; Contact -&gt; Address</t>
  </si>
  <si>
    <t>000268</t>
  </si>
  <si>
    <t>StateOfResidence</t>
  </si>
  <si>
    <t>State Poverty Designation</t>
  </si>
  <si>
    <t>The designation of a school’s poverty quartile for purposes of determining classes taught by highly qualified teachers in high and low poverty schools, according to state’s indicator of poverty.</t>
  </si>
  <si>
    <t>000585</t>
  </si>
  <si>
    <t>StatePovertyDesignation</t>
  </si>
  <si>
    <t>State Transferability of Funds</t>
  </si>
  <si>
    <t>Did the State transfer funds under the State Transferability authority of Section 6123(a)</t>
  </si>
  <si>
    <t>000445</t>
  </si>
  <si>
    <t>StateTransferabilityOfFunds</t>
  </si>
  <si>
    <t>Status End Date</t>
  </si>
  <si>
    <t>The last year, month and day when a status applied to an individual.</t>
  </si>
  <si>
    <t>001228</t>
  </si>
  <si>
    <t>StatusEndDate</t>
  </si>
  <si>
    <t>Status Start Date</t>
  </si>
  <si>
    <t>The year, month and day that a status became applicable to an individual.</t>
  </si>
  <si>
    <t>001227</t>
  </si>
  <si>
    <t>StatusStartDate</t>
  </si>
  <si>
    <t>Student Attendance Rate</t>
  </si>
  <si>
    <t>The number of school days during the regular school year (plus summer, if applicable, if part of implementing the restart, transformation, or turnaround model) the student attended school divided by the maximum number of days the student could have attended school during the regular school year.</t>
  </si>
  <si>
    <t>Numeric - 0 to 1</t>
  </si>
  <si>
    <t>000271</t>
  </si>
  <si>
    <t>StudentAttendanceRate</t>
  </si>
  <si>
    <t>Student Course Section Mark Final Indicator</t>
  </si>
  <si>
    <t>Indicates that the mark is a final mark the learner has earned for the course section.</t>
  </si>
  <si>
    <t>Name changed from Student Class Section Mark Final Indicator. Definition updated.</t>
  </si>
  <si>
    <t>001142</t>
  </si>
  <si>
    <t>StudentCourseSectionMarkFinalIndicator</t>
  </si>
  <si>
    <t>Student Identification System</t>
  </si>
  <si>
    <t>A coding scheme that is used for identification and record-keeping purposes by schools, social services, or other agencies to refer to a student.</t>
  </si>
  <si>
    <t>001075</t>
  </si>
  <si>
    <t>StudentIdentificationSystem</t>
  </si>
  <si>
    <t>Student Identifier</t>
  </si>
  <si>
    <t>A unique number or alphanumeric code assigned to a student by a school, school system, a state, or other agency or entity.</t>
  </si>
  <si>
    <t>001071</t>
  </si>
  <si>
    <t>StudentIdentifier</t>
  </si>
  <si>
    <t>Student Level</t>
  </si>
  <si>
    <t>Classification of a person enrolling in credit-granting courses at a postsecondary institution since completing high school (or its equivalent) as either an undergraduate or graduate student.</t>
  </si>
  <si>
    <t>000272</t>
  </si>
  <si>
    <t>StudentLevel</t>
  </si>
  <si>
    <t>Student Support Service Type</t>
  </si>
  <si>
    <t>Type of related or ancillary services provided to a person or a group of persons within the formal educational system or offered by an outside agency which provides non-instructional services to support the general welfare of students. This includes physical and emotional health, the ability to select an appropriate course of study, admission to appropriate educational programs, and the ability to adjust to and remain in school through the completion of programs. In serving a student with an identified disability, related services include developmental, corrective, or supportive services required to ensure that the person benefits from special education.</t>
  </si>
  <si>
    <t>000273</t>
  </si>
  <si>
    <t>StudentSupportServiceType</t>
  </si>
  <si>
    <t>Supervised Clinical Experience</t>
  </si>
  <si>
    <t>An indication of whether a person is enrolled in a supervised clinical experience (including student teaching) as part of a teacher preparation program.</t>
  </si>
  <si>
    <t>000771</t>
  </si>
  <si>
    <t>SupervisedClinicalExperience</t>
  </si>
  <si>
    <t>Supervised Clinical Experience Clock Hours</t>
  </si>
  <si>
    <t>An indication of the number of clock hours (minimum) a student is required to complete associated with a supervised clinical experience.</t>
  </si>
  <si>
    <t>000772</t>
  </si>
  <si>
    <t>SupervisedClinicalExperienceClockHours</t>
  </si>
  <si>
    <t>Supplemental Education Services Public School Choice Twenty Percent Obligation</t>
  </si>
  <si>
    <t>The dollar amount of the 20 percent reservation for supplemental educational services and choice-related transportation.</t>
  </si>
  <si>
    <t>000574</t>
  </si>
  <si>
    <t>SES Public School Choice Twenty Percent Obligation</t>
  </si>
  <si>
    <t>SESPublicSchoolChoiceTwentyPercentObligation</t>
  </si>
  <si>
    <t>Supplemental Educational Services Funds Spent</t>
  </si>
  <si>
    <t>The dollar amount spent on supplemental educational services during the school year under Title I, Part A, Section 1116 of ESEA as amended.</t>
  </si>
  <si>
    <t>000567</t>
  </si>
  <si>
    <t>SES Funds Spent</t>
  </si>
  <si>
    <t>SESFundsSpent</t>
  </si>
  <si>
    <t>Supplemental Educational Services Per Pupil Expenditure</t>
  </si>
  <si>
    <t>The maximum dollar amount that may be spent per child for expenditures related to supplemental educational services under Title I of the ESEA.</t>
  </si>
  <si>
    <t>000575</t>
  </si>
  <si>
    <t>SES Per Pupil Expenditure</t>
  </si>
  <si>
    <t>SESPerPupilExpenditure</t>
  </si>
  <si>
    <t>Teacher Education Credential Exam Score Type</t>
  </si>
  <si>
    <t>An indication of the type of credential exam associated with a given exam score.</t>
  </si>
  <si>
    <t>Praxis I: Reading Mathematics Writing Praxis II: Codes at http://www.ets.org/praxis/about/praxisii/content ACTFL codes at http://www.languagetesting.com/</t>
  </si>
  <si>
    <t>000774</t>
  </si>
  <si>
    <t>TeacherEducationCredentialExamScoreType</t>
  </si>
  <si>
    <t>Teacher Education Credential Exam Type</t>
  </si>
  <si>
    <t>The type of examination used to assess teacher candidate's knowledge and skills.</t>
  </si>
  <si>
    <t>000773</t>
  </si>
  <si>
    <t>TeacherEducationCredentialExamType</t>
  </si>
  <si>
    <t>Teacher Education Test Company</t>
  </si>
  <si>
    <t>The name of the company that provides the examination used in the teacher education program.</t>
  </si>
  <si>
    <t>000766</t>
  </si>
  <si>
    <t>TeacherEducationTestCompany</t>
  </si>
  <si>
    <t>Teacher of Record</t>
  </si>
  <si>
    <t>Staff member who has a Teacher of Record responsibility for a Class Section based upon the state's definition of Teacher of Record.</t>
  </si>
  <si>
    <t>K12 -&gt; Course Section -&gt; Staff</t>
  </si>
  <si>
    <t>K-12 -&gt; Teacher-Student Data Link -&gt; Staff Assignment</t>
  </si>
  <si>
    <t>There is usually one Teacher of Record assignment in a Class Section except in the case of co-teaching/team-teaching.</t>
  </si>
  <si>
    <t>000647</t>
  </si>
  <si>
    <t>TeacherOfRecord</t>
  </si>
  <si>
    <t>Teacher Preparation Program Completer Status</t>
  </si>
  <si>
    <t>An indication of whether a person completed a state-approved teacher preparation program. The fact that a person has or has not been recommended to the state for initial certification or licensure may not be used as a criterion for determining who is a program completer.</t>
  </si>
  <si>
    <t>000768</t>
  </si>
  <si>
    <t>TeacherPreparationProgramCompleterStatus</t>
  </si>
  <si>
    <t>Teacher Preparation Program Enrollment Status</t>
  </si>
  <si>
    <t>An indication of whether a person is pursuing certification as a teacher.</t>
  </si>
  <si>
    <t>000767</t>
  </si>
  <si>
    <t>TeacherPreparationProgramEnrollmentStatus</t>
  </si>
  <si>
    <t>Teacher Student Data Link Exclusion Flag</t>
  </si>
  <si>
    <t>Indicates that the student is excluded from calculation of value-added or growth attribution calculations used for teacher evaluation.</t>
  </si>
  <si>
    <t>K12 -&gt; Teacher Student Data Link Exclusion</t>
  </si>
  <si>
    <t>The context for this element is the intersection of a teacher assignment to a Class/Section and a student enrollment to a Class/Section. It may be represented in a data model as a separate entity such as Teacher Student Data Link Exclusion.</t>
  </si>
  <si>
    <t>000972</t>
  </si>
  <si>
    <t>TeacherStudentDataLinkExclusionFlag</t>
  </si>
  <si>
    <t>Teaching Assignment Contribution Percentage</t>
  </si>
  <si>
    <t>A percentage used to weight the educator's assigned responsibility for student learning in a Class Section, particularly when more than one educator is assigned to the class section.</t>
  </si>
  <si>
    <t>000649</t>
  </si>
  <si>
    <t>TeachingAssignmentContributionPercentage</t>
  </si>
  <si>
    <t>Teaching Assignment End Date</t>
  </si>
  <si>
    <t>The year, month and day on which a teaching assignment ends.</t>
  </si>
  <si>
    <t>000646</t>
  </si>
  <si>
    <t>TeachingAssignmentEndDate</t>
  </si>
  <si>
    <t>Teaching Assignment Role</t>
  </si>
  <si>
    <t>The role that the Staff Member has been assigned for a Class Section. (A teacher may have the lead responsibility for one section and serve a supporting role for another section of the same course.)</t>
  </si>
  <si>
    <t>000648</t>
  </si>
  <si>
    <t>TeachingAssignmentRole</t>
  </si>
  <si>
    <t>Teaching Assignment Start Date</t>
  </si>
  <si>
    <t>The year, month and day on which a teaching assignment begins.</t>
  </si>
  <si>
    <t>000645</t>
  </si>
  <si>
    <t>TeachingAssignmentStartDate</t>
  </si>
  <si>
    <t>Teaching Credential Basis</t>
  </si>
  <si>
    <t>An indication of the pre-determined criteria for granting the teaching credential that a person holds.</t>
  </si>
  <si>
    <t>000277</t>
  </si>
  <si>
    <t>TeachingCredentialBasis</t>
  </si>
  <si>
    <t>Teaching Credential Type</t>
  </si>
  <si>
    <t>An indication of the category of a legal document giving authorization to perform teaching assignment services.</t>
  </si>
  <si>
    <t>000278</t>
  </si>
  <si>
    <t>TeachingCredentialType</t>
  </si>
  <si>
    <t>Technical Assistance Approved Indicator</t>
  </si>
  <si>
    <t>Indicates whether or not the technical assistance was approved.</t>
  </si>
  <si>
    <t>001493</t>
  </si>
  <si>
    <t>TechnicalAssistanceApprovedIndicator</t>
  </si>
  <si>
    <t>Technical Assistance Delivery Type</t>
  </si>
  <si>
    <t>The method of delivery of technical assistance received/provided</t>
  </si>
  <si>
    <t>001494</t>
  </si>
  <si>
    <t>TechnicalAssistanceDeliveryType</t>
  </si>
  <si>
    <t>Technical Assistance Type</t>
  </si>
  <si>
    <t>They type of technical assistance provided</t>
  </si>
  <si>
    <t>001495</t>
  </si>
  <si>
    <t>TechnicalAssistanceType</t>
  </si>
  <si>
    <t>Technology Literacy Status in 8th Grade</t>
  </si>
  <si>
    <t>An indication of the technology literacy of 8th graders.</t>
  </si>
  <si>
    <t>000566</t>
  </si>
  <si>
    <t>TechnologyLiteracyStatusIn8thGrade</t>
  </si>
  <si>
    <t>Technology Skills Standards Met</t>
  </si>
  <si>
    <t>An indication that the person has achieved acceptable performance on a standards-based profile of technology user skills as defined by the state.</t>
  </si>
  <si>
    <t>000546</t>
  </si>
  <si>
    <t>TechnologySkillsStandardsMet</t>
  </si>
  <si>
    <t>Telephone Number</t>
  </si>
  <si>
    <t>The telephone number including the area code, and extension, if applicable.</t>
  </si>
  <si>
    <t>Alphanumeric - 24 characters maximum</t>
  </si>
  <si>
    <t>000279</t>
  </si>
  <si>
    <t>TelephoneNumber</t>
  </si>
  <si>
    <t>Telephone Number Type</t>
  </si>
  <si>
    <t>The type of communication number listed for a person.</t>
  </si>
  <si>
    <t>000280</t>
  </si>
  <si>
    <t>TelephoneNumberType</t>
  </si>
  <si>
    <t>Tenure System</t>
  </si>
  <si>
    <t>An indicator of whether an institution has personnel positions that lead to consideration for tenure.</t>
  </si>
  <si>
    <t>000738</t>
  </si>
  <si>
    <t>TenureSystem</t>
  </si>
  <si>
    <t>Terminated Title III Programs Due to Failure</t>
  </si>
  <si>
    <t>An indication of whether a Title III program or activity was terminated due to failure to meet goals.</t>
  </si>
  <si>
    <t>000482</t>
  </si>
  <si>
    <t>TerminatedTitleIIIProgramsDueToFailure</t>
  </si>
  <si>
    <t>Thesis or Dissertation Title</t>
  </si>
  <si>
    <t>The title of the thesis or dissertation.</t>
  </si>
  <si>
    <t>001496</t>
  </si>
  <si>
    <t>ThesisOrDissertationTitle</t>
  </si>
  <si>
    <t>Timetable Day Identifier</t>
  </si>
  <si>
    <t>The unique identifier for the locally defined rotation cycle date code when the class meets (e.g., in a two day schedule, valid values could be "A" and "B", or "1" and "2").</t>
  </si>
  <si>
    <t>000523</t>
  </si>
  <si>
    <t>TimetableDayIdentifier</t>
  </si>
  <si>
    <t>Title I Indicator</t>
  </si>
  <si>
    <t>An indication that the student is participating in and served by programs under Title I, Part A of ESEA as amended.</t>
  </si>
  <si>
    <t>000281</t>
  </si>
  <si>
    <t>TitleIIndicator</t>
  </si>
  <si>
    <t>Title I Instructional Services</t>
  </si>
  <si>
    <t>The type of instructional services provided to students in ESEA Title I programs.</t>
  </si>
  <si>
    <t>000282</t>
  </si>
  <si>
    <t>TitleIInstructionalServices</t>
  </si>
  <si>
    <t>Title I Program Staff Category</t>
  </si>
  <si>
    <t>Titles of employment, official status, or rank for staff working in a Title I program.</t>
  </si>
  <si>
    <t>000283</t>
  </si>
  <si>
    <t>TitleIProgramStaffCategory</t>
  </si>
  <si>
    <t>Title I Program Type</t>
  </si>
  <si>
    <t>The type of Title I program offered in the school or district.</t>
  </si>
  <si>
    <t>000284</t>
  </si>
  <si>
    <t>TitleIProgramType</t>
  </si>
  <si>
    <t>Title I School Status</t>
  </si>
  <si>
    <t>An indication that a school is designated under state and federal regulations as being eligible for participation in programs authorized by Title I of ESEA as amended and whether it has a Title I program.</t>
  </si>
  <si>
    <t>000285</t>
  </si>
  <si>
    <t>TitleISchoolStatus</t>
  </si>
  <si>
    <t>Title I School Supplemental Services Applied Status</t>
  </si>
  <si>
    <t>An indication of whether an eligible student applied/requested to receive supplemental educational services under Title I, Part A, Section 1116 of ESEA as amended during the school year.</t>
  </si>
  <si>
    <t>000286</t>
  </si>
  <si>
    <t>TitleISchoolSupplementalServicesAppliedStatus</t>
  </si>
  <si>
    <t>Title I School Supplemental Services Eligible Status</t>
  </si>
  <si>
    <t>An indication of whether a student is eligible to receive supplemental educational services during the school year in accordance with Title I, Part A, Section 1116 of ESEA as amended.</t>
  </si>
  <si>
    <t>000287</t>
  </si>
  <si>
    <t>TitleISchoolSupplementalServicesEligibleStatus</t>
  </si>
  <si>
    <t>Title I School Supplemental Services Received Status</t>
  </si>
  <si>
    <t>An indication of whether an eligible student received supplemental educational services during the school year in accordance with Title I, Part A, Section 1116 of ESEA as amended.</t>
  </si>
  <si>
    <t>000288</t>
  </si>
  <si>
    <t>TitleISchoolSupplementalServicesReceivedStatus</t>
  </si>
  <si>
    <t>Title I Schoolwide Program Participation</t>
  </si>
  <si>
    <t>An indication that the student participates in and is served by a schoolwide program (SWP) under Title I of ESEA, Part A, Sections 1114.</t>
  </si>
  <si>
    <t>000550</t>
  </si>
  <si>
    <t>TitleISchoolwideProgramParticipation</t>
  </si>
  <si>
    <t>Title I Support Services</t>
  </si>
  <si>
    <t>The type of support services provided to students in Title I programs.</t>
  </si>
  <si>
    <t>000289</t>
  </si>
  <si>
    <t>TitleISupportServices</t>
  </si>
  <si>
    <t>Title I Targeted Assistance Participation</t>
  </si>
  <si>
    <t>An indication that the student participates in and is served by a targeted assistance (TAS) program under Title I of ESEA, Part A, Sections 1115.</t>
  </si>
  <si>
    <t>000551</t>
  </si>
  <si>
    <t>TitleITargetedAssistanceParticipation</t>
  </si>
  <si>
    <t>Title I Targeted Assistance Staff Funded</t>
  </si>
  <si>
    <t>An indication that a staff member is targeted assistance (TAS) program staff funded by Title I, Part A, Section 1115 of ESEA as amended.</t>
  </si>
  <si>
    <t>000552</t>
  </si>
  <si>
    <t>TitleITargetedAssistanceStaffFunded</t>
  </si>
  <si>
    <t>Title III Accountability Progress Status</t>
  </si>
  <si>
    <t>An indication of the progress made by a student toward English proficiency.</t>
  </si>
  <si>
    <t>000536</t>
  </si>
  <si>
    <t>TitleIIIAccountabilityProgressStatus</t>
  </si>
  <si>
    <t>Title III Immigrant Participation Status</t>
  </si>
  <si>
    <t>An indication that an immigrant student participated in programs for immigrant children and youth funded under ESEA Title III Section 3114(d)(1) using funds reserved for immigrant education programs/activities.</t>
  </si>
  <si>
    <t>000290</t>
  </si>
  <si>
    <t>TitleIIIImmigrantParticipationStatus</t>
  </si>
  <si>
    <t>Title III Immigrant Status</t>
  </si>
  <si>
    <t>An indication that the child is an immigrant according to the Title III of ESEA definition, meaning children who are aged 3 through 21; were not born in any state; and have not been attending one or more schools in any one or more States for more than 3 full academic years.</t>
  </si>
  <si>
    <t>000291</t>
  </si>
  <si>
    <t>TitleIIIImmigrantStatus</t>
  </si>
  <si>
    <t>Title III Language Instruction Program Type</t>
  </si>
  <si>
    <t>The type of Title III language instructional programs.</t>
  </si>
  <si>
    <t>000447</t>
  </si>
  <si>
    <t>TitleIIILanguageInstructionProgramType</t>
  </si>
  <si>
    <t>Title III Limited English Proficient Participation Status</t>
  </si>
  <si>
    <t>An indication that a limited English proficient (LEP) student is served by an English language instruction educational program supported with Title III of ESEA funds.</t>
  </si>
  <si>
    <t>000565</t>
  </si>
  <si>
    <t>Title III LEP Participation Status</t>
  </si>
  <si>
    <t>TitleIIILEPParticipationStatus</t>
  </si>
  <si>
    <t>Title III Professional Development Type</t>
  </si>
  <si>
    <t>The type of Title III professional development utilized.</t>
  </si>
  <si>
    <t>000487</t>
  </si>
  <si>
    <t>TitleIIIProfessionalDevelopmentType</t>
  </si>
  <si>
    <t>Title IV Participant and Recipient</t>
  </si>
  <si>
    <t>A person who receives Title IV aid. Title IV aid includes grant aid, work study aid, and loan aid such as: Federal Pell Grant, Federal Supplemental Educational Opportunity Grant (FSEOG), Teacher Education Assistance for College and Higher Education (TEACH) Grant, Federal Work-Study, Federal Perkins Loan, Subsidized Direct or FFEL Stafford Loan, and Unsubsidized Direct or FFEL Stafford Loan. Title IV aid specifications are defined by the instructions for the IPEDS Student Financial Aid survey.</t>
  </si>
  <si>
    <t>000292</t>
  </si>
  <si>
    <t>TitleIVParticipantAndRecipient</t>
  </si>
  <si>
    <t>Total Approved Early Childhood Credits Earned</t>
  </si>
  <si>
    <t>Total semester credits earned in early childhood regardless of whether credits are earned as part of an early childhood degree program, other degree program or outside of a degree program.</t>
  </si>
  <si>
    <t>001086</t>
  </si>
  <si>
    <t>TotalApprovedEarlyChildhoodCreditsEarned</t>
  </si>
  <si>
    <t>Transfer-ready</t>
  </si>
  <si>
    <t>A person who has successfully completed a transfer-preparatory program as defined by the state or by the institution if no official state definition exists.</t>
  </si>
  <si>
    <t>000296</t>
  </si>
  <si>
    <t>TransferReady</t>
  </si>
  <si>
    <t>Truant Status</t>
  </si>
  <si>
    <t>An indication that a student is identified as a truant as defined by state rules.</t>
  </si>
  <si>
    <t>000569</t>
  </si>
  <si>
    <t>TruantStatus</t>
  </si>
  <si>
    <t>Tuition - Published</t>
  </si>
  <si>
    <t>The published tuition for first time, full-time undergraduate students (lower of in-district or in-state for public institutions). Tuition may be charged per term, per course, per credit or per program.</t>
  </si>
  <si>
    <t>The tuition rate used in the calculation of the institutional "net price" of attendance.</t>
  </si>
  <si>
    <t>000745</t>
  </si>
  <si>
    <t>TuitionPublished</t>
  </si>
  <si>
    <t>Tuition Residency Type</t>
  </si>
  <si>
    <t>A person's residency status for tuition purposes.</t>
  </si>
  <si>
    <t>000297</t>
  </si>
  <si>
    <t>TuitionResidencyType</t>
  </si>
  <si>
    <t>Tuition Unit</t>
  </si>
  <si>
    <t>The component for which tuition is being charged. It might be a time period (term, quarter, year, etc.) or it might be an entity of education (course, credit hour, etc.).</t>
  </si>
  <si>
    <t>000746</t>
  </si>
  <si>
    <t>TuitionUnit</t>
  </si>
  <si>
    <t>Type of Use of the Rural Low-Income Schools Program</t>
  </si>
  <si>
    <t>The type of use of the Rural Low-Income Schools Program (RLIS) (Title VI, Part B, Subpart 2) Grant Funds.</t>
  </si>
  <si>
    <t>000486</t>
  </si>
  <si>
    <t>Type of Use of the RLIS Program</t>
  </si>
  <si>
    <t>TypeOfUseOfTheRLISProgram</t>
  </si>
  <si>
    <t>Union Membership Name</t>
  </si>
  <si>
    <t>The name of the labor organization of which the person is a member.</t>
  </si>
  <si>
    <t>001497</t>
  </si>
  <si>
    <t>UnionMembershipName</t>
  </si>
  <si>
    <t>Union Membership Status</t>
  </si>
  <si>
    <t>An indication of whether the person is a member of a union.</t>
  </si>
  <si>
    <t>000799</t>
  </si>
  <si>
    <t>UnionMembershipStatus</t>
  </si>
  <si>
    <t>United States Citizenship Status</t>
  </si>
  <si>
    <t>An indicator of whether or not the person is a US citizen.</t>
  </si>
  <si>
    <t>000299</t>
  </si>
  <si>
    <t>UnitedStatesCitizenshipStatus</t>
  </si>
  <si>
    <t>Uses of Funds for Purposes other than Standards and Assessment Development</t>
  </si>
  <si>
    <t>Purposes that funds available under ESEA section 6111 (Grants for State Assessments and Related Activities) were used during the 2009-10 school year for purposes other than the costs of the development of the State assessments and standards required by section 1111(b).</t>
  </si>
  <si>
    <t>000459</t>
  </si>
  <si>
    <t>UsesOfFundsForPurposesOtherThanStandardsAndAssessmentDevelopment</t>
  </si>
  <si>
    <t>Virtual Indicator</t>
  </si>
  <si>
    <t>Indicates a school, institution, program, or class/section focuses primarily on instruction in which students and teachers are separated by time and/or location and interact through the use of computers and/or telecommunications technologies.</t>
  </si>
  <si>
    <t>001160</t>
  </si>
  <si>
    <t>VirtualIndicator</t>
  </si>
  <si>
    <t>Visa Type</t>
  </si>
  <si>
    <t>An indicator of a non-US citizen's Visa type.</t>
  </si>
  <si>
    <t>000196</t>
  </si>
  <si>
    <t>VisaType</t>
  </si>
  <si>
    <t>Vision Screening Date</t>
  </si>
  <si>
    <t>The year, month and day of a vision screening.</t>
  </si>
  <si>
    <t>000703</t>
  </si>
  <si>
    <t>VisionScreeningDate</t>
  </si>
  <si>
    <t>Vision Screening Status</t>
  </si>
  <si>
    <t>Status of an examination used to measure a person's ability to see.</t>
  </si>
  <si>
    <t>000308</t>
  </si>
  <si>
    <t>VisionScreeningStatus</t>
  </si>
  <si>
    <t>Wage Collection Code</t>
  </si>
  <si>
    <t>Method used for the collection of wage data for an employment record.</t>
  </si>
  <si>
    <t>000798</t>
  </si>
  <si>
    <t>WageCollectionCode</t>
  </si>
  <si>
    <t>Wage Verification Code</t>
  </si>
  <si>
    <t>An indication of whether the wage information has been verified.</t>
  </si>
  <si>
    <t>000819</t>
  </si>
  <si>
    <t>WageVerificationCode</t>
  </si>
  <si>
    <t>Wait Listed Student</t>
  </si>
  <si>
    <t>A person who meets the admission requirements but will only be offered a place in the class if space becomes available.</t>
  </si>
  <si>
    <t>000757</t>
  </si>
  <si>
    <t>WaitListedStudent</t>
  </si>
  <si>
    <t>Weapon Type</t>
  </si>
  <si>
    <t>Identifies the type of weapon used during an incident.</t>
  </si>
  <si>
    <t>See Forum Guide to Crime, Violence, and Discipline Incident Data http://nces.ed.gov/pubs2011/2011806.pdf Forum Guide.</t>
  </si>
  <si>
    <t>001211</t>
  </si>
  <si>
    <t>WeaponType</t>
  </si>
  <si>
    <t>Web Site Address</t>
  </si>
  <si>
    <t>The Uniform Resource Locator (URL) for the unique address of a Web page.</t>
  </si>
  <si>
    <t>000704</t>
  </si>
  <si>
    <t>WebSiteAddress</t>
  </si>
  <si>
    <t>Weeks Employed Per Year</t>
  </si>
  <si>
    <t>The number of weeks employed by year.</t>
  </si>
  <si>
    <t>001498</t>
  </si>
  <si>
    <t>WeeksEmployedPerYear</t>
  </si>
  <si>
    <t>Weeks of Gestation</t>
  </si>
  <si>
    <t>The number of weeks during gestational period.</t>
  </si>
  <si>
    <t>Early Learning -&gt; EL Child -&gt; EL Health Information -&gt; Birth</t>
  </si>
  <si>
    <t>000313</t>
  </si>
  <si>
    <t>WeeksOfGestation</t>
  </si>
  <si>
    <t>Weight at Birth</t>
  </si>
  <si>
    <t>The weight of a child at birth in pounds and ounces.</t>
  </si>
  <si>
    <t>000312</t>
  </si>
  <si>
    <t>WeightAtBirth</t>
  </si>
  <si>
    <t>White</t>
  </si>
  <si>
    <t>A person having origins in any of the original peoples of Europe, Middle East, or North Africa.</t>
  </si>
  <si>
    <t>000301</t>
  </si>
  <si>
    <t>Work-based Learning Opportunity Type</t>
  </si>
  <si>
    <t>The type of work-based learning opportunity a student participated in.</t>
  </si>
  <si>
    <t>001499</t>
  </si>
  <si>
    <t>Work-basedLearningOpportunityType</t>
  </si>
  <si>
    <t>Workforce Program Participation</t>
  </si>
  <si>
    <t>The type of workforce and employment development program that an individual is participating in.</t>
  </si>
  <si>
    <t>Workforce -&gt; Workforce Program Participant -&gt; Program Participation</t>
  </si>
  <si>
    <t>Name changed from Workforce Program Participation After Exit.</t>
  </si>
  <si>
    <t>A reference period for identifying program participation during or after enrollment in secondary education, postsecondary education, or adult education will have to be defined by the agency in collaboration with other agency partners. At this point this element is intended only to indicate program participation and does not delve into programmatic details, persistence, or completion.</t>
  </si>
  <si>
    <t>000997</t>
  </si>
  <si>
    <t>WorkforceProgramParticipation</t>
  </si>
  <si>
    <t>Workforce Program Participation End Date</t>
  </si>
  <si>
    <t>The year, month, and day of the last day of the reference period during which data are matched between education and workforce data sources.</t>
  </si>
  <si>
    <t>Name changed from Workforce Program Participation Reference Period End Date.</t>
  </si>
  <si>
    <t>Agencies define the time period for this collection around an enrollment period or exit date with a to-be defined lag period following an exit event. Enrollment periods are defined in CEDS for K12 and postsecondary students. The term "exit" includes leaving education for any reason including dropping out or graduating with or without a credential. Exiting conditions are defined in CEDS for K12 and postsecondary students.</t>
  </si>
  <si>
    <t>000999</t>
  </si>
  <si>
    <t>WorkforceProgramParticipationEndDate</t>
  </si>
  <si>
    <t>Workforce Program Participation Start Date</t>
  </si>
  <si>
    <t>The year, month, and day of the first day of the reference period during which data are matched between education and workforce data sources.</t>
  </si>
  <si>
    <t>Name changed from Workforce Program Participation Reference Period Start Date.</t>
  </si>
  <si>
    <t>000998</t>
  </si>
  <si>
    <t>WorkforceProgramParticipationStartDate</t>
  </si>
  <si>
    <t>Workforce Program Participation While Enrolled in an Education Program</t>
  </si>
  <si>
    <t>The type of workforce and employment development program that an individual is participating in while enrolled in an education program.</t>
  </si>
  <si>
    <t>000996</t>
  </si>
  <si>
    <t>WorkforceProgramParticipationWhileEnrolledInEducationProgram</t>
  </si>
  <si>
    <t>Years of Prior Adult Education Teaching Experience</t>
  </si>
  <si>
    <t>The total number of years that a person has previously held a teaching position in one or more adult education programs.</t>
  </si>
  <si>
    <t>Adult Education -&gt; AE Staff -&gt; Experience</t>
  </si>
  <si>
    <t>000788</t>
  </si>
  <si>
    <t>YearsofPriorAETeachingExperience</t>
  </si>
  <si>
    <t>Years of Prior Teaching Experience</t>
  </si>
  <si>
    <t>The total number of years that a person has previously held a teaching position in one or more education institutions.</t>
  </si>
  <si>
    <t>000302</t>
  </si>
  <si>
    <t>YearsOfPriorTeachingExperience</t>
  </si>
  <si>
    <t xml:space="preserve">Yes
No
</t>
  </si>
  <si>
    <t>K12 -&gt; Course Section (added)
K12 -&gt; K12 Course (added)
K12 -&gt; K12 School -&gt; Institution Characteristics</t>
  </si>
  <si>
    <t>Postsecondary Education -&gt; Complete College America
Postsecondary Education -&gt; IPEDS
Postsecondary Education -&gt; Transition</t>
  </si>
  <si>
    <t>Adult Education -&gt; AE Student -&gt; Academic Record (added)
Postsecondary -&gt; PS Student -&gt; Academic Record</t>
  </si>
  <si>
    <t>K-12 -&gt; High School Feedback Report
Postsecondary Education -&gt; Complete College America
Postsecondary Education -&gt; IPEDS
Postsecondary Education -&gt; Transition</t>
  </si>
  <si>
    <t>K-12 -&gt; High School Generated Transcript
K-12 -&gt; LEA-to-LEA Student Record Exchange
K-12 -&gt; LEA-to-SEA Student Record Exchange</t>
  </si>
  <si>
    <t>Assessments -&gt; Achievement
K12 -&gt; Achievement
K12 -&gt; Assessments -&gt; Achievement</t>
  </si>
  <si>
    <t>K12 -&gt; K12 Student -&gt; Academic Record
K12 -&gt; K12 Student -&gt; Enrollment</t>
  </si>
  <si>
    <t>Career and Technical -&gt; Course
K12 -&gt; Course Section -&gt; Directory (added)
K12 -&gt; K12 Course</t>
  </si>
  <si>
    <t>Adult Education -&gt; AE Staff -&gt; Contact -&gt; Address
Adult Education -&gt; AE Student -&gt; Contact -&gt; Address
Career and Technical -&gt; CTE Staff -&gt; Contact -&gt; Address (added)
Career and Technical -&gt; CTE Student -&gt; Contact -&gt; Address
Early Learning -&gt; EL Child -&gt; Contact -&gt; Address
Early Learning -&gt; EL Organization -&gt; Address
Early Learning -&gt; EL Staff -&gt; Contact -&gt; Address
Early Learning -&gt; EL Staff -&gt; Professional Development -&gt; Instructor (added)
Early Learning -&gt; EL Staff -&gt; Professional Development Activity -&gt; Session - Location (added)
Early Learning -&gt; Parent/Guardian -&gt; Contact -&gt; Address
K12 -&gt; Facility
K12 -&gt; K12 School -&gt; Address
K12 -&gt; K12 Staff -&gt; Contact -&gt; Address
K12 -&gt; K12 Staff -&gt; Professional Development Activity -&gt; Session - Location (added)
K12 -&gt; K12 Student -&gt; Contact -&gt; Address
K12 -&gt; LEA -&gt; Address
K12 -&gt; Organization -&gt; Address (added)
K12 -&gt; Parent/Guardian -&gt; Contact -&gt; Address
K12 -&gt; Program -&gt; Address (added)
K12 -&gt; SEA -&gt; Address
K12 -&gt; SEA -&gt; Contact -&gt; Address (added)
Postsecondary -&gt; Parent/Guardian -&gt; Contact -&gt; Address (added)
Postsecondary -&gt; PS Institution -&gt; Address
Postsecondary -&gt; PS Staff -&gt; Contact -&gt; Address
Postsecondary -&gt; PS Student -&gt; Contact -&gt; Address</t>
  </si>
  <si>
    <t>Early Learning -&gt; Licensing
Early Learning -&gt; Program Compliance
Early Learning -&gt; Program Entry
Early Learning -&gt; Staff Quality
Early Learning -&gt; Workforce Development
K-12 -&gt; High School Generated Transcript
K-12 -&gt; LEA-to-LEA Student Record Exchange
K-12 -&gt; LEA-to-SEA Student Record Exchange
Postsecondary Education -&gt; Complete College America
Postsecondary Education -&gt; IPEDS</t>
  </si>
  <si>
    <t>Adult Education -&gt; AE Staff -&gt; Contact -&gt; Address
Adult Education -&gt; AE Student -&gt; Contact -&gt; Address
Career and Technical -&gt; CTE Staff -&gt; Contact -&gt; Address (added)
Career and Technical -&gt; CTE Student -&gt; Contact -&gt; Address
Early Learning -&gt; EL Child -&gt; Contact -&gt; Address
Early Learning -&gt; EL Organization -&gt; Address
Early Learning -&gt; EL Staff -&gt; Contact -&gt; Address
Early Learning -&gt; Parent/Guardian -&gt; Contact -&gt; Address
K12 -&gt; Facility
K12 -&gt; K12 School -&gt; Address
K12 -&gt; K12 Staff -&gt; Contact -&gt; Address
K12 -&gt; K12 Student -&gt; Contact -&gt; Address
K12 -&gt; LEA -&gt; Address
K12 -&gt; Organization -&gt; Address (added)
K12 -&gt; Parent/Guardian -&gt; Contact -&gt; Address
K12 -&gt; Program -&gt; Address (added)
K12 -&gt; SEA -&gt; Contact -&gt; Address (added)
Postsecondary -&gt; Parent/Guardian -&gt; Contact -&gt; Address (added)
Postsecondary -&gt; PS Institution -&gt; Address
Postsecondary -&gt; PS Staff -&gt; Contact -&gt; Address
Postsecondary -&gt; PS Student -&gt; Contact -&gt; Address</t>
  </si>
  <si>
    <t>Adult Education -&gt; AE Student -&gt; Contact -&gt; Address
Career and Technical -&gt; CTE Student -&gt; Contact -&gt; Address
Early Learning -&gt; EL Child -&gt; Contact -&gt; Address
Early Learning -&gt; Parent/Guardian -&gt; Contact -&gt; Address
K12 -&gt; K12 Student -&gt; Contact -&gt; Address
K12 -&gt; Parent/Guardian -&gt; Contact -&gt; Address
Postsecondary -&gt; Parent/Guardian -&gt; Contact -&gt; Address (added)
Postsecondary -&gt; PS Student -&gt; Contact -&gt; Address</t>
  </si>
  <si>
    <t>Postsecondary Education -&gt; Complete College America
Postsecondary Education -&gt; IPEDS</t>
  </si>
  <si>
    <t>Early Learning -&gt; EL Organization -&gt; Address
K12 -&gt; Facility
K12 -&gt; K12 School -&gt; Address
K12 -&gt; LEA -&gt; Address
K12 -&gt; Organization -&gt; Address (added)
K12 -&gt; Program -&gt; Address (added)
K12 -&gt; SEA -&gt; Address
Postsecondary -&gt; PS Institution -&gt; Address</t>
  </si>
  <si>
    <t>Adult Education -&gt; AE Staff -&gt; Contact -&gt; Address
Career and Technical -&gt; CTE Staff -&gt; Contact -&gt; Address (added)
Early Learning -&gt; EL Staff -&gt; Contact -&gt; Address
Early Learning -&gt; EL Staff -&gt; Professional Development -&gt; Instructor (added)
K12 -&gt; K12 Staff -&gt; Contact -&gt; Address
K12 -&gt; SEA -&gt; Contact -&gt; Address (added)
Postsecondary -&gt; PS Staff -&gt; Contact -&gt; Address</t>
  </si>
  <si>
    <t>K12 -&gt; K12 School -&gt; Accountability
K12 -&gt; LEA -&gt; Accountability</t>
  </si>
  <si>
    <t>K12 -&gt; K12 School -&gt; Accountability
K12 -&gt; LEA -&gt; Accountability
K12 -&gt; SEA -&gt; Accountability</t>
  </si>
  <si>
    <t>Adult Education -&gt; AE Provider
Adult Education -&gt; AE Staff -&gt; Assignment (added)</t>
  </si>
  <si>
    <t>K12 -&gt; Course Section -&gt; Directory
K12 -&gt; K12 Course
Postsecondary -&gt; PS Section</t>
  </si>
  <si>
    <t>Early Learning -&gt; EL Child -&gt; EL Health Information
K12 -&gt; K12 Student -&gt; Health</t>
  </si>
  <si>
    <t xml:space="preserve">Mild
Severe
</t>
  </si>
  <si>
    <t>Adult Education -&gt; AE Student -&gt; Demographic
Career and Technical -&gt; CTE Student -&gt; Demographic
Early Learning -&gt; EL Child -&gt; Demographic
Early Learning -&gt; EL Staff -&gt; Demographic
K12 -&gt; K12 Staff -&gt; Demographic
K12 -&gt; K12 Student -&gt; Demographic
Postsecondary -&gt; PS Staff -&gt; Demographic
Postsecondary -&gt; PS Student -&gt; Demographic</t>
  </si>
  <si>
    <t>Early Learning -&gt; Program Entry
Early Learning -&gt; Staff Quality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IPEDS -&gt; HR
Postsecondary Education -&gt; Transition</t>
  </si>
  <si>
    <t>K12 -&gt; LEA -&gt; Accountability
K12 -&gt; SEA -&gt; Accountability</t>
  </si>
  <si>
    <t>Early Learning -&gt; Program Compliance
Early Learning -&gt; Program Entry</t>
  </si>
  <si>
    <t>Assessments -&gt; Assessment
Assessments -&gt; Assessment Form
Assessments -&gt; Assessment Form -&gt; Assessment Form Section
Assessments -&gt; Assessment Item
Assessments -&gt; Assessment Subtest
Early Learning -&gt; Assessments -&gt; Assessment Design
K12 -&gt; Assessments -&gt; Assessment
K12 -&gt; Assessments -&gt; Assessment Form
K12 -&gt; Assessments -&gt; Assessment Form -&gt; Assessment Form Section
K12 -&gt; Assessments -&gt; Assessment Item
K12 -&gt; Assessments -&gt; Assessment Subtest
Postsecondary -&gt; Assessment</t>
  </si>
  <si>
    <t>College Readiness
K-12 -&gt; EDFacts
K-12 -&gt; LEA Assessments
K-12 -&gt; SEA Assessments</t>
  </si>
  <si>
    <t>Assessments -&gt; Assessment Participant Session
Assessments -&gt; Assessment Registration
Early Learning -&gt; Assessments -&gt; Assessment Administration
Early Learning -&gt; Assessments -&gt; Assessment Design
K12 -&gt; Assessments -&gt; Assessment Participant Session
K12 -&gt; Assessments -&gt; Assessment Registration
Postsecondary -&gt; PS Student -&gt; Assessment (added)</t>
  </si>
  <si>
    <t>K-12 -&gt; LEA Assessments
K-12 -&gt; SEA Assessments
School Readiness</t>
  </si>
  <si>
    <t>Assessments -&gt; Assessment Participant Session
Assessments -&gt; Assessment Registration
K12 -&gt; Assessments -&gt; Assessment Participant Session
K12 -&gt; Assessments -&gt; Assessment Registration</t>
  </si>
  <si>
    <t>Assessments -&gt; Assessment Participant Session
K12 -&gt; Assessments -&gt; Assessment Participant Session</t>
  </si>
  <si>
    <t>Assessments -&gt; Assessment Administration
K12 -&gt; Assessments -&gt; Assessment Administration</t>
  </si>
  <si>
    <t>Assessments -&gt; Assessment Administration
Early Learning -&gt; Assessments -&gt; Assessment Administration
K12 -&gt; Assessments -&gt; Assessment Administration</t>
  </si>
  <si>
    <t>Assessments -&gt; Assessment Administration
Early Learning -&gt; Assessments -&gt; Assessment Administration
Early Learning -&gt; Assessments -&gt; Assessment Design
K12 -&gt; Assessments -&gt; Assessment Administration</t>
  </si>
  <si>
    <t>Assessments -&gt; Assessment Asset
K12 -&gt; Assessments -&gt; Assessment Asset</t>
  </si>
  <si>
    <t>Assessments -&gt; Assessment Subtest
Early Learning -&gt; Assessments -&gt; Assessment Design
K12 -&gt; Assessments -&gt; Assessment Subtest
Postsecondary -&gt; Assessment</t>
  </si>
  <si>
    <t>College Readiness
K-12 -&gt; LEA Assessments
K-12 -&gt; SEA Assessments
School Readiness</t>
  </si>
  <si>
    <t>Assessments -&gt; Assessment
Early Learning -&gt; Assessments -&gt; Assessment Design
Early Learning -&gt; EL Child -&gt; Developmental Assessments
K12 -&gt; Assessments -&gt; Assessment</t>
  </si>
  <si>
    <t>Assessments -&gt; Assessment Family
K12 -&gt; Assessments -&gt; Assessment Family</t>
  </si>
  <si>
    <t>Assessments -&gt; Assessment Form
Early Learning -&gt; Assessments -&gt; Assessment Design
K12 -&gt; Assessments -&gt; Assessment Form</t>
  </si>
  <si>
    <t>Assessments -&gt; Assessment Form
K12 -&gt; Assessments -&gt; Assessment Form</t>
  </si>
  <si>
    <t>Assessments -&gt; Assessment Form
Early Learning -&gt; Assessments -&gt; Assessment Design
K12 -&gt; Assessments -&gt; Assessment Form
Postsecondary -&gt; Assessment</t>
  </si>
  <si>
    <t>College Readiness
K-12 -&gt; High School Generated Transcript
K-12 -&gt; LEA Assessments
K-12 -&gt; LEA-to-LEA Student Record Exchange
K-12 -&gt; LEA-to-SEA Student Record Exchange
K-12 -&gt; SEA Assessments
School Readiness</t>
  </si>
  <si>
    <t>Assessments -&gt; Assessment Form
Early Learning -&gt; Assessments -&gt; Assessment Administration
Early Learning -&gt; Assessments -&gt; Assessment Design
K12 -&gt; Assessments -&gt; Assessment Form</t>
  </si>
  <si>
    <t>Assessments -&gt; Assessment Form -&gt; Assessment Form Section
K12 -&gt; Assessments -&gt; Assessment Form -&gt; Assessment Form Section</t>
  </si>
  <si>
    <t>Assessments -&gt; Assessment Subtest
K12 -&gt; Assessments -&gt; Assessment Subtest</t>
  </si>
  <si>
    <t>Assessments -&gt; Assessment Form -&gt; Assessment Form Subtest Assessment Item
K12 -&gt; Assessments -&gt; Assessment Form -&gt; Assessment Form Subtest Assessment Item</t>
  </si>
  <si>
    <t>Assessments -&gt; Assessment
K12 -&gt; Assessments -&gt; Assessment</t>
  </si>
  <si>
    <t>Assessments -&gt; Assessment
Assessments -&gt; Assessment Administration
K12 -&gt; Assessments -&gt; Assessment
K12 -&gt; Assessments -&gt; Assessment Administration</t>
  </si>
  <si>
    <t>K-12 -&gt; High School Feedback Report
K-12 -&gt; High School Generated Transcript
K-12 -&gt; LEA Assessments
K-12 -&gt; LEA-to-LEA Student Record Exchange
K-12 -&gt; LEA-to-SEA Student Record Exchange
K-12 -&gt; SEA Assessments</t>
  </si>
  <si>
    <t>Assessments -&gt; Assessment
Assessments -&gt; Assessment Administration
Early Learning -&gt; Assessments -&gt; Assessment Design
K12 -&gt; Assessments -&gt; Assessment
Postsecondary -&gt; Assessment</t>
  </si>
  <si>
    <t>College Readiness
K-12 -&gt; High School Feedback Report
K-12 -&gt; High School Generated Transcript
K-12 -&gt; LEA Assessments
K-12 -&gt; LEA-to-LEA Student Record Exchange
K-12 -&gt; LEA-to-SEA Student Record Exchange
K-12 -&gt; SEA Assessments
School Readiness</t>
  </si>
  <si>
    <t>Assessments -&gt; Assessment Item -&gt; Assessment Item APIP
K12 -&gt; Assessments -&gt; Assessment Item -&gt; Assessment Item APIP</t>
  </si>
  <si>
    <t>Assessments -&gt; Assessment Item
Early Learning -&gt; Assessments -&gt; Assessment Design
K12 -&gt; Assessments -&gt; Assessment Item</t>
  </si>
  <si>
    <t>K-12 -&gt; LEA Assessments
K-12 -&gt; SEA Assessments</t>
  </si>
  <si>
    <t>Assessments -&gt; Assessment Item
K12 -&gt; Assessments -&gt; Assessment Item</t>
  </si>
  <si>
    <t>Assessments -&gt; Assessment Item -&gt; Assessment Item APIP Interaction
K12 -&gt; Assessments -&gt; Assessment Item -&gt; Assessment Item APIP Interaction</t>
  </si>
  <si>
    <t>Assessments -&gt; Assessment Item -&gt; Assessment Item Body Custom Interaction
K12 -&gt; Assessments -&gt; Assessment Item -&gt; Assessment Item Body Custom Interaction</t>
  </si>
  <si>
    <t>Assessments -&gt; Assessment Item -&gt; Assessment Item Characteristic
Early Learning -&gt; Assessments -&gt; Assessment Design
K12 -&gt; Assessments -&gt; Assessment Item -&gt; Assessment Item Characteristic</t>
  </si>
  <si>
    <t>Assessments -&gt; Assessment Item -&gt; Assessment Item Possible Response
K12 -&gt; Assessments -&gt; Assessment Item -&gt; Assessment Item Possible Response</t>
  </si>
  <si>
    <t>Assessments -&gt; Assessment Item -&gt; Assessment Item Response
Early Learning -&gt; Assessments -&gt; Assessment Administration
Early Learning -&gt; Assessments -&gt; Assessment Design
K12 -&gt; Assessments -&gt; Assessment Item -&gt; Assessment Item Response</t>
  </si>
  <si>
    <t>Assessments -&gt; Assessment Item -&gt; Assessment Item Response
Early Learning -&gt; Assessments -&gt; Assessment Design
K12 -&gt; Assessments -&gt; Assessment Item -&gt; Assessment Item Response</t>
  </si>
  <si>
    <t>Assessments -&gt; Assessment Item -&gt; Assessment Item Response
Early Learning -&gt; Assessments -&gt; Assessment Result
K12 -&gt; Assessments -&gt; Assessment Item -&gt; Assessment Item Response</t>
  </si>
  <si>
    <t>Assessments -&gt; Assessment Item -&gt; Assessment Item Response
Early Learning -&gt; Assessments -&gt; Assessment Administration
K12 -&gt; Assessments -&gt; Assessment Item -&gt; Assessment Item Response</t>
  </si>
  <si>
    <t>Assessments -&gt; Assessment Item -&gt; Assessment Item Response
K12 -&gt; Assessments -&gt; Assessment Item -&gt; Assessment Item Response</t>
  </si>
  <si>
    <t>Assessments -&gt; Assessment Item -&gt; Assessment Item Response Theory
K12 -&gt; Assessments -&gt; Assessment Item -&gt; Assessment Item Response Theory</t>
  </si>
  <si>
    <t>K-12 -&gt; High School Generated Transcript
K-12 -&gt; LEA Assessments
K-12 -&gt; LEA-to-LEA Student Record Exchange
K-12 -&gt; LEA-to-SEA Student Record Exchange
K-12 -&gt; SEA Assessments
School Readiness</t>
  </si>
  <si>
    <t xml:space="preserve">Audio
Video
Graphic
Text
Interactive
</t>
  </si>
  <si>
    <t>Assessments -&gt; Assessment Personal Needs Profile -&gt; Assessment Need Profile Content
K12 -&gt; Assessments -&gt; Assessment Personal Needs Profile -&gt; Assessment Need Profile Content</t>
  </si>
  <si>
    <t>Assessments -&gt; Assessment Personal Needs Profile -&gt; Assessment Need Screen Enhancement
K12 -&gt; Assessments -&gt; Assessment Personal Needs Profile -&gt; Assessment Need Screen Enhancement</t>
  </si>
  <si>
    <t>Assessments -&gt; Assessment Personal Needs Profile -&gt; Assessment Need Profile Display
K12 -&gt; Assessments -&gt; Assessment Personal Needs Profile -&gt; Assessment Need Profile Display</t>
  </si>
  <si>
    <t xml:space="preserve">Contracted
Uncontracted
</t>
  </si>
  <si>
    <t xml:space="preserve">Highlight
Bold
Underline
Italic
Strikeout
Color
</t>
  </si>
  <si>
    <t xml:space="preserve">Off
Left
Right
</t>
  </si>
  <si>
    <t xml:space="preserve">Line
Word
Character
</t>
  </si>
  <si>
    <t>Assessments -&gt; Assessment Personal Needs Profile
K12 -&gt; Assessments -&gt; Assessment Personal Needs Profile</t>
  </si>
  <si>
    <t xml:space="preserve">6
8
</t>
  </si>
  <si>
    <t xml:space="preserve">Human
Synthetic
</t>
  </si>
  <si>
    <t>Assessments -&gt; Assessment Personal Needs Profile -&gt; Assessment Need Profile Control
K12 -&gt; Assessments -&gt; Assessment Personal Needs Profile -&gt; Assessment Need Profile Control</t>
  </si>
  <si>
    <t>Assessments -&gt; Assessment
Early Learning -&gt; Assessments -&gt; Assessment Design
K12 -&gt; Assessments -&gt; Assessment</t>
  </si>
  <si>
    <t xml:space="preserve">Paper
Computer
Mobile
Clicker
Other
Handheld
Tablet
</t>
  </si>
  <si>
    <t>Assessments -&gt; Assessment Participant Session
Early Learning -&gt; Assessments -&gt; Assessment Administration
K12 -&gt; Assessments -&gt; Assessment Participant Session</t>
  </si>
  <si>
    <t>Assessments -&gt; Assessment Performance Level
K12 -&gt; Assessments -&gt; Assessment Performance Level</t>
  </si>
  <si>
    <t>Assessments -&gt; Assessment Performance Level
Early Learning -&gt; Assessments -&gt; Assessment Design
Early Learning -&gt; Assessments -&gt; Assessment Result
K12 -&gt; Assessments -&gt; Assessment Performance Level</t>
  </si>
  <si>
    <t>Assessments -&gt; Assessment
Assessments -&gt; Assessment Subtest
Early Learning -&gt; Assessments -&gt; Assessment Design
K12 -&gt; Assessments -&gt; Assessment
K12 -&gt; Assessments -&gt; Assessment Subtest
Postsecondary -&gt; Assessment</t>
  </si>
  <si>
    <t>Assessments -&gt; Assessment Registration
K12 -&gt; Assessments -&gt; Assessment Registration</t>
  </si>
  <si>
    <t>Assessments -&gt; Assessment Registration
Early Learning -&gt; Assessments -&gt; Assessment Design
K12 -&gt; Assessments -&gt; Assessment Registration</t>
  </si>
  <si>
    <t>K-12 -&gt; EDFacts
School Readiness</t>
  </si>
  <si>
    <t>K-12 -&gt; EDFacts
K-12 -&gt; LEA Assessments
K-12 -&gt; SEA Assessments
School Readiness</t>
  </si>
  <si>
    <t>Assessments -&gt; Assessment Item -&gt; Rubric (added)
Assessments -&gt; Rubric (added)
K12 -&gt; Assessments -&gt; Rubric (added)</t>
  </si>
  <si>
    <t>Assessments -&gt; Assessment Administration
Assessments -&gt; Assessment Form (added)
Early Learning -&gt; Assessments -&gt; Assessment Design
K12 -&gt; Assessments -&gt; Assessment Administration</t>
  </si>
  <si>
    <t>Assessments -&gt; Assessment Participant Session
Assessments -&gt; Assessment Session
Early Learning -&gt; Assessments -&gt; Assessment Design
K12 -&gt; Assessments -&gt; Assessment Participant Session
K12 -&gt; Assessments -&gt; Assessment Session</t>
  </si>
  <si>
    <t>Assessments -&gt; Assessment Session
Early Learning -&gt; Assessments -&gt; Assessment Administration
Early Learning -&gt; Assessments -&gt; Assessment Design
K12 -&gt; Assessments -&gt; Assessment Session</t>
  </si>
  <si>
    <t>Assessments -&gt; Assessment Session
K12 -&gt; Assessments -&gt; Assessment Session</t>
  </si>
  <si>
    <t>Assessments -&gt; Assessment Participant Session
Assessments -&gt; Assessment Session
Early Learning -&gt; Assessments -&gt; Assessment Administration
Early Learning -&gt; Assessments -&gt; Assessment Design
K12 -&gt; Assessments -&gt; Assessment Participant Session
K12 -&gt; Assessments -&gt; Assessment Session</t>
  </si>
  <si>
    <t>Assessments -&gt; Assessment Session
Early Learning -&gt; Assessments -&gt; Assessment Design
K12 -&gt; Assessments -&gt; Assessment Session</t>
  </si>
  <si>
    <t>Assessments -&gt; Assessment Participant Session
Assessments -&gt; Assessment Session
K12 -&gt; Assessments -&gt; Assessment Participant Session
K12 -&gt; Assessments -&gt; Assessment Session</t>
  </si>
  <si>
    <t xml:space="preserve">Teacher
Principal
Administrator
Proctor
Observer
Scorer
Registrar
</t>
  </si>
  <si>
    <t xml:space="preserve">Standard
Accommodation
</t>
  </si>
  <si>
    <t>College Readiness
K-12 -&gt; SEA Assessments</t>
  </si>
  <si>
    <t>College Readiness
K-12 -&gt; SEA Assessments
School Readiness</t>
  </si>
  <si>
    <t xml:space="preserve">Client
Publisher
Internal
Other
</t>
  </si>
  <si>
    <t>Assessments -&gt; Assessment Subtest
Early Learning -&gt; Assessments -&gt; Assessment Design
K12 -&gt; Assessments -&gt; Assessment Subtest</t>
  </si>
  <si>
    <t>Assessments -&gt; Assessment Subtest Result
K12 -&gt; Assessments -&gt; Assessment Subtest Result</t>
  </si>
  <si>
    <t>Assessments -&gt; Assessment Subtest Result
Early Learning -&gt; Assessments -&gt; Assessment Result
K12 -&gt; Assessments -&gt; Assessment Subtest Result</t>
  </si>
  <si>
    <t>K-12 -&gt; EDFacts
K-12 -&gt; LEA Assessments
K-12 -&gt; SEA Assessments</t>
  </si>
  <si>
    <t>Assessments -&gt; Assessment Subtest Result
Early Learning -&gt; Assessments -&gt; Assessment Result
K12 -&gt; Assessments -&gt; Assessment Subtest Result
Postsecondary -&gt; Assessment</t>
  </si>
  <si>
    <t>College Readiness
K-12 -&gt; High School Generated Transcript
K-12 -&gt; LEA Assessments
K-12 -&gt; LEA-to-LEA Student Record Exchange
K-12 -&gt; LEA-to-SEA Student Record Exchange
K-12 -&gt; SEA Assessments
Postsecondary Education -&gt; Teacher Education
Postsecondary Education -&gt; Transition
School Readiness</t>
  </si>
  <si>
    <t>Assessments -&gt; Assessment
Assessments -&gt; Assessment Subtest
Assessments -&gt; Assessment Subtest Result
Early Learning -&gt; Assessments -&gt; Assessment Design
K12 -&gt; Assessments -&gt; Assessment
K12 -&gt; Assessments -&gt; Assessment Subtest
K12 -&gt; Assessments -&gt; Assessment Subtest Result
Postsecondary -&gt; Assessment</t>
  </si>
  <si>
    <t>College Readiness
K-12 -&gt; High School Generated Transcript
K-12 -&gt; LEA Assessments
K-12 -&gt; LEA-to-LEA Student Record Exchange
K-12 -&gt; LEA-to-SEA Student Record Exchange
K-12 -&gt; SEA Assessments
Postsecondary Education -&gt; Transition
School Readiness</t>
  </si>
  <si>
    <t>Assessments -&gt; Assessment
Early Learning -&gt; Assessments -&gt; Assessment Design
K12 -&gt; Assessments -&gt; Assessment
Postsecondary -&gt; Assessment</t>
  </si>
  <si>
    <t>K12 -&gt; Course Section -&gt; Staff
K12 -&gt; K12 Staff -&gt; Assignment</t>
  </si>
  <si>
    <t>K12 -&gt; Course Section -&gt; Attendance (added)
K12 -&gt; K12 Staff -&gt; Attendance (added)
K12 -&gt; K12 Student -&gt; Attendance</t>
  </si>
  <si>
    <t>Career and Technical -&gt; Course
Career and Technical -&gt; Course Section
K12 -&gt; Course Section -&gt; Course
K12 -&gt; K12 Course</t>
  </si>
  <si>
    <t>K-12 -&gt; High School Generated Transcript
K-12 -&gt; LEA-to-LEA Student Record Exchange
K-12 -&gt; LEA-to-SEA Student Record Exchange
K-12 -&gt; Teacher-Student Data Link -&gt; Class Section</t>
  </si>
  <si>
    <t>Adult Education -&gt; AE Student -&gt; Demographic
Career and Technical -&gt; CTE Student -&gt; Demographic
Early Learning -&gt; EL Child -&gt; Demographic
Early Learning -&gt; EL Staff -&gt; Demographic
Early Learning -&gt; Parent/Guardian -&gt; Demographic (added)
K12 -&gt; K12 Staff -&gt; Demographic
K12 -&gt; K12 Student -&gt; Demographic
Postsecondary -&gt; PS Staff -&gt; Demographic
Postsecondary -&gt; PS Student -&gt; Demographic</t>
  </si>
  <si>
    <t>Early Learning -&gt; Program Entry
Early Learning -&gt; Staff Quality
Early Learning -&gt; Workforce Development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Transition</t>
  </si>
  <si>
    <t>K12 -&gt; Course Section -&gt; Directory
K12 -&gt; K12 Course</t>
  </si>
  <si>
    <t>K12 -&gt; Calendar -&gt; Event
K12 -&gt; K12 Student -&gt; Attendance</t>
  </si>
  <si>
    <t>Career and Technical -&gt; CTE Student -&gt; Academic Record
K12 -&gt; K12 Student -&gt; Academic Record
K12 -&gt; K12 Student -&gt; CTE</t>
  </si>
  <si>
    <t>K-12 -&gt; EDFacts
K-12 -&gt; High School Generated Transcript
K-12 -&gt; LEA-to-LEA Student Record Exchange
K-12 -&gt; LEA-to-SEA Student Record Exchange</t>
  </si>
  <si>
    <t>Career and Technical -&gt; CTE Student -&gt; Program Participation
K12 -&gt; K12 Student -&gt; CTE
Postsecondary -&gt; PS Student -&gt; CTE</t>
  </si>
  <si>
    <t>Career and Technical -&gt; CTE Staff -&gt; Credential
K12 -&gt; K12 Staff -&gt; Credential
Postsecondary -&gt; PS Staff -&gt; Credential</t>
  </si>
  <si>
    <t>Career and Technical -&gt; CTE Student -&gt; Academic Record
K12 -&gt; K12 Student -&gt; CTE
Postsecondary -&gt; PS Student -&gt; CTE</t>
  </si>
  <si>
    <t>Adult Education -&gt; AE Student -&gt; Program Participation
Adult Education -&gt; Program
Career and Technical -&gt; CTE Student -&gt; Program Participation
Career and Technical -&gt; Program
K12 -&gt; Course Section -&gt; Directory
K12 -&gt; K12 Course</t>
  </si>
  <si>
    <t>Career and Technical -&gt; CTE Student -&gt; Career Education Plan
Early Learning -&gt; EL Staff -&gt; Professional Development
K12 -&gt; K12 Staff -&gt; Professional Development
K12 -&gt; K12 Student -&gt; Academic Record</t>
  </si>
  <si>
    <t>Adult Education -&gt; AE Student -&gt; Program Participation
Adult Education -&gt; Program</t>
  </si>
  <si>
    <t>K12 -&gt; K12 School -&gt; Institution Characteristics
Postsecondary -&gt; PS Student -&gt; CTE</t>
  </si>
  <si>
    <t>Adult Education -&gt; AE Student -&gt; Status
Career and Technical -&gt; CTE Student -&gt; Program Participation
K12 -&gt; K12 Student -&gt; CTE
Postsecondary -&gt; PS Student -&gt; CTE</t>
  </si>
  <si>
    <t>K-12 -&gt; High School Feedback Report
Postsecondary Education -&gt; Transition</t>
  </si>
  <si>
    <t>K12 -&gt; K12 School -&gt; Directory
K12 -&gt; LEA -&gt; Directory</t>
  </si>
  <si>
    <t>Early Learning -&gt; Access to Services
Early Learning -&gt; Program Quality
Early Learning -&gt; Staff Quality
School Readiness</t>
  </si>
  <si>
    <t>Career and Technical -&gt; Course Section
Early Learning -&gt; EL Class/Group -&gt; Structure
K12 -&gt; Course Section -&gt; Directory</t>
  </si>
  <si>
    <t>Early Learning -&gt; Access to Services
Early Learning -&gt; Program Quality</t>
  </si>
  <si>
    <t>Career and Technical -&gt; Course Section
K12 -&gt; Course Section -&gt; Directory</t>
  </si>
  <si>
    <t>Career and Technical -&gt; CTE Student -&gt; Program Participation (added)
Postsecondary -&gt; PS Student -&gt; Enrollment</t>
  </si>
  <si>
    <t>K12 -&gt; K12 Student -&gt; Enrollment
Postsecondary -&gt; PS Student -&gt; Demographic (added)</t>
  </si>
  <si>
    <t>K-12 -&gt; EDFacts
Persistence and Attainment of Nontraditional Students</t>
  </si>
  <si>
    <t>K12 -&gt; K12 Student -&gt; Enrollment
Postsecondary -&gt; PS Student -&gt; K12 Transcript</t>
  </si>
  <si>
    <t>Assessments -&gt; Learning Standards -&gt; Competency Set
Learning Standards -&gt; Competency Set</t>
  </si>
  <si>
    <t>Early Learning -&gt; Licensing
Early Learning -&gt; Program Compliance</t>
  </si>
  <si>
    <t>Career and Technical -&gt; Course
K12 -&gt; K12 Course</t>
  </si>
  <si>
    <t>Adult Education -&gt; AE Staff -&gt; Contact -&gt; Address
Adult Education -&gt; AE Student -&gt; Contact -&gt; Address
Career and Technical -&gt; CTE Staff -&gt; Contact -&gt; Address (added)
Career and Technical -&gt; CTE Student -&gt; Contact -&gt; Address
Early Learning -&gt; EL Child -&gt; Contact -&gt; Address
Early Learning -&gt; EL Staff -&gt; Contact -&gt; Address
Early Learning -&gt; Parent/Guardian -&gt; Contact -&gt; Address
K12 -&gt; K12 Staff -&gt; Contact -&gt; Address
K12 -&gt; K12 Student -&gt; Contact -&gt; Address
K12 -&gt; Parent/Guardian -&gt; Contact -&gt; Address
K12 -&gt; SEA -&gt; Contact -&gt; Address (added)
Postsecondary -&gt; Parent/Guardian -&gt; Contact -&gt; Address (added)
Postsecondary -&gt; PS Staff -&gt; Contact -&gt; Address
Postsecondary -&gt; PS Student -&gt; Contact -&gt; Address</t>
  </si>
  <si>
    <t>Early Learning -&gt; Program Entry
Early Learning -&gt; Staff Quality
Early Learning -&gt; Workforce Development
Postsecondary Education -&gt; Complete College America
Postsecondary Education -&gt; IPEDS</t>
  </si>
  <si>
    <t>K-12 -&gt; High School Generated Transcript
K-12 -&gt; LEA-to-LEA Student Record Exchange
K-12 -&gt; LEA-to-SEA Student Record Exchange
K-12 -&gt; Migrant Student Data Exchange</t>
  </si>
  <si>
    <t>Early Learning -&gt; EL Organization -&gt; Address
K12 -&gt; K12 School -&gt; Address
K12 -&gt; LEA -&gt; Address
Postsecondary -&gt; PS Institution -&gt; Address
Postsecondary -&gt; PS Student -&gt; K12 Transcript</t>
  </si>
  <si>
    <t>Career and Technical -&gt; Course
Career and Technical -&gt; Course Section
K12 -&gt; Course Section -&gt; Directory (added)
K12 -&gt; K12 Course</t>
  </si>
  <si>
    <t>Career and Technical -&gt; Course
Career and Technical -&gt; Course Section
K12 -&gt; Course Section -&gt; Course
K12 -&gt; K12 Course
K12 -&gt; K12 Student -&gt; Academic Record</t>
  </si>
  <si>
    <t>Career and Technical -&gt; Course
Early Learning -&gt; EL Staff -&gt; Professional Development
K12 -&gt; K12 Course
Postsecondary -&gt; PS Section -&gt; Course</t>
  </si>
  <si>
    <t>Career and Technical -&gt; Course
K12 -&gt; K12 Course
Postsecondary -&gt; PS Section -&gt; Course</t>
  </si>
  <si>
    <t>Career and Technical -&gt; Course
Career and Technical -&gt; Course Section
K12 -&gt; Course Section -&gt; Course
K12 -&gt; K12 Course
Postsecondary -&gt; PS Section (added)</t>
  </si>
  <si>
    <t>Career and Technical -&gt; Course
Career and Technical -&gt; Course Section
K12 -&gt; Course Section -&gt; Course
K12 -&gt; Course Section -&gt; Directory (added)
K12 -&gt; K12 Course
K12 -&gt; K12 Student -&gt; Academic Record</t>
  </si>
  <si>
    <t>K-12 -&gt; High School Generated Transcript
K-12 -&gt; LEA-to-LEA Student Record Exchange
K-12 -&gt; LEA-to-SEA Student Record Exchange
K-12 -&gt; Teacher-Student Data Link -&gt; Class Section
Postsecondary Education -&gt; Transition</t>
  </si>
  <si>
    <t xml:space="preserve">Lecture
Laboratory
Seminar
IndependentStudy
PrivateStudy
PracticeTeaching
Internship
Practicum
ApprenticeshipExternship
AppliedInstruction
Residency
ClinicalRotationInstruction
SelfPaced
FieldStudy
InternetInstruction
InteractiveVideo
Videotape
Television
OtherDistanceLearning
Audiotape
ComputerBasedInstruction
CompressedVideo
Correspondence
CooperativeEducation
WorkStudy
</t>
  </si>
  <si>
    <t>Adult Education -&gt; Course Section -&gt; Course
Postsecondary -&gt; PS Section</t>
  </si>
  <si>
    <t>K12 -&gt; K12 Student -&gt; Academic Record
Postsecondary -&gt; PS Section (added)</t>
  </si>
  <si>
    <t>Career and Technical -&gt; Course Section
Early Learning -&gt; Assessments -&gt; Assessment Design
K12 -&gt; Course Section -&gt; Course</t>
  </si>
  <si>
    <t>K-12 -&gt; High School Generated Transcript
School Readiness</t>
  </si>
  <si>
    <t xml:space="preserve">Pre-registered
Registered
Enrolled
WaitListed
Dropped
Completed
</t>
  </si>
  <si>
    <t>K-12 -&gt; Civil Rights Data Collection
K-12 -&gt; Teacher-Student Data Link -&gt; Class Section</t>
  </si>
  <si>
    <t>Early Learning -&gt; EL Staff -&gt; License
K12 -&gt; K12 Staff -&gt; Credential</t>
  </si>
  <si>
    <t xml:space="preserve">Certification
Endorsement
Licensure
Other
Registration
</t>
  </si>
  <si>
    <t>Career and Technical -&gt; CTE Staff -&gt; Credential (added)
K12 -&gt; K12 Staff -&gt; Credential
Postsecondary -&gt; PS Staff -&gt; Credential (added)</t>
  </si>
  <si>
    <t>Career and Technical -&gt; Course
Career and Technical -&gt; Course Section
K12 -&gt; Course Section -&gt; Course
K12 -&gt; K12 Student -&gt; Academic Record</t>
  </si>
  <si>
    <t>Early Learning -&gt; EL Class/Group -&gt; Structure
Early Learning -&gt; EL Organization -&gt; Organization Characteristics</t>
  </si>
  <si>
    <t>Early Learning -&gt; Access to Services
Early Learning -&gt; Licensing
Early Learning -&gt; Program Compliance
Early Learning -&gt; Program Quality</t>
  </si>
  <si>
    <t>Career and Technical -&gt; CTE Student -&gt; Academic Record
Early Learning -&gt; EL Staff -&gt; Education</t>
  </si>
  <si>
    <t>Early Learning -&gt; Program Compliance
Early Learning -&gt; Staff Quality
Early Learning -&gt; Workforce Development</t>
  </si>
  <si>
    <t xml:space="preserve">Dependent
Independent
Unknown
</t>
  </si>
  <si>
    <t>Persistence and Attainment of Nontraditional Students
Postsecondary Education -&gt; IPEDS</t>
  </si>
  <si>
    <t>Adult Education -&gt; AE Student -&gt; Academic Record
Early Learning -&gt; EL Staff -&gt; Education
K12 -&gt; K12 Student -&gt; Academic Record
Postsecondary -&gt; PS Student -&gt; Academic Record
Postsecondary -&gt; PS Student -&gt; K12 Transcript</t>
  </si>
  <si>
    <t>Early Learning -&gt; Staff Quality
K-12 -&gt; High School Feedback Report
K-12 -&gt; High School Generated Transcript
K-12 -&gt; LEA-to-LEA Student Record Exchange
K-12 -&gt; LEA-to-SEA Student Record Exchange
Postsecondary Education -&gt; Transition</t>
  </si>
  <si>
    <t>Early Learning -&gt; EL Child -&gt; Developmental Assessments
K12 -&gt; K12 Student -&gt; Disability
Postsecondary -&gt; PS Student</t>
  </si>
  <si>
    <t>Adult Education -&gt; AE Student -&gt; Status
K12 -&gt; K12 Student -&gt; Disability
Postsecondary -&gt; PS Student (added)</t>
  </si>
  <si>
    <t>K12 -&gt; Incident
K12 -&gt; K12 Student -&gt; Discipline</t>
  </si>
  <si>
    <t>Early Learning -&gt; EL Child -&gt; EL Educational Experiences
Early Learning -&gt; EL Class/Group -&gt; Population</t>
  </si>
  <si>
    <t>Early Learning -&gt; Access to Services
Early Learning -&gt; Program Entry
Early Learning -&gt; Program Quality</t>
  </si>
  <si>
    <t>Early Learning -&gt; Licensing
Early Learning -&gt; Program Compliance
Early Learning -&gt; Program Entry</t>
  </si>
  <si>
    <t>Early Learning -&gt; EL Class/Group -&gt; Population
Early Learning -&gt; EL Organization -&gt; Organization Characteristics</t>
  </si>
  <si>
    <t>Early Learning -&gt; Licensing
Early Learning -&gt; Program Compliance
Early Learning -&gt; Program Quality
School Readiness</t>
  </si>
  <si>
    <t>Early Learning -&gt; EL Class/Group -&gt; Structure
Early Learning -&gt; EL Organization -&gt; Organization Information</t>
  </si>
  <si>
    <t>Early Learning -&gt; Program Quality
Early Learning -&gt; Staff Quality</t>
  </si>
  <si>
    <t>Early Learning -&gt; EL Staff -&gt; Employment
K12 -&gt; K12 Staff -&gt; Assignment</t>
  </si>
  <si>
    <t>Early Learning -&gt; Staff Quality
K-12 -&gt; LEA-to-LEA Student Record Exchange
K-12 -&gt; LEA-to-SEA Student Record Exchange</t>
  </si>
  <si>
    <t>Adult Education -&gt; AE Staff -&gt; Contact -&gt; Email
Adult Education -&gt; AE Student -&gt; Contact -&gt; Email
Career and Technical -&gt; CTE Staff -&gt; Contact -&gt; Email (added)
Career and Technical -&gt; CTE Student -&gt; Contact -&gt; Email
Early Learning -&gt; EL Staff -&gt; Contact -&gt; Email
Early Learning -&gt; Parent/Guardian -&gt; Contact -&gt; Email
K12 -&gt; K12 Staff -&gt; Contact -&gt; Email
K12 -&gt; K12 Student -&gt; Contact -&gt; Email
K12 -&gt; Parent/Guardian -&gt; Contact -&gt; Email
K12 -&gt; SEA -&gt; Contact -&gt; Email (added)
Postsecondary -&gt; Parent/Guardian -&gt; Contact -&gt; Email (added)
Postsecondary -&gt; PS Student -&gt; Contact -&gt; Email</t>
  </si>
  <si>
    <t>Early Learning -&gt; Parent/Guardian
K12 -&gt; Parent/Guardian -&gt; Relationship</t>
  </si>
  <si>
    <t xml:space="preserve">Yes
Unknown
</t>
  </si>
  <si>
    <t>Adult Education -&gt; AE Student -&gt; Employment
K12 -&gt; K12 Student -&gt; Employment
Postsecondary -&gt; PS Student -&gt; Employment
Workforce -&gt; Quarterly Employment Record</t>
  </si>
  <si>
    <t>Adult Education -&gt; AE Staff -&gt; Employment (added)
Adult Education -&gt; AE Student -&gt; Employment (added)
Early Learning -&gt; EL Staff -&gt; Employment
K12 -&gt; K12 Staff -&gt; Employment (added)
K12 -&gt; K12 Student -&gt; Employment (added)
Postsecondary -&gt; PS Staff -&gt; Employment (added)
Postsecondary -&gt; PS Student -&gt; Employment (added)</t>
  </si>
  <si>
    <t>Early Learning -&gt; EL Staff -&gt; Employment (added)
K12 -&gt; K12 Staff -&gt; Employment</t>
  </si>
  <si>
    <t>Early Learning -&gt; Staff Quality
Early Learning -&gt; Workforce Development</t>
  </si>
  <si>
    <t>Early Learning -&gt; EL Staff -&gt; Employment
K12 -&gt; K12 Staff -&gt; Employment</t>
  </si>
  <si>
    <t xml:space="preserve">Promotion
Retention
</t>
  </si>
  <si>
    <t>Adult Education -&gt; AE Student -&gt; Program Participation
Early Learning -&gt; EL Child -&gt; EL Educational Experiences</t>
  </si>
  <si>
    <t>Early Learning -&gt; EL Child -&gt; EL Educational Experiences
K12 -&gt; Course Section -&gt; Enrollment
K12 -&gt; K12 Student -&gt; Enrollment</t>
  </si>
  <si>
    <t>Early Learning -&gt; Program Compliance
Early Learning -&gt; Program Entry
K-12 -&gt; EDFacts
K-12 -&gt; High School Generated Transcript
K-12 -&gt; LEA-to-LEA Student Record Exchange
K-12 -&gt; LEA-to-SEA Student Record Exchange
K-12 -&gt; Teacher-Student Data Link -&gt; Enrollment</t>
  </si>
  <si>
    <t>Persistence and Attainment of Nontraditional Students
Postsecondary Education -&gt; IPEDS
Postsecondary Education -&gt; Transition</t>
  </si>
  <si>
    <t>Adult Education -&gt; AE Student -&gt; Program Participation (added)
K12 -&gt; K12 Student -&gt; Enrollment</t>
  </si>
  <si>
    <t>Adult Education -&gt; AE Student -&gt; Program Participation
Early Learning -&gt; EL Child -&gt; EL Educational Experiences
K12 -&gt; K12 Student -&gt; Enrollment
Postsecondary -&gt; PS Student -&gt; Enrollment</t>
  </si>
  <si>
    <t xml:space="preserve">Permanent
Temporary
</t>
  </si>
  <si>
    <t>K12 -&gt; Course Section -&gt; Enrollment
K12 -&gt; K12 Student -&gt; Enrollment</t>
  </si>
  <si>
    <t>K-12 -&gt; EDFacts
K-12 -&gt; LEA-to-LEA Student Record Exchange
K-12 -&gt; LEA-to-SEA Student Record Exchange</t>
  </si>
  <si>
    <t>Early Learning -&gt; EL Child -&gt; EL Educational Experiences (added)
K12 -&gt; K12 Student -&gt; Program</t>
  </si>
  <si>
    <t>K12 -&gt; Facility
K12 -&gt; LEA -&gt; Directory</t>
  </si>
  <si>
    <t xml:space="preserve">Regulated
Unregulated
Exempt
</t>
  </si>
  <si>
    <t>Early Learning -&gt; EL Child -&gt; Finance (added)
K12 -&gt; LEA -&gt; Federal Funds (added)
K12 -&gt; SEA -&gt; Federal Funds</t>
  </si>
  <si>
    <t>Early Learning -&gt; Early Learning Program (added)
K12 -&gt; LEA -&gt; Federal Funds
K12 -&gt; SEA -&gt; Federal Funds</t>
  </si>
  <si>
    <t>K12 -&gt; K12 School -&gt; Finance
K12 -&gt; LEA -&gt; Finance
K12 -&gt; Program -&gt; Finance
K12 -&gt; SEA -&gt; Finance</t>
  </si>
  <si>
    <t>Postsecondary Education -&gt; Common Data Set
Postsecondary Education -&gt; Complete College America
Postsecondary Education -&gt; IPEDS</t>
  </si>
  <si>
    <t xml:space="preserve">Awarded
Accepted
Disbursed
Declined
</t>
  </si>
  <si>
    <t xml:space="preserve">Federal
Institutional
</t>
  </si>
  <si>
    <t>Adult Education -&gt; AE Staff -&gt; Identity -&gt; Name
Adult Education -&gt; AE Student -&gt; Identity -&gt; Name
Career and Technical -&gt; CTE Staff -&gt; Identity -&gt; Name (added)
Career and Technical -&gt; CTE Student -&gt; Identity -&gt; Name
Early Learning -&gt; EL Child -&gt; Identity -&gt; Name
Early Learning -&gt; EL Staff -&gt; Identity -&gt; Name
Early Learning -&gt; EL Staff -&gt; Professional Development -&gt; Instructor (added)
Early Learning -&gt; Parent/Guardian -&gt; Identity -&gt; Name
K12 -&gt; K12 Staff -&gt; Identity -&gt; Name
K12 -&gt; K12 Student -&gt; Identity -&gt; Name
K12 -&gt; Parent/Guardian -&gt; Identity -&gt; Name
K12 -&gt; SEA -&gt; Contact -&gt; Name (added)
Postsecondary -&gt; Parent/Guardian -&gt; Identity -&gt; Name (added)
Postsecondary -&gt; PS Staff -&gt; Identity -&gt; Name
Postsecondary -&gt; PS Student -&gt; Identity -&gt; Name
Workforce -&gt; Workforce Program Participant -&gt; Identity -&gt; Name</t>
  </si>
  <si>
    <t>Early Learning -&gt; Program Entry
Early Learning -&gt; Staff Quality
Early Learning -&gt; Workforce Development
K-12 -&gt; High School Generated Transcript
K-12 -&gt; LEA-to-LEA Student Record Exchange
K-12 -&gt; LEA-to-SEA Student Record Exchange
Postsecondary Education -&gt; Complete College America
Postsecondary Education -&gt; IPEDS</t>
  </si>
  <si>
    <t xml:space="preserve">Daily
Weekly
Monthly
Quarterly
Annually
</t>
  </si>
  <si>
    <t xml:space="preserve">Full-time
Part-time
</t>
  </si>
  <si>
    <t>Early Learning -&gt; Staff Quality
K-12 -&gt; High School Generated Transcript
K-12 -&gt; LEA-to-LEA Student Record Exchange
K-12 -&gt; LEA-to-SEA Student Record Exchange
Postsecondary Education -&gt; Complete College America
Postsecondary Education -&gt; IPEDS</t>
  </si>
  <si>
    <t xml:space="preserve">Yes
No
Unknown
</t>
  </si>
  <si>
    <t>K12 -&gt; Course Section -&gt; Enrollment -&gt; Student Class Section Mark
K12 -&gt; K12 Student -&gt; Academic Record</t>
  </si>
  <si>
    <t>K-12 -&gt; High School Generated Transcript
K-12 -&gt; LEA Assessments
K-12 -&gt; LEA-to-LEA Student Record Exchange
K-12 -&gt; LEA-to-SEA Student Record Exchange
K-12 -&gt; SEA Assessments</t>
  </si>
  <si>
    <t>K12 -&gt; Course Section -&gt; Enrollment
K12 -&gt; K12 Student -&gt; Academic Record</t>
  </si>
  <si>
    <t>K12 -&gt; K12 Student -&gt; Academic Record
Postsecondary -&gt; PS Applicant
Postsecondary -&gt; PS Student -&gt; Academic Record
Postsecondary -&gt; PS Student -&gt; K12 Transcript</t>
  </si>
  <si>
    <t>College Readiness
K-12 -&gt; High School Feedback Report
K-12 -&gt; High School Generated Transcript
K-12 -&gt; LEA-to-LEA Student Record Exchange
K-12 -&gt; LEA-to-SEA Student Record Exchange
Postsecondary Education -&gt; Common Data Set
Postsecondary Education -&gt; Transition</t>
  </si>
  <si>
    <t xml:space="preserve">Weighted
Unweighted
</t>
  </si>
  <si>
    <t>Postsecondary -&gt; PS Applicant
Postsecondary -&gt; PS Student -&gt; K12 Transcript</t>
  </si>
  <si>
    <t>Postsecondary Education -&gt; Common Data Set
Postsecondary Education -&gt; Transition</t>
  </si>
  <si>
    <t>Early Learning -&gt; EL Child -&gt; EL Health Information -&gt; Hearing
K12 -&gt; K12 Student -&gt; Health (added)</t>
  </si>
  <si>
    <t>Adult Education -&gt; AE Student -&gt; Academic Record
K12 -&gt; K12 Student -&gt; Academic Record
Postsecondary -&gt; PS Student -&gt; K12 Transcript</t>
  </si>
  <si>
    <t>K-12 -&gt; High School Feedback Report
K-12 -&gt; High School Generated Transcript
K-12 -&gt; LEA-to-LEA Student Record Exchange
K-12 -&gt; LEA-to-SEA Student Record Exchange
Persistence and Attainment of Nontraditional Students
Postsecondary Education -&gt; IPEDS
Postsecondary Education -&gt; Transition</t>
  </si>
  <si>
    <t>K12 -&gt; K12 Student -&gt; Academic Record
Postsecondary -&gt; PS Applicant</t>
  </si>
  <si>
    <t>K-12 -&gt; High School Generated Transcript
K-12 -&gt; LEA-to-LEA Student Record Exchange
K-12 -&gt; LEA-to-SEA Student Record Exchange
Postsecondary Education -&gt; Common Data Set</t>
  </si>
  <si>
    <t>Adult Education -&gt; AE Staff -&gt; Credential (added)
Adult Education -&gt; AE Student -&gt; Academic Record
Early Learning -&gt; EL Staff -&gt; Education
Early Learning -&gt; Parent/Guardian -&gt; Education
K12 -&gt; K12 Staff -&gt; Credential</t>
  </si>
  <si>
    <t>Early Learning -&gt; Program Compliance
Early Learning -&gt; Program Entry
Early Learning -&gt; Staff Quality
K-12 -&gt; Teacher Compensation Survey</t>
  </si>
  <si>
    <t>Adult Education -&gt; AE Staff -&gt; Employment (added)
Early Learning -&gt; EL Staff -&gt; Employment
K12 -&gt; K12 Staff -&gt; Employment
Postsecondary -&gt; PS Staff -&gt; Employment</t>
  </si>
  <si>
    <t>Early Learning -&gt; Program Compliance
Early Learning -&gt; Staff Quality
Early Learning -&gt; Workforce Development
K-12 -&gt; Teacher Compensation Survey
Postsecondary Education -&gt; IPEDS -&gt; HR</t>
  </si>
  <si>
    <t>Early Learning -&gt; EL Child -&gt; Demographic
K12 -&gt; K12 Student -&gt; Homeless</t>
  </si>
  <si>
    <t>Early Learning -&gt; Program Compliance
Early Learning -&gt; Program Entry
K-12 -&gt; EDFacts
K-12 -&gt; High School Generated Transcript
K-12 -&gt; LEA-to-LEA Student Record Exchange
K-12 -&gt; LEA-to-SEA Student Record Exchange</t>
  </si>
  <si>
    <t>K-12 -&gt; Civil Rights Data Collection
K-12 -&gt; EDFacts
K-12 -&gt; LEA-to-LEA Student Record Exchange
K-12 -&gt; LEA-to-SEA Student Record Exchange</t>
  </si>
  <si>
    <t>Early Learning -&gt; EL Child -&gt; Eligibility
Early Learning -&gt; EL Child -&gt; IDEA</t>
  </si>
  <si>
    <t>Assessments -&gt; Assessment Form -&gt; Assessment Form Section
Early Learning -&gt; Assessments -&gt; Assessment Design
K12 -&gt; Assessments -&gt; Assessment Form -&gt; Assessment Form Section</t>
  </si>
  <si>
    <t>Early Learning -&gt; EL Child -&gt; EL Health Information -&gt; Immunization
K12 -&gt; K12 Student -&gt; Health</t>
  </si>
  <si>
    <t>Early Learning -&gt; Program Compliance
K-12 -&gt; LEA-to-LEA Student Record Exchange
K-12 -&gt; LEA-to-SEA Student Record Exchange</t>
  </si>
  <si>
    <t xml:space="preserve">Primary
Secondary
</t>
  </si>
  <si>
    <t xml:space="preserve">Victim
Perpetrator
Witness
Reporter
</t>
  </si>
  <si>
    <t>Early Learning -&gt; EL Child -&gt; Individualized Program
K12 -&gt; K12 Student -&gt; Individualized Program</t>
  </si>
  <si>
    <t xml:space="preserve">Daily
Weekly
Biweekly
Monthly
Bimonthly
Quarterly
Semiannually
Annually
Other
</t>
  </si>
  <si>
    <t>Early Learning -&gt; EL Organization -&gt; Telephone
K12 -&gt; K12 School -&gt; Telephone
K12 -&gt; LEA -&gt; Telephone</t>
  </si>
  <si>
    <t>Career and Technical -&gt; Course
Career and Technical -&gt; Course Section
K12 -&gt; Course Section -&gt; Directory
K12 -&gt; K12 Course</t>
  </si>
  <si>
    <t>Adult Education -&gt; AE Student -&gt; Program Participation (added)
Postsecondary -&gt; PS Student -&gt; Enrollment</t>
  </si>
  <si>
    <t xml:space="preserve">Credit
Contact
</t>
  </si>
  <si>
    <t>Assessments -&gt; Assessment
Assessments -&gt; Assessment Asset
Early Learning -&gt; EL Child -&gt; Language
Early Learning -&gt; EL Staff -&gt; Language
K12 -&gt; Assessments -&gt; Assessment
K12 -&gt; Assessments -&gt; Assessment Asset
K12 -&gt; K12 Student -&gt; Language</t>
  </si>
  <si>
    <t>Early Learning -&gt; Program Compliance
Early Learning -&gt; Program Entry
Early Learning -&gt; Staff Quality
Early Learning -&gt; Workforce Development
K-12 -&gt; EDFacts</t>
  </si>
  <si>
    <t>Early Learning -&gt; EL Class/Group -&gt; Structure
Early Learning -&gt; EL Organization -&gt; Cultural and Linguistic Diversity</t>
  </si>
  <si>
    <t>Early Learning -&gt; EL Child -&gt; Language
Early Learning -&gt; EL Staff -&gt; Language
K12 -&gt; K12 Student -&gt; Language</t>
  </si>
  <si>
    <t>Adult Education -&gt; AE Staff -&gt; Identity -&gt; Name
Adult Education -&gt; AE Student -&gt; Identity -&gt; Name
Career and Technical -&gt; CTE Staff -&gt; Identity -&gt; Name (added)
Career and Technical -&gt; CTE Student -&gt; Identity -&gt; Name
Early Learning -&gt; EL Child -&gt; Identity -&gt; Name
Early Learning -&gt; EL Staff -&gt; Identity -&gt; Name
Early Learning -&gt; EL Staff -&gt; Professional Development -&gt; Instructor (added)
Early Learning -&gt; Parent/Guardian -&gt; Identity -&gt; Name
K12 -&gt; K12 Staff -&gt; Identity -&gt; Name
K12 -&gt; K12 Student -&gt; Identity -&gt; Name
K12 -&gt; Parent/Guardian -&gt; Identity -&gt; Name
K12 -&gt; SEA -&gt; Contact -&gt; Name (added)
Postsecondary -&gt; Parent/Guardian -&gt; Identity -&gt; Name (added)
Postsecondary -&gt; PS Staff -&gt; Identity -&gt; Name
Postsecondary -&gt; PS Student -&gt; Graduate Student -&gt; Thesis/Dissertation Advisor (added)
Postsecondary -&gt; PS Student -&gt; Identity -&gt; Name
Workforce -&gt; Workforce Program Participant -&gt; Identity -&gt; Name</t>
  </si>
  <si>
    <t>K12 -&gt; K12 School -&gt; Address
Postsecondary -&gt; PS Institution -&gt; Address</t>
  </si>
  <si>
    <t>Assessments -&gt; Learner Action
K12 -&gt; Assessments -&gt; Learner Action</t>
  </si>
  <si>
    <t>Assessments -&gt; Learner Activity
K12 -&gt; Assessments -&gt; Learner Activity</t>
  </si>
  <si>
    <t xml:space="preserve">Week
Day
Hour
Minute
Second
</t>
  </si>
  <si>
    <t xml:space="preserve">Assignment
LearningResource
Activity
Lesson
</t>
  </si>
  <si>
    <t>Assessments -&gt; Learning Goal
K12 -&gt; Assessments -&gt; Learning Goal</t>
  </si>
  <si>
    <t>K12 -&gt; Learning Goal
Postsecondary -&gt; Learning Goal</t>
  </si>
  <si>
    <t xml:space="preserve">AndroidAccessibility
ARIA
ATK
AT-SPI
BlackberryAccessibility
iAccessible2
iOSAccessibility
JavaAccessibility
MacOSXAccessibility
MSAA
UIAutomation
</t>
  </si>
  <si>
    <t>K12 -&gt; Learning Resource
Learning Resources -&gt; Learning Resource
Postsecondary -&gt; Learning Resource</t>
  </si>
  <si>
    <t xml:space="preserve">Flashing
MotionSimulation
Sound
</t>
  </si>
  <si>
    <t xml:space="preserve">Auditory
ColorDependent
Tactile
TextOnImage
Textual
Visual
</t>
  </si>
  <si>
    <t xml:space="preserve">Ebook
Hardcover
Paperback
DAISY202
DAISY3
EPUB2
EPUB3
Other
</t>
  </si>
  <si>
    <t xml:space="preserve">Assesses
Teaches
Requires
TextComplexity
ReadingLevel
EducationalSubject
EducationLevel
</t>
  </si>
  <si>
    <t>Assessments -&gt; Learning Standards -&gt; Learning Resource Competency Alignment
Learning Resources -&gt; Learning Resource</t>
  </si>
  <si>
    <t xml:space="preserve">FullAudioControl
FullKeyboardControl
FullMouseControl
FullTouchControl
FullVideoControl
</t>
  </si>
  <si>
    <t xml:space="preserve">application
audio
example
image
message
model
multipart
text
video
</t>
  </si>
  <si>
    <t>K12 -&gt; Learning Resource
Learning Resources -&gt; Learning Resource</t>
  </si>
  <si>
    <t xml:space="preserve">Administrator
Mentor
Parent
Peer-Tutor
Specialist
Student
Teacher
Team
Other
</t>
  </si>
  <si>
    <t xml:space="preserve">Active
Expositive
Mixed
</t>
  </si>
  <si>
    <t xml:space="preserve">AlternativeText
AudioDescription
Braille
Captions
ChemML
DescribedMath
DisplayTransformability
Haptic
HighContrast
LargePrint
Latex
LongDescription
MathML
MusicBraille
NemethBraille
SignLanguage
StructuralNavigation
TactileGraphics
tactileObject
Transcript
</t>
  </si>
  <si>
    <t>K12 -&gt; Learning Resource
Learning Resources -&gt; Learning Resource -&gt; Peer Rating
Postsecondary -&gt; Learning Resource</t>
  </si>
  <si>
    <t>Assessments -&gt; Assessment Form
Assessments -&gt; Assessment Form -&gt; Assessment Form Section
K12 -&gt; Assessments -&gt; Assessment Form
K12 -&gt; Assessments -&gt; Assessment Form -&gt; Assessment Form Section</t>
  </si>
  <si>
    <t>Assessments -&gt; Learning Standards -&gt; Learning Standard Document
Early Learning -&gt; Assessments -&gt; Assessment Design
Learning Standards -&gt; Learning Standard Document</t>
  </si>
  <si>
    <t>Assessments -&gt; Learning Standards -&gt; Learning Standard Document
Learning Standards -&gt; Learning Standard Document</t>
  </si>
  <si>
    <t xml:space="preserve">Adopted
Draft
Published
Deprecated
Unknown
</t>
  </si>
  <si>
    <t>Assessments -&gt; Learning Standards -&gt; Learning Standard Item -&gt; Learning Standard Item Association
Learning Resources -&gt; Learning Resource (added)
Learning Standards -&gt; Learning Standard Item -&gt; Learning Standard Item Association</t>
  </si>
  <si>
    <t>Assessments -&gt; Learning Standards -&gt; Learning Standard Item -&gt; Learning Standard Item Association
Learning Resources -&gt; Learning Resource
Learning Standards -&gt; Learning Standard Item -&gt; Learning Standard Item Association</t>
  </si>
  <si>
    <t xml:space="preserve">Cognitive
Affective
Psychomotor
</t>
  </si>
  <si>
    <t>Assessments -&gt; Learning Standards -&gt; Learning Standard Item
Learning Standards -&gt; Learning Standard Item</t>
  </si>
  <si>
    <t>Assessments -&gt; Learning Standards -&gt; Learning Standard Item
Early Learning -&gt; Assessments -&gt; Assessment Design
Learning Standards -&gt; Learning Standard Item</t>
  </si>
  <si>
    <t xml:space="preserve">Vision
Hearing
Communication
Mobility
General
</t>
  </si>
  <si>
    <t>Assessments -&gt; Learning Standards -&gt; Learning Standard Item
K12 -&gt; Assessments -&gt; Learning Standard Item
Learning Standards -&gt; Learning Standard Item</t>
  </si>
  <si>
    <t>Adult Education -&gt; AE Provider
Postsecondary -&gt; PS Institution -&gt; Directory</t>
  </si>
  <si>
    <t>Assessments -&gt; Assessment Administration
Assessments -&gt; Assessment Registration
Assessments -&gt; Assessment Session
K12 -&gt; Assessments -&gt; Assessment Administration
K12 -&gt; Assessments -&gt; Assessment Registration
K12 -&gt; Assessments -&gt; Assessment Session
K12 -&gt; K12 Staff -&gt; Assignment
K12 -&gt; K12 Student -&gt; Enrollment
K12 -&gt; LEA -&gt; Identification
Postsecondary -&gt; PS Student -&gt; K12 Transcript</t>
  </si>
  <si>
    <t>K-12 -&gt; High School Feedback Report
K-12 -&gt; High School Generated Transcript
K-12 -&gt; LEA-to-LEA Student Record Exchange
K-12 -&gt; LEA-to-SEA Student Record Exchange
Postsecondary Education -&gt; Transition</t>
  </si>
  <si>
    <t xml:space="preserve">Chronic
Acute
None
</t>
  </si>
  <si>
    <t xml:space="preserve">Individual
Group
</t>
  </si>
  <si>
    <t>Early Learning -&gt; EL Child -&gt; Demographic (added)
K12 -&gt; K12 Student -&gt; Migrant</t>
  </si>
  <si>
    <t>Adult Education -&gt; AE Provider
Early Learning -&gt; EL Staff -&gt; Education
K12 -&gt; K12 School -&gt; Identification
Postsecondary -&gt; PS Institution -&gt; Directory
Postsecondary -&gt; PS Student -&gt; K12 Transcript</t>
  </si>
  <si>
    <t>Early Learning -&gt; Licensing
Early Learning -&gt; Program Compliance
Early Learning -&gt; Staff Quality
Early Learning -&gt; Workforce Development
K-12 -&gt; High School Feedback Report
K-12 -&gt; High School Generated Transcript
K-12 -&gt; LEA-to-LEA Student Record Exchange
K-12 -&gt; LEA-to-SEA Student Record Exchange
K-12 -&gt; Teacher Compensation Survey
Postsecondary Education -&gt; IPEDS
Postsecondary Education -&gt; Transition</t>
  </si>
  <si>
    <t xml:space="preserve">Hours
Weeks
Quarters
Semesters
Years
</t>
  </si>
  <si>
    <t>Early Learning -&gt; EL Staff -&gt; Professional Development
K12 -&gt; Course Section -&gt; Enrollment
K12 -&gt; K12 Student -&gt; Academic Record
Postsecondary -&gt; PS Section -&gt; Enrollment</t>
  </si>
  <si>
    <t>K12 -&gt; Course Section -&gt; Enrollment
K12 -&gt; K12 Student -&gt; Attendance</t>
  </si>
  <si>
    <t>K-12 -&gt; High School Generated Transcript
K-12 -&gt; LEA-to-LEA Student Record Exchange
K-12 -&gt; LEA-to-SEA Student Record Exchange
K-12 -&gt; Teacher-Student Data Link -&gt; Enrollment</t>
  </si>
  <si>
    <t>Early Learning -&gt; EL Child -&gt; EL Educational Experiences
K12 -&gt; Course Section -&gt; Enrollment
K12 -&gt; K12 Student -&gt; Attendance</t>
  </si>
  <si>
    <t>Early Learning -&gt; Program Compliance
K-12 -&gt; High School Generated Transcript
K-12 -&gt; LEA-to-LEA Student Record Exchange
K-12 -&gt; LEA-to-SEA Student Record Exchange
K-12 -&gt; Teacher-Student Data Link -&gt; Enrollment</t>
  </si>
  <si>
    <t>Early Learning -&gt; EL Organization -&gt; Identifier
K12 -&gt; Facility
K12 -&gt; Organization (added)
K12 -&gt; Program (added)</t>
  </si>
  <si>
    <t xml:space="preserve">Announced
Unannounced
</t>
  </si>
  <si>
    <t>Early Learning -&gt; EL Staff -&gt; Employment
K12 -&gt; Facility
K12 -&gt; LEA -&gt; Identification
K12 -&gt; Organization (added)
K12 -&gt; Program (added)
K12 -&gt; SEA -&gt; Identification</t>
  </si>
  <si>
    <t xml:space="preserve">Active
Inactive
</t>
  </si>
  <si>
    <t>K12 -&gt; Organization
K12 -&gt; Program</t>
  </si>
  <si>
    <t>Early Learning -&gt; EL Organization -&gt; Identifier
K12 -&gt; K12 School -&gt; Identification
K12 -&gt; LEA -&gt; Identification
K12 -&gt; SEA -&gt; Identification</t>
  </si>
  <si>
    <t>Adult Education -&gt; AE Staff -&gt; Identity -&gt; Other Name
Adult Education -&gt; AE Student -&gt; Identity -&gt; Other Name
Career and Technical -&gt; CTE Staff -&gt; Identity -&gt; Other Name
Career and Technical -&gt; CTE Student -&gt; Identity -&gt; Other Name
Early Learning -&gt; EL Child -&gt; Identity -&gt; Other Name
Early Learning -&gt; EL Staff -&gt; Identity -&gt; Other Name
Early Learning -&gt; Parent/Guardian -&gt; Identity -&gt; Other Name
K12 -&gt; K12 Staff -&gt; Identity -&gt; Other Name
K12 -&gt; K12 Student -&gt; Identity -&gt; Other Name
K12 -&gt; Parent/Guardian -&gt; Identity -&gt; Other Name
K12 -&gt; SEA -&gt; Contact -&gt; Other Name
Postsecondary -&gt; Parent/Guardian -&gt; Identity -&gt; Other Name
Postsecondary -&gt; PS Staff -&gt; Identity -&gt; Other Name
Postsecondary -&gt; PS Student -&gt; Graduate Student -&gt; Thesis/Dissertation Advisor
Postsecondary -&gt; PS Student -&gt; Identity -&gt; Other Name
Workforce -&gt; Workforce Program Participant -&gt; Identity -&gt; Other Name</t>
  </si>
  <si>
    <t>Adult Education -&gt; AE Staff -&gt; Identity -&gt; Other Name
Adult Education -&gt; AE Student -&gt; Identity -&gt; Other Name
Career and Technical -&gt; CTE Staff -&gt; Identity -&gt; Other Name (added)
Career and Technical -&gt; CTE Student -&gt; Identity -&gt; Other Name
Early Learning -&gt; EL Child -&gt; Identity -&gt; Other Name
Early Learning -&gt; EL Staff -&gt; Identity -&gt; Other Name
Early Learning -&gt; Parent/Guardian -&gt; Identity -&gt; Other Name
K12 -&gt; K12 Staff -&gt; Identity -&gt; Other Name
K12 -&gt; K12 Student -&gt; Identity -&gt; Other Name
K12 -&gt; Parent/Guardian -&gt; Identity -&gt; Other Name
K12 -&gt; SEA -&gt; Contact -&gt; Other Name (added)
Postsecondary -&gt; Parent/Guardian -&gt; Identity -&gt; Other Name (added)
Postsecondary -&gt; PS Staff -&gt; Identity -&gt; Other Name
Postsecondary -&gt; PS Student -&gt; Graduate Student -&gt; Thesis/Dissertation Advisor (added)
Postsecondary -&gt; PS Student -&gt; Identity -&gt; Other Name
Workforce -&gt; Workforce Program Participant -&gt; Identity -&gt; Other Name</t>
  </si>
  <si>
    <t>Adult Education -&gt; AE Staff -&gt; Identity -&gt; Other Name
Adult Education -&gt; AE Student -&gt; Identity -&gt; Other Name
Career and Technical -&gt; CTE Staff -&gt; Identity -&gt; Other Name (added)
Career and Technical -&gt; CTE Student -&gt; Identity -&gt; Other Name
Early Learning -&gt; EL Child -&gt; Identity -&gt; Other Name
Early Learning -&gt; EL Staff -&gt; Identity -&gt; Other Name
Early Learning -&gt; Parent/Guardian -&gt; Identity -&gt; Other Name
K12 -&gt; K12 Staff -&gt; Identity -&gt; Other Name
K12 -&gt; K12 Student -&gt; Identity -&gt; Other Name
K12 -&gt; Parent/Guardian -&gt; Identity -&gt; Other Name
K12 -&gt; SEA -&gt; Contact -&gt; Other Name (added)
Postsecondary -&gt; Parent/Guardian -&gt; Identity -&gt; Other Name (added)
Postsecondary -&gt; PS Staff -&gt; Identity -&gt; Other Name
Postsecondary -&gt; PS Student -&gt; Identity -&gt; Other Name
Workforce -&gt; Workforce Program Participant -&gt; Identity -&gt; Other Name</t>
  </si>
  <si>
    <t>Early Learning -&gt; Staff Quality
Postsecondary Education -&gt; Complete College America
Postsecondary Education -&gt; IPEDS</t>
  </si>
  <si>
    <t>Early Learning -&gt; EL Child -&gt; EL Educational Experiences
K12 -&gt; K12 Student -&gt; Economically Disadvantaged</t>
  </si>
  <si>
    <t>K12 -&gt; Learning Resource -&gt; Peer Rating
Learning Resources -&gt; Learning Resource -&gt; Peer Rating
Postsecondary -&gt; Learning Resource -&gt; Peer Rating</t>
  </si>
  <si>
    <t>K12 -&gt; Learning Resource -&gt; Peer Rating System
Learning Resources -&gt; Peer Rating System
Postsecondary -&gt; Learning Resource -&gt; Peer Rating System</t>
  </si>
  <si>
    <t>Early Learning -&gt; Parent/Guardian
K12 -&gt; Parent/Guardian -&gt; Relationship
Postsecondary -&gt; Parent/Guardian -&gt; Relationship (added)</t>
  </si>
  <si>
    <t>Adult Education -&gt; AE Staff -&gt; Identity -&gt; Identification
Adult Education -&gt; AE Student -&gt; Identity -&gt; Identification
Career and Technical -&gt; CTE Staff -&gt; Identity -&gt; Identification (added)
Career and Technical -&gt; CTE Student -&gt; Identity -&gt; Identification
Early Learning -&gt; EL Child -&gt; Identity -&gt; Identification
K12 -&gt; K12 Staff -&gt; Identity -&gt; Identification
K12 -&gt; K12 Student -&gt; Identity -&gt; Identification
K12 -&gt; Parent/Guardian -&gt; Identity -&gt; Identification
Postsecondary -&gt; Parent/Guardian -&gt; Identity -&gt; Identification (added)
Postsecondary -&gt; PS Staff -&gt; Identity -&gt; Identification
Postsecondary -&gt; PS Student -&gt; Identity -&gt; Identification
Workforce -&gt; Workforce Program Participant -&gt; Identity -&gt; Identification</t>
  </si>
  <si>
    <t>Adult Education -&gt; AE Staff -&gt; Identity -&gt; Name
Adult Education -&gt; AE Student -&gt; Identity -&gt; Name
Career and Technical -&gt; CTE Staff -&gt; Identity -&gt; Name (added)
Career and Technical -&gt; CTE Student -&gt; Identity -&gt; Name
Early Learning -&gt; EL Staff -&gt; Identity -&gt; Name
Early Learning -&gt; EL Staff -&gt; Professional Development -&gt; Instructor (added)
Early Learning -&gt; Parent/Guardian -&gt; Identity -&gt; Name
K12 -&gt; K12 Staff -&gt; Identity -&gt; Name
K12 -&gt; K12 Student -&gt; Identity -&gt; Name
K12 -&gt; Parent/Guardian -&gt; Identity -&gt; Name
K12 -&gt; SEA -&gt; Contact -&gt; Name (added)
Postsecondary -&gt; Parent/Guardian -&gt; Identity -&gt; Name (added)
Postsecondary -&gt; PS Staff -&gt; Identity -&gt; Name
Postsecondary -&gt; PS Student -&gt; Identity -&gt; Name
Workforce -&gt; Workforce Program Participant -&gt; Identity -&gt; Name</t>
  </si>
  <si>
    <t>Early Learning -&gt; Staff Quality
K-12 -&gt; High School Generated Transcript
K-12 -&gt; LEA-to-LEA Student Record Exchange
K-12 -&gt; LEA-to-SEA Student Record Exchange</t>
  </si>
  <si>
    <t>Early Learning -&gt; EL Staff -&gt; Professional Development -&gt; Instructor (added)
K12 -&gt; K12 Staff -&gt; Employment
K12 -&gt; SEA -&gt; Contact (added)</t>
  </si>
  <si>
    <t xml:space="preserve">LowerDivision
UpperDivision
Dual
GraduateProfessional
Remedial
Ungraded
Other
</t>
  </si>
  <si>
    <t>Postsecondary Education -&gt; IPEDS -&gt; Graduation Rate
Postsecondary Education -&gt; IPEDS -&gt; Student Financial Aid</t>
  </si>
  <si>
    <t>Early Learning -&gt; Parent/Guardian
K12 -&gt; Parent/Guardian -&gt; Relationship
K12 -&gt; SEA -&gt; Contact</t>
  </si>
  <si>
    <t>Early Learning -&gt; EL Child -&gt; Developmental Assessments
K12 -&gt; K12 Student -&gt; Disability
Postsecondary -&gt; PS Student (added)</t>
  </si>
  <si>
    <t>Early Learning -&gt; Program Compliance
Early Learning -&gt; Program Entry
K-12 -&gt; EDFacts
K-12 -&gt; LEA-to-LEA Student Record Exchange
K-12 -&gt; LEA-to-SEA Student Record Exchange</t>
  </si>
  <si>
    <t>Adult Education -&gt; AE Staff -&gt; Contact -&gt; Telephone
Adult Education -&gt; AE Student -&gt; Contact -&gt; Telephone
Career and Technical -&gt; CTE Staff -&gt; Contact -&gt; Telephone (added)
Career and Technical -&gt; CTE Student -&gt; Contact -&gt; Telephone
Early Learning -&gt; EL Child -&gt; Contact -&gt; Telephone
Early Learning -&gt; EL Organization -&gt; Telephone
Early Learning -&gt; EL Staff -&gt; Contact -&gt; Telephone
Early Learning -&gt; EL Staff -&gt; Professional Development -&gt; Instructor (added)
Early Learning -&gt; Parent/Guardian -&gt; Contact -&gt; Telephone
K12 -&gt; K12 School -&gt; Telephone
K12 -&gt; K12 Staff -&gt; Contact -&gt; Telephone
K12 -&gt; K12 Student -&gt; Contact -&gt; Telephone
K12 -&gt; LEA -&gt; Telephone
K12 -&gt; Parent/Guardian -&gt; Contact -&gt; Telephone
K12 -&gt; SEA -&gt; Contact -&gt; Telephone (added)
Postsecondary -&gt; Parent/Guardian -&gt; Contact -&gt; Telephone (added)
Postsecondary -&gt; PS Student -&gt; Contact -&gt; Telephone</t>
  </si>
  <si>
    <t>Early Learning -&gt; EL Staff -&gt; Professional Development Activity
K12 -&gt; K12 Staff -&gt; Professional Development Activity</t>
  </si>
  <si>
    <t xml:space="preserve">Beginner
Intermediate
Advanced
</t>
  </si>
  <si>
    <t>Early Learning -&gt; EL Staff -&gt; Professional Development Activity -&gt; Session
K12 -&gt; K12 Staff -&gt; Professional Development Activity -&gt; Session</t>
  </si>
  <si>
    <t>Early Learning -&gt; EL Staff -&gt; Professional Development Activity -&gt; Session - Location
K12 -&gt; K12 Staff -&gt; Professional Development Activity -&gt; Session - Location</t>
  </si>
  <si>
    <t xml:space="preserve">Registering
Completed
Cancelled
</t>
  </si>
  <si>
    <t>Adult Education -&gt; AE Student -&gt; Academic Record
Career and Technical -&gt; CTE Student -&gt; Academic Record
K12 -&gt; K12 Student -&gt; Academic Record
Postsecondary -&gt; PS Student -&gt; Academic Record
Workforce -&gt; Workforce Program Participant -&gt; Academic Record</t>
  </si>
  <si>
    <t>Assessments -&gt; Assessment Item -&gt; Assessment Item Response
Early Learning -&gt; Assessments -&gt; Assessment Result
K12 -&gt; Assessments -&gt; Assessment Item -&gt; Assessment Item Response
K12 -&gt; K12 Student -&gt; Academic Record</t>
  </si>
  <si>
    <t>Early Learning -&gt; Program Quality
School Readiness</t>
  </si>
  <si>
    <t>K12 -&gt; K12 School -&gt; Institution Characteristics
K12 -&gt; K12 Student -&gt; Enrollment (added)
K12 -&gt; LEA -&gt; Programs and Services</t>
  </si>
  <si>
    <t>K12 -&gt; K12 Student -&gt; Program (added)
K12 -&gt; Program</t>
  </si>
  <si>
    <t>Career and Technical -&gt; Program
K12 -&gt; K12 Student -&gt; Program (added)
K12 -&gt; Program</t>
  </si>
  <si>
    <t>Career and Technical -&gt; CTE Student -&gt; Program Participation
Early Learning -&gt; EL Child -&gt; EL Educational Experiences
K12 -&gt; K12 Student -&gt; CTE
K12 -&gt; K12 Student -&gt; IDEA
K12 -&gt; K12 Student -&gt; Limited English Proficiency
K12 -&gt; K12 Student -&gt; Migrant
K12 -&gt; K12 Student -&gt; Neglected or Delinquent
K12 -&gt; K12 Student -&gt; Program
K12 -&gt; K12 Student -&gt; Title I</t>
  </si>
  <si>
    <t>Career and Technical -&gt; Program (added)
K12 -&gt; K12 Staff -&gt; Credential
K12 -&gt; Program (added)</t>
  </si>
  <si>
    <t>Career and Technical -&gt; Program
Early Learning -&gt; EL Organization -&gt; Program Characteristics
K12 -&gt; K12 School -&gt; Directory
K12 -&gt; K12 Student -&gt; Program</t>
  </si>
  <si>
    <t>Career and Technical -&gt; Course Section
K12 -&gt; Course Section -&gt; Directory
Postsecondary -&gt; PS Student -&gt; Graduate Student -&gt; Thesis/Dissertation Advisor (added)</t>
  </si>
  <si>
    <t>Career and Technical -&gt; Course Section
K12 -&gt; Course Section -&gt; Course</t>
  </si>
  <si>
    <t>K12 -&gt; Course Section -&gt; Enrollment (added)
K12 -&gt; K12 Student -&gt; Enrollment</t>
  </si>
  <si>
    <t>Early Learning -&gt; EL Organization -&gt; Name
K12 -&gt; Organization (added)</t>
  </si>
  <si>
    <t>Assessments -&gt; Assessment Item -&gt; Rubric
Assessments -&gt; Rubric
K12 -&gt; Assessments -&gt; Rubric</t>
  </si>
  <si>
    <t>Assessments -&gt; Assessment Administration
Assessments -&gt; Assessment Registration
Assessments -&gt; Assessment Session
K12 -&gt; Assessments -&gt; Assessment Administration
K12 -&gt; Assessments -&gt; Assessment Registration
K12 -&gt; Assessments -&gt; Assessment Session
K12 -&gt; K12 School -&gt; Identification
K12 -&gt; K12 Staff -&gt; Assignment
K12 -&gt; K12 Student -&gt; Enrollment
Postsecondary -&gt; PS Student -&gt; K12 Transcript</t>
  </si>
  <si>
    <t>K-12 -&gt; High School Feedback Report
K-12 -&gt; High School Generated Transcript
K-12 -&gt; LEA-to-LEA Student Record Exchange
K-12 -&gt; LEA-to-SEA Student Record Exchange
K-12 -&gt; Teacher Compensation Survey
K-12 -&gt; Teacher-Student Data Link -&gt; Class Section
Postsecondary Education -&gt; Transition</t>
  </si>
  <si>
    <t>K12 -&gt; Calendar -&gt; Period
K12 -&gt; K12 School -&gt; Session</t>
  </si>
  <si>
    <t>Career and Technical -&gt; Course Section
K12 -&gt; Course Section -&gt; Directory
Postsecondary -&gt; PS Institution -&gt; Directory</t>
  </si>
  <si>
    <t>Adult Education -&gt; AE Student -&gt; Demographic
Career and Technical -&gt; CTE Student -&gt; Demographic
Early Learning -&gt; EL Child -&gt; Demographic
Early Learning -&gt; EL Staff -&gt; Demographic
K12 -&gt; K12 Staff -&gt; Demographic
K12 -&gt; K12 Student -&gt; Demographic
K12 -&gt; Parent/Guardian -&gt; Demographic (added)
Postsecondary -&gt; PS Staff -&gt; Demographic
Postsecondary -&gt; PS Student -&gt; Demographic</t>
  </si>
  <si>
    <t>Early Learning -&gt; Program Entry
Early Learning -&gt; Staff Quality
Early Learning -&gt; Workforce Development
K-12 -&gt; EDFacts
K-12 -&gt; High School Generated Transcript
K-12 -&gt; LEA-to-LEA Student Record Exchange
K-12 -&gt; LEA-to-SEA Student Record Exchange
K-12 -&gt; Teacher Compensation Survey
Postsecondary Education -&gt; Complete College America
Postsecondary Education -&gt; IPEDS
Postsecondary Education -&gt; IPEDS -&gt; HR
Postsecondary Education -&gt; Transition</t>
  </si>
  <si>
    <t>Adult Education -&gt; AE Student -&gt; Status
Career and Technical -&gt; CTE Student -&gt; Program Participation
K12 -&gt; K12 Student -&gt; CTE
Postsecondary -&gt; PS Student -&gt; Demographic (added)</t>
  </si>
  <si>
    <t>Adult Education -&gt; AE Staff -&gt; Identity -&gt; Identification
Adult Education -&gt; AE Student -&gt; Identity -&gt; Identification
Career and Technical -&gt; CTE Staff -&gt; Identity -&gt; Identification (added)
Career and Technical -&gt; CTE Student -&gt; Identity -&gt; Identification
Early Learning -&gt; EL Child -&gt; Identity -&gt; Identification
K12 -&gt; K12 Staff -&gt; Identity -&gt; Identification
K12 -&gt; K12 Student -&gt; Identity -&gt; Identification
K12 -&gt; Parent/Guardian -&gt; Identity -&gt; Identification
Postsecondary -&gt; Parent/Guardian -&gt; Identity -&gt; Identification (added)
Postsecondary -&gt; PS Section -&gt; Enrollment
Postsecondary -&gt; PS Staff -&gt; Identity -&gt; Identification
Postsecondary -&gt; PS Student -&gt; Identity -&gt; Identification
Workforce -&gt; Quarterly Employment Record
Workforce -&gt; Workforce Program Participant -&gt; Identity -&gt; Identification</t>
  </si>
  <si>
    <t>Postsecondary Education -&gt; Complete College America
Postsecondary Education -&gt; IPEDS
Postsecondary Education -&gt; IPEDS -&gt; HR</t>
  </si>
  <si>
    <t>Early Learning -&gt; EL Child -&gt; IDEA (added)
K12 -&gt; K12 Student -&gt; IDEA</t>
  </si>
  <si>
    <t>Early Learning -&gt; EL Child -&gt; EL Educational Experiences -&gt; Special Education
K12 -&gt; K12 Student -&gt; IDEA</t>
  </si>
  <si>
    <t>Early Learning -&gt; EL Staff -&gt; Employment (added)
K12 -&gt; K12 Staff -&gt; Assignment</t>
  </si>
  <si>
    <t>K-12 -&gt; Civil Rights Data Collection
K-12 -&gt; Teacher Compensation Survey</t>
  </si>
  <si>
    <t>Adult Education -&gt; AE Staff -&gt; Identity -&gt; Identification
Career and Technical -&gt; CTE Staff -&gt; Identity -&gt; Identification (added)
Early Learning -&gt; EL Staff -&gt; Identity -&gt; Identifier
Early Learning -&gt; EL Staff -&gt; Professional Development -&gt; Instructor (added)
K12 -&gt; Course Section -&gt; Staff
K12 -&gt; K12 Staff -&gt; Identity -&gt; Identification
Postsecondary -&gt; PS Section -&gt; Instructor (added)
Postsecondary -&gt; PS Staff -&gt; Identity -&gt; Identification</t>
  </si>
  <si>
    <t>Early Learning -&gt; Staff Quality
K-12 -&gt; LEA-to-LEA Student Record Exchange
K-12 -&gt; LEA-to-SEA Student Record Exchange
K-12 -&gt; Teacher Compensation Survey
K-12 -&gt; Teacher-Student Data Link -&gt; Staff Assignment</t>
  </si>
  <si>
    <t>Early Learning -&gt; Staff Quality
K-12 -&gt; LEA-to-LEA Student Record Exchange
K-12 -&gt; LEA-to-SEA Student Record Exchange
K-12 -&gt; Teacher Compensation Survey
K-12 -&gt; Teacher-Student Data Link -&gt; Staff Assignment
Postsecondary Education -&gt; IPEDS -&gt; HR</t>
  </si>
  <si>
    <t xml:space="preserve">SAT_Reading
SAT_Writing
SAT_Math
SAT_Total
ACT_English
ACT_Math
ACT_Reading
ACT_Science
ACT_Composite
COMPASS_reading
COMPASS_writing
COMPASS_math
Accuplacer_reading
Accuplacer_writing
Accuplacer_math
Other
</t>
  </si>
  <si>
    <t>Early Learning -&gt; Licensing
Early Learning -&gt; Program Compliance
Early Learning -&gt; Program Entry
Early Learning -&gt; Staff Quality
Early Learning -&gt; Workforce Development
K-12 -&gt; High School Feedback Report
K-12 -&gt; High School Generated Transcript
K-12 -&gt; LEA-to-LEA Student Record Exchange
K-12 -&gt; LEA-to-SEA Student Record Exchange
K-12 -&gt; Teacher Compensation Survey
Postsecondary Education -&gt; Complete College America
Postsecondary Education -&gt; IPEDS
Postsecondary Education -&gt; Transition</t>
  </si>
  <si>
    <t xml:space="preserve">State
Federal
</t>
  </si>
  <si>
    <t>Early Learning -&gt; Staff Quality
K-12 -&gt; EDFacts
K-12 -&gt; Teacher Compensation Survey</t>
  </si>
  <si>
    <t>K-12 -&gt; Consolidated State Performance Report
K-12 -&gt; EDFacts</t>
  </si>
  <si>
    <t>K12 -&gt; K12 Student -&gt; Economically Disadvantaged
K12 -&gt; K12 Student -&gt; Homeless
K12 -&gt; K12 Student -&gt; Immigrant</t>
  </si>
  <si>
    <t>Adult Education -&gt; AE Student -&gt; Identity -&gt; Identification
Career and Technical -&gt; CTE Student -&gt; Identity -&gt; Identification
K12 -&gt; Course Section -&gt; Enrollment
K12 -&gt; K12 Student -&gt; Identity -&gt; Identification
K12 -&gt; K12 Student -&gt; Migrant
Postsecondary -&gt; PS Section -&gt; Enrollment
Postsecondary -&gt; PS Student -&gt; Identity -&gt; Identification
Postsecondary -&gt; PS Student -&gt; K12 Transcript</t>
  </si>
  <si>
    <t>K-12 -&gt; High School Generated Transcript
K-12 -&gt; LEA-to-LEA Student Record Exchange
K-12 -&gt; LEA-to-SEA Student Record Exchange
K-12 -&gt; Teacher-Student Data Link -&gt; Enrollment
Postsecondary Education -&gt; Transition</t>
  </si>
  <si>
    <t xml:space="preserve">Undergraduate
Graduate
</t>
  </si>
  <si>
    <t>K12 -&gt; K12 School -&gt; Institution Characteristics
K12 -&gt; K12 Student -&gt; Individualized Program</t>
  </si>
  <si>
    <t>Career and Technical -&gt; CTE Staff -&gt; Credential (added)
K12 -&gt; K12 Staff -&gt; Credential
Postsecondary -&gt; PS Student -&gt; Teacher Education/Preparation</t>
  </si>
  <si>
    <t>K12 -&gt; K12 Staff -&gt; Credential
Postsecondary -&gt; PS Student -&gt; Teacher Education/Preparation</t>
  </si>
  <si>
    <t>Early Learning -&gt; EL Organization -&gt; Professional Development
K12 -&gt; K12 School -&gt; Technical Assistance
K12 -&gt; K12 Staff -&gt; Technical Assistance
K12 -&gt; LEA -&gt; Technical Assistance</t>
  </si>
  <si>
    <t>Adult Education -&gt; AE Staff -&gt; Contact -&gt; Telephone
Adult Education -&gt; AE Student -&gt; Contact -&gt; Telephone
Career and Technical -&gt; CTE Staff -&gt; Contact -&gt; Telephone (added)
Career and Technical -&gt; CTE Student -&gt; Contact -&gt; Telephone
Early Learning -&gt; EL Child -&gt; Contact -&gt; Telephone
Early Learning -&gt; EL Organization -&gt; Telephone
Early Learning -&gt; EL Staff -&gt; Contact -&gt; Telephone
Early Learning -&gt; EL Staff -&gt; Professional Development -&gt; Instructor (added)
Early Learning -&gt; EL Staff -&gt; Professional Development Activity -&gt; Session - Location (added)
Early Learning -&gt; Parent/Guardian -&gt; Contact -&gt; Telephone
K12 -&gt; K12 School -&gt; Telephone
K12 -&gt; K12 Staff -&gt; Contact -&gt; Telephone
K12 -&gt; K12 Staff -&gt; Professional Development Activity -&gt; Session - Location (added)
K12 -&gt; K12 Student -&gt; Contact -&gt; Telephone
K12 -&gt; LEA -&gt; Telephone
K12 -&gt; Parent/Guardian -&gt; Contact -&gt; Telephone
K12 -&gt; SEA -&gt; Contact -&gt; Telephone (added)
Postsecondary -&gt; Parent/Guardian -&gt; Contact -&gt; Telephone (added)
Postsecondary -&gt; PS Student -&gt; Contact -&gt; Telephone</t>
  </si>
  <si>
    <t>Adult Education -&gt; AE Staff -&gt; Contact -&gt; Telephone
Adult Education -&gt; AE Student -&gt; Contact -&gt; Telephone
Career and Technical -&gt; CTE Staff -&gt; Contact -&gt; Telephone (added)
Career and Technical -&gt; CTE Student -&gt; Contact -&gt; Telephone
Early Learning -&gt; EL Child -&gt; Contact -&gt; Telephone
Early Learning -&gt; EL Staff -&gt; Contact -&gt; Telephone
Early Learning -&gt; EL Staff -&gt; Professional Development -&gt; Instructor (added)
Early Learning -&gt; Parent/Guardian -&gt; Contact -&gt; Telephone
K12 -&gt; K12 Staff -&gt; Contact -&gt; Telephone
K12 -&gt; K12 Student -&gt; Contact -&gt; Telephone
K12 -&gt; Parent/Guardian -&gt; Contact -&gt; Telephone
K12 -&gt; SEA -&gt; Contact -&gt; Telephone (added)
Postsecondary -&gt; Parent/Guardian -&gt; Contact -&gt; Telephone (added)
Postsecondary -&gt; PS Student -&gt; Contact -&gt; Telephone</t>
  </si>
  <si>
    <t>K12 -&gt; K12 School -&gt; Institution Characteristics
K12 -&gt; LEA -&gt; Programs and Services</t>
  </si>
  <si>
    <t>Postsecondary -&gt; PS Staff -&gt; Demographic
Postsecondary -&gt; PS Student -&gt; Demographic</t>
  </si>
  <si>
    <t>Postsecondary Education -&gt; IPEDS
Postsecondary Education -&gt; IPEDS -&gt; HR</t>
  </si>
  <si>
    <t>Career and Technical -&gt; Course Section
K12 -&gt; Course Section -&gt; Directory
K12 -&gt; K12 School -&gt; Directory
Postsecondary -&gt; PS Institution -&gt; Directory</t>
  </si>
  <si>
    <t>Early Learning -&gt; EL Child -&gt; EL Health Information -&gt; Vision
K12 -&gt; K12 Student -&gt; Health (added)</t>
  </si>
  <si>
    <t>K12 -&gt; K12 School -&gt; Directory
K12 -&gt; LEA -&gt; Directory
K12 -&gt; SEA -&gt; Contact (added)</t>
  </si>
  <si>
    <t>Career and Technical -&gt; CTE Student -&gt; Program Participation
K12 -&gt; K12 Course
K12 -&gt; K12 Student -&gt; Program
Postsecondary -&gt; PS Student -&gt; Program</t>
  </si>
  <si>
    <r>
      <t>13297</t>
    </r>
    <r>
      <rPr>
        <sz val="11"/>
        <color theme="1"/>
        <rFont val="Calibri"/>
        <family val="2"/>
        <scheme val="minor"/>
      </rPr>
      <t xml:space="preserve"> - Absent - Disciplinary action, not receiving instruction
</t>
    </r>
    <r>
      <rPr>
        <b/>
        <sz val="11"/>
        <color theme="1"/>
        <rFont val="Calibri"/>
        <family val="2"/>
        <scheme val="minor"/>
      </rPr>
      <t>13299</t>
    </r>
    <r>
      <rPr>
        <sz val="11"/>
        <color theme="1"/>
        <rFont val="Calibri"/>
        <family val="2"/>
        <scheme val="minor"/>
      </rPr>
      <t xml:space="preserve"> - Absent - Family activity
</t>
    </r>
    <r>
      <rPr>
        <b/>
        <sz val="11"/>
        <color theme="1"/>
        <rFont val="Calibri"/>
        <family val="2"/>
        <scheme val="minor"/>
      </rPr>
      <t>13296</t>
    </r>
    <r>
      <rPr>
        <sz val="11"/>
        <color theme="1"/>
        <rFont val="Calibri"/>
        <family val="2"/>
        <scheme val="minor"/>
      </rPr>
      <t xml:space="preserve"> - Absent - Family emergency or bereavement
</t>
    </r>
    <r>
      <rPr>
        <b/>
        <sz val="11"/>
        <color theme="1"/>
        <rFont val="Calibri"/>
        <family val="2"/>
        <scheme val="minor"/>
      </rPr>
      <t>13295</t>
    </r>
    <r>
      <rPr>
        <sz val="11"/>
        <color theme="1"/>
        <rFont val="Calibri"/>
        <family val="2"/>
        <scheme val="minor"/>
      </rPr>
      <t xml:space="preserve"> - Absent - Illness, injury, health treatment, or examination
</t>
    </r>
    <r>
      <rPr>
        <b/>
        <sz val="11"/>
        <color theme="1"/>
        <rFont val="Calibri"/>
        <family val="2"/>
        <scheme val="minor"/>
      </rPr>
      <t>13298</t>
    </r>
    <r>
      <rPr>
        <sz val="11"/>
        <color theme="1"/>
        <rFont val="Calibri"/>
        <family val="2"/>
        <scheme val="minor"/>
      </rPr>
      <t xml:space="preserve"> - Absent - Legal or judicial requirement
</t>
    </r>
    <r>
      <rPr>
        <b/>
        <sz val="11"/>
        <color theme="1"/>
        <rFont val="Calibri"/>
        <family val="2"/>
        <scheme val="minor"/>
      </rPr>
      <t>13293</t>
    </r>
    <r>
      <rPr>
        <sz val="11"/>
        <color theme="1"/>
        <rFont val="Calibri"/>
        <family val="2"/>
        <scheme val="minor"/>
      </rPr>
      <t xml:space="preserve"> - Absent - Noninstructional activity recognized by state or school
</t>
    </r>
    <r>
      <rPr>
        <b/>
        <sz val="11"/>
        <color theme="1"/>
        <rFont val="Calibri"/>
        <family val="2"/>
        <scheme val="minor"/>
      </rPr>
      <t>13294</t>
    </r>
    <r>
      <rPr>
        <sz val="11"/>
        <color theme="1"/>
        <rFont val="Calibri"/>
        <family val="2"/>
        <scheme val="minor"/>
      </rPr>
      <t xml:space="preserve"> - Absent - Religious observation
</t>
    </r>
    <r>
      <rPr>
        <b/>
        <sz val="11"/>
        <color theme="1"/>
        <rFont val="Calibri"/>
        <family val="2"/>
        <scheme val="minor"/>
      </rPr>
      <t>13303</t>
    </r>
    <r>
      <rPr>
        <sz val="11"/>
        <color theme="1"/>
        <rFont val="Calibri"/>
        <family val="2"/>
        <scheme val="minor"/>
      </rPr>
      <t xml:space="preserve"> - Absent - Situation unknown
</t>
    </r>
    <r>
      <rPr>
        <b/>
        <sz val="11"/>
        <color theme="1"/>
        <rFont val="Calibri"/>
        <family val="2"/>
        <scheme val="minor"/>
      </rPr>
      <t>13300</t>
    </r>
    <r>
      <rPr>
        <sz val="11"/>
        <color theme="1"/>
        <rFont val="Calibri"/>
        <family val="2"/>
        <scheme val="minor"/>
      </rPr>
      <t xml:space="preserve"> - Absent - Student employment
</t>
    </r>
    <r>
      <rPr>
        <b/>
        <sz val="11"/>
        <color theme="1"/>
        <rFont val="Calibri"/>
        <family val="2"/>
        <scheme val="minor"/>
      </rPr>
      <t>13302</t>
    </r>
    <r>
      <rPr>
        <sz val="11"/>
        <color theme="1"/>
        <rFont val="Calibri"/>
        <family val="2"/>
        <scheme val="minor"/>
      </rPr>
      <t xml:space="preserve"> - Absent - Student is skipping school
</t>
    </r>
    <r>
      <rPr>
        <b/>
        <sz val="11"/>
        <color theme="1"/>
        <rFont val="Calibri"/>
        <family val="2"/>
        <scheme val="minor"/>
      </rPr>
      <t>13301</t>
    </r>
    <r>
      <rPr>
        <sz val="11"/>
        <color theme="1"/>
        <rFont val="Calibri"/>
        <family val="2"/>
        <scheme val="minor"/>
      </rPr>
      <t xml:space="preserve"> - Absent - Transportation not available
</t>
    </r>
  </si>
  <si>
    <r>
      <t>01</t>
    </r>
    <r>
      <rPr>
        <sz val="11"/>
        <color theme="1"/>
        <rFont val="Calibri"/>
        <family val="2"/>
        <scheme val="minor"/>
      </rPr>
      <t xml:space="preserve"> - Postsecondary award, certificate, or diploma of less than 1 academic year
</t>
    </r>
    <r>
      <rPr>
        <b/>
        <sz val="11"/>
        <color theme="1"/>
        <rFont val="Calibri"/>
        <family val="2"/>
        <scheme val="minor"/>
      </rPr>
      <t>02</t>
    </r>
    <r>
      <rPr>
        <sz val="11"/>
        <color theme="1"/>
        <rFont val="Calibri"/>
        <family val="2"/>
        <scheme val="minor"/>
      </rPr>
      <t xml:space="preserve"> - Postsecondary award, certificate, or diploma of at least 1 but less than 2 academic years
</t>
    </r>
    <r>
      <rPr>
        <b/>
        <sz val="11"/>
        <color theme="1"/>
        <rFont val="Calibri"/>
        <family val="2"/>
        <scheme val="minor"/>
      </rPr>
      <t>03</t>
    </r>
    <r>
      <rPr>
        <sz val="11"/>
        <color theme="1"/>
        <rFont val="Calibri"/>
        <family val="2"/>
        <scheme val="minor"/>
      </rPr>
      <t xml:space="preserve"> - Associate's Degree
</t>
    </r>
    <r>
      <rPr>
        <b/>
        <sz val="11"/>
        <color theme="1"/>
        <rFont val="Calibri"/>
        <family val="2"/>
        <scheme val="minor"/>
      </rPr>
      <t>04</t>
    </r>
    <r>
      <rPr>
        <sz val="11"/>
        <color theme="1"/>
        <rFont val="Calibri"/>
        <family val="2"/>
        <scheme val="minor"/>
      </rPr>
      <t xml:space="preserve"> - Postsecondary award, certificate, or diploma of at least 2 but less than 4 academic years
</t>
    </r>
    <r>
      <rPr>
        <b/>
        <sz val="11"/>
        <color theme="1"/>
        <rFont val="Calibri"/>
        <family val="2"/>
        <scheme val="minor"/>
      </rPr>
      <t>05</t>
    </r>
    <r>
      <rPr>
        <sz val="11"/>
        <color theme="1"/>
        <rFont val="Calibri"/>
        <family val="2"/>
        <scheme val="minor"/>
      </rPr>
      <t xml:space="preserve"> - Bachelor's Degree
</t>
    </r>
    <r>
      <rPr>
        <b/>
        <sz val="11"/>
        <color theme="1"/>
        <rFont val="Calibri"/>
        <family val="2"/>
        <scheme val="minor"/>
      </rPr>
      <t>06</t>
    </r>
    <r>
      <rPr>
        <sz val="11"/>
        <color theme="1"/>
        <rFont val="Calibri"/>
        <family val="2"/>
        <scheme val="minor"/>
      </rPr>
      <t xml:space="preserve"> - Postbaccalaureate Certificate
</t>
    </r>
    <r>
      <rPr>
        <b/>
        <sz val="11"/>
        <color theme="1"/>
        <rFont val="Calibri"/>
        <family val="2"/>
        <scheme val="minor"/>
      </rPr>
      <t>07</t>
    </r>
    <r>
      <rPr>
        <sz val="11"/>
        <color theme="1"/>
        <rFont val="Calibri"/>
        <family val="2"/>
        <scheme val="minor"/>
      </rPr>
      <t xml:space="preserve"> - Master's Degree
</t>
    </r>
    <r>
      <rPr>
        <b/>
        <sz val="11"/>
        <color theme="1"/>
        <rFont val="Calibri"/>
        <family val="2"/>
        <scheme val="minor"/>
      </rPr>
      <t>08</t>
    </r>
    <r>
      <rPr>
        <sz val="11"/>
        <color theme="1"/>
        <rFont val="Calibri"/>
        <family val="2"/>
        <scheme val="minor"/>
      </rPr>
      <t xml:space="preserve"> - Post-Master's Certificate
</t>
    </r>
    <r>
      <rPr>
        <b/>
        <sz val="11"/>
        <color theme="1"/>
        <rFont val="Calibri"/>
        <family val="2"/>
        <scheme val="minor"/>
      </rPr>
      <t>17</t>
    </r>
    <r>
      <rPr>
        <sz val="11"/>
        <color theme="1"/>
        <rFont val="Calibri"/>
        <family val="2"/>
        <scheme val="minor"/>
      </rPr>
      <t xml:space="preserve"> - Doctor's Degree-Research/Scholarship
</t>
    </r>
    <r>
      <rPr>
        <b/>
        <sz val="11"/>
        <color theme="1"/>
        <rFont val="Calibri"/>
        <family val="2"/>
        <scheme val="minor"/>
      </rPr>
      <t>18</t>
    </r>
    <r>
      <rPr>
        <sz val="11"/>
        <color theme="1"/>
        <rFont val="Calibri"/>
        <family val="2"/>
        <scheme val="minor"/>
      </rPr>
      <t xml:space="preserve"> - Doctor's Degree-Professional Practice
</t>
    </r>
    <r>
      <rPr>
        <b/>
        <sz val="11"/>
        <color theme="1"/>
        <rFont val="Calibri"/>
        <family val="2"/>
        <scheme val="minor"/>
      </rPr>
      <t>19</t>
    </r>
    <r>
      <rPr>
        <sz val="11"/>
        <color theme="1"/>
        <rFont val="Calibri"/>
        <family val="2"/>
        <scheme val="minor"/>
      </rPr>
      <t xml:space="preserve"> - Doctor's Degree-Other
</t>
    </r>
  </si>
  <si>
    <r>
      <t>01985</t>
    </r>
    <r>
      <rPr>
        <sz val="11"/>
        <color theme="1"/>
        <rFont val="Calibri"/>
        <family val="2"/>
        <scheme val="minor"/>
      </rPr>
      <t xml:space="preserve"> - Honor roll
</t>
    </r>
    <r>
      <rPr>
        <b/>
        <sz val="11"/>
        <color theme="1"/>
        <rFont val="Calibri"/>
        <family val="2"/>
        <scheme val="minor"/>
      </rPr>
      <t>01986</t>
    </r>
    <r>
      <rPr>
        <sz val="11"/>
        <color theme="1"/>
        <rFont val="Calibri"/>
        <family val="2"/>
        <scheme val="minor"/>
      </rPr>
      <t xml:space="preserve"> - Honor society
</t>
    </r>
    <r>
      <rPr>
        <b/>
        <sz val="11"/>
        <color theme="1"/>
        <rFont val="Calibri"/>
        <family val="2"/>
        <scheme val="minor"/>
      </rPr>
      <t>01987</t>
    </r>
    <r>
      <rPr>
        <sz val="11"/>
        <color theme="1"/>
        <rFont val="Calibri"/>
        <family val="2"/>
        <scheme val="minor"/>
      </rPr>
      <t xml:space="preserve"> - Honorable mention
</t>
    </r>
    <r>
      <rPr>
        <b/>
        <sz val="11"/>
        <color theme="1"/>
        <rFont val="Calibri"/>
        <family val="2"/>
        <scheme val="minor"/>
      </rPr>
      <t>01988</t>
    </r>
    <r>
      <rPr>
        <sz val="11"/>
        <color theme="1"/>
        <rFont val="Calibri"/>
        <family val="2"/>
        <scheme val="minor"/>
      </rPr>
      <t xml:space="preserve"> - Honors program
</t>
    </r>
    <r>
      <rPr>
        <b/>
        <sz val="11"/>
        <color theme="1"/>
        <rFont val="Calibri"/>
        <family val="2"/>
        <scheme val="minor"/>
      </rPr>
      <t>73064</t>
    </r>
    <r>
      <rPr>
        <sz val="11"/>
        <color theme="1"/>
        <rFont val="Calibri"/>
        <family val="2"/>
        <scheme val="minor"/>
      </rPr>
      <t xml:space="preserve"> - National Technical Education Honor Society
</t>
    </r>
    <r>
      <rPr>
        <b/>
        <sz val="11"/>
        <color theme="1"/>
        <rFont val="Calibri"/>
        <family val="2"/>
        <scheme val="minor"/>
      </rPr>
      <t>01989</t>
    </r>
    <r>
      <rPr>
        <sz val="11"/>
        <color theme="1"/>
        <rFont val="Calibri"/>
        <family val="2"/>
        <scheme val="minor"/>
      </rPr>
      <t xml:space="preserve"> - Prize awards
</t>
    </r>
    <r>
      <rPr>
        <b/>
        <sz val="11"/>
        <color theme="1"/>
        <rFont val="Calibri"/>
        <family val="2"/>
        <scheme val="minor"/>
      </rPr>
      <t>01991</t>
    </r>
    <r>
      <rPr>
        <sz val="11"/>
        <color theme="1"/>
        <rFont val="Calibri"/>
        <family val="2"/>
        <scheme val="minor"/>
      </rPr>
      <t xml:space="preserve"> - Scholarships
</t>
    </r>
    <r>
      <rPr>
        <b/>
        <sz val="11"/>
        <color theme="1"/>
        <rFont val="Calibri"/>
        <family val="2"/>
        <scheme val="minor"/>
      </rPr>
      <t>00738</t>
    </r>
    <r>
      <rPr>
        <sz val="11"/>
        <color theme="1"/>
        <rFont val="Calibri"/>
        <family val="2"/>
        <scheme val="minor"/>
      </rPr>
      <t xml:space="preserve"> - Awarding of units of value
</t>
    </r>
    <r>
      <rPr>
        <b/>
        <sz val="11"/>
        <color theme="1"/>
        <rFont val="Calibri"/>
        <family val="2"/>
        <scheme val="minor"/>
      </rPr>
      <t>00740</t>
    </r>
    <r>
      <rPr>
        <sz val="11"/>
        <color theme="1"/>
        <rFont val="Calibri"/>
        <family val="2"/>
        <scheme val="minor"/>
      </rPr>
      <t xml:space="preserve"> - Citizenship award/recognition
</t>
    </r>
    <r>
      <rPr>
        <b/>
        <sz val="11"/>
        <color theme="1"/>
        <rFont val="Calibri"/>
        <family val="2"/>
        <scheme val="minor"/>
      </rPr>
      <t>00741</t>
    </r>
    <r>
      <rPr>
        <sz val="11"/>
        <color theme="1"/>
        <rFont val="Calibri"/>
        <family val="2"/>
        <scheme val="minor"/>
      </rPr>
      <t xml:space="preserve"> - Completion of requirement, but no units of value awarded
</t>
    </r>
    <r>
      <rPr>
        <b/>
        <sz val="11"/>
        <color theme="1"/>
        <rFont val="Calibri"/>
        <family val="2"/>
        <scheme val="minor"/>
      </rPr>
      <t>08692</t>
    </r>
    <r>
      <rPr>
        <sz val="11"/>
        <color theme="1"/>
        <rFont val="Calibri"/>
        <family val="2"/>
        <scheme val="minor"/>
      </rPr>
      <t xml:space="preserve"> - Attendance award
</t>
    </r>
    <r>
      <rPr>
        <b/>
        <sz val="11"/>
        <color theme="1"/>
        <rFont val="Calibri"/>
        <family val="2"/>
        <scheme val="minor"/>
      </rPr>
      <t>00742</t>
    </r>
    <r>
      <rPr>
        <sz val="11"/>
        <color theme="1"/>
        <rFont val="Calibri"/>
        <family val="2"/>
        <scheme val="minor"/>
      </rPr>
      <t xml:space="preserve"> - Certificate
</t>
    </r>
    <r>
      <rPr>
        <b/>
        <sz val="11"/>
        <color theme="1"/>
        <rFont val="Calibri"/>
        <family val="2"/>
        <scheme val="minor"/>
      </rPr>
      <t>02047</t>
    </r>
    <r>
      <rPr>
        <sz val="11"/>
        <color theme="1"/>
        <rFont val="Calibri"/>
        <family val="2"/>
        <scheme val="minor"/>
      </rPr>
      <t xml:space="preserve"> - Honor award
</t>
    </r>
    <r>
      <rPr>
        <b/>
        <sz val="11"/>
        <color theme="1"/>
        <rFont val="Calibri"/>
        <family val="2"/>
        <scheme val="minor"/>
      </rPr>
      <t>00744</t>
    </r>
    <r>
      <rPr>
        <sz val="11"/>
        <color theme="1"/>
        <rFont val="Calibri"/>
        <family val="2"/>
        <scheme val="minor"/>
      </rPr>
      <t xml:space="preserve"> - Letter of student commendation
</t>
    </r>
    <r>
      <rPr>
        <b/>
        <sz val="11"/>
        <color theme="1"/>
        <rFont val="Calibri"/>
        <family val="2"/>
        <scheme val="minor"/>
      </rPr>
      <t>00745</t>
    </r>
    <r>
      <rPr>
        <sz val="11"/>
        <color theme="1"/>
        <rFont val="Calibri"/>
        <family val="2"/>
        <scheme val="minor"/>
      </rPr>
      <t xml:space="preserve"> - Medals
</t>
    </r>
    <r>
      <rPr>
        <b/>
        <sz val="11"/>
        <color theme="1"/>
        <rFont val="Calibri"/>
        <family val="2"/>
        <scheme val="minor"/>
      </rPr>
      <t>08693</t>
    </r>
    <r>
      <rPr>
        <sz val="11"/>
        <color theme="1"/>
        <rFont val="Calibri"/>
        <family val="2"/>
        <scheme val="minor"/>
      </rPr>
      <t xml:space="preserve"> - National Merit scholar
</t>
    </r>
    <r>
      <rPr>
        <b/>
        <sz val="11"/>
        <color theme="1"/>
        <rFont val="Calibri"/>
        <family val="2"/>
        <scheme val="minor"/>
      </rPr>
      <t>00747</t>
    </r>
    <r>
      <rPr>
        <sz val="11"/>
        <color theme="1"/>
        <rFont val="Calibri"/>
        <family val="2"/>
        <scheme val="minor"/>
      </rPr>
      <t xml:space="preserve"> - Points
</t>
    </r>
    <r>
      <rPr>
        <b/>
        <sz val="11"/>
        <color theme="1"/>
        <rFont val="Calibri"/>
        <family val="2"/>
        <scheme val="minor"/>
      </rPr>
      <t>00748</t>
    </r>
    <r>
      <rPr>
        <sz val="11"/>
        <color theme="1"/>
        <rFont val="Calibri"/>
        <family val="2"/>
        <scheme val="minor"/>
      </rPr>
      <t xml:space="preserve"> - Promotion or advancement
</t>
    </r>
    <r>
      <rPr>
        <b/>
        <sz val="11"/>
        <color theme="1"/>
        <rFont val="Calibri"/>
        <family val="2"/>
        <scheme val="minor"/>
      </rPr>
      <t>09999</t>
    </r>
    <r>
      <rPr>
        <sz val="11"/>
        <color theme="1"/>
        <rFont val="Calibri"/>
        <family val="2"/>
        <scheme val="minor"/>
      </rPr>
      <t xml:space="preserve"> - Other
</t>
    </r>
  </si>
  <si>
    <r>
      <t>Professor</t>
    </r>
    <r>
      <rPr>
        <sz val="11"/>
        <color theme="1"/>
        <rFont val="Calibri"/>
        <family val="2"/>
        <scheme val="minor"/>
      </rPr>
      <t xml:space="preserve"> - Professor
</t>
    </r>
    <r>
      <rPr>
        <b/>
        <sz val="11"/>
        <color theme="1"/>
        <rFont val="Calibri"/>
        <family val="2"/>
        <scheme val="minor"/>
      </rPr>
      <t>AssociateProfessor</t>
    </r>
    <r>
      <rPr>
        <sz val="11"/>
        <color theme="1"/>
        <rFont val="Calibri"/>
        <family val="2"/>
        <scheme val="minor"/>
      </rPr>
      <t xml:space="preserve"> - Associate Professor
</t>
    </r>
    <r>
      <rPr>
        <b/>
        <sz val="11"/>
        <color theme="1"/>
        <rFont val="Calibri"/>
        <family val="2"/>
        <scheme val="minor"/>
      </rPr>
      <t>AssistantProfessor</t>
    </r>
    <r>
      <rPr>
        <sz val="11"/>
        <color theme="1"/>
        <rFont val="Calibri"/>
        <family val="2"/>
        <scheme val="minor"/>
      </rPr>
      <t xml:space="preserve"> - Assistant Professor
</t>
    </r>
    <r>
      <rPr>
        <b/>
        <sz val="11"/>
        <color theme="1"/>
        <rFont val="Calibri"/>
        <family val="2"/>
        <scheme val="minor"/>
      </rPr>
      <t>Instructor</t>
    </r>
    <r>
      <rPr>
        <sz val="11"/>
        <color theme="1"/>
        <rFont val="Calibri"/>
        <family val="2"/>
        <scheme val="minor"/>
      </rPr>
      <t xml:space="preserve"> - Instructor
</t>
    </r>
    <r>
      <rPr>
        <b/>
        <sz val="11"/>
        <color theme="1"/>
        <rFont val="Calibri"/>
        <family val="2"/>
        <scheme val="minor"/>
      </rPr>
      <t>Lecturer</t>
    </r>
    <r>
      <rPr>
        <sz val="11"/>
        <color theme="1"/>
        <rFont val="Calibri"/>
        <family val="2"/>
        <scheme val="minor"/>
      </rPr>
      <t xml:space="preserve"> - Lecturer
</t>
    </r>
    <r>
      <rPr>
        <b/>
        <sz val="11"/>
        <color theme="1"/>
        <rFont val="Calibri"/>
        <family val="2"/>
        <scheme val="minor"/>
      </rPr>
      <t>NoAcademicRank</t>
    </r>
    <r>
      <rPr>
        <sz val="11"/>
        <color theme="1"/>
        <rFont val="Calibri"/>
        <family val="2"/>
        <scheme val="minor"/>
      </rPr>
      <t xml:space="preserve"> - No Academic Rank
</t>
    </r>
  </si>
  <si>
    <r>
      <t>Fall</t>
    </r>
    <r>
      <rPr>
        <sz val="11"/>
        <color theme="1"/>
        <rFont val="Calibri"/>
        <family val="2"/>
        <scheme val="minor"/>
      </rPr>
      <t xml:space="preserve"> - Fall
</t>
    </r>
    <r>
      <rPr>
        <b/>
        <sz val="11"/>
        <color theme="1"/>
        <rFont val="Calibri"/>
        <family val="2"/>
        <scheme val="minor"/>
      </rPr>
      <t>Winter</t>
    </r>
    <r>
      <rPr>
        <sz val="11"/>
        <color theme="1"/>
        <rFont val="Calibri"/>
        <family val="2"/>
        <scheme val="minor"/>
      </rPr>
      <t xml:space="preserve"> - Winter
</t>
    </r>
    <r>
      <rPr>
        <b/>
        <sz val="11"/>
        <color theme="1"/>
        <rFont val="Calibri"/>
        <family val="2"/>
        <scheme val="minor"/>
      </rPr>
      <t>WinterIntersession</t>
    </r>
    <r>
      <rPr>
        <sz val="11"/>
        <color theme="1"/>
        <rFont val="Calibri"/>
        <family val="2"/>
        <scheme val="minor"/>
      </rPr>
      <t xml:space="preserve"> - Winter Intersession
</t>
    </r>
    <r>
      <rPr>
        <b/>
        <sz val="11"/>
        <color theme="1"/>
        <rFont val="Calibri"/>
        <family val="2"/>
        <scheme val="minor"/>
      </rPr>
      <t>Spring</t>
    </r>
    <r>
      <rPr>
        <sz val="11"/>
        <color theme="1"/>
        <rFont val="Calibri"/>
        <family val="2"/>
        <scheme val="minor"/>
      </rPr>
      <t xml:space="preserve"> - Spring
</t>
    </r>
    <r>
      <rPr>
        <b/>
        <sz val="11"/>
        <color theme="1"/>
        <rFont val="Calibri"/>
        <family val="2"/>
        <scheme val="minor"/>
      </rPr>
      <t>Summer</t>
    </r>
    <r>
      <rPr>
        <sz val="11"/>
        <color theme="1"/>
        <rFont val="Calibri"/>
        <family val="2"/>
        <scheme val="minor"/>
      </rPr>
      <t xml:space="preserve"> - Summer
</t>
    </r>
    <r>
      <rPr>
        <b/>
        <sz val="11"/>
        <color theme="1"/>
        <rFont val="Calibri"/>
        <family val="2"/>
        <scheme val="minor"/>
      </rPr>
      <t>Summer1</t>
    </r>
    <r>
      <rPr>
        <sz val="11"/>
        <color theme="1"/>
        <rFont val="Calibri"/>
        <family val="2"/>
        <scheme val="minor"/>
      </rPr>
      <t xml:space="preserve"> - Summer 1
</t>
    </r>
    <r>
      <rPr>
        <b/>
        <sz val="11"/>
        <color theme="1"/>
        <rFont val="Calibri"/>
        <family val="2"/>
        <scheme val="minor"/>
      </rPr>
      <t>Summer2</t>
    </r>
    <r>
      <rPr>
        <sz val="11"/>
        <color theme="1"/>
        <rFont val="Calibri"/>
        <family val="2"/>
        <scheme val="minor"/>
      </rPr>
      <t xml:space="preserve"> - Summer 2
</t>
    </r>
    <r>
      <rPr>
        <b/>
        <sz val="11"/>
        <color theme="1"/>
        <rFont val="Calibri"/>
        <family val="2"/>
        <scheme val="minor"/>
      </rPr>
      <t>SpringIntersession</t>
    </r>
    <r>
      <rPr>
        <sz val="11"/>
        <color theme="1"/>
        <rFont val="Calibri"/>
        <family val="2"/>
        <scheme val="minor"/>
      </rPr>
      <t xml:space="preserve"> - Spring Intersession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</si>
  <si>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Materials in Braille
</t>
    </r>
    <r>
      <rPr>
        <b/>
        <sz val="11"/>
        <color theme="1"/>
        <rFont val="Calibri"/>
        <family val="2"/>
        <scheme val="minor"/>
      </rPr>
      <t>02</t>
    </r>
    <r>
      <rPr>
        <sz val="11"/>
        <color theme="1"/>
        <rFont val="Calibri"/>
        <family val="2"/>
        <scheme val="minor"/>
      </rPr>
      <t xml:space="preserve"> - Closed caption decoder
</t>
    </r>
    <r>
      <rPr>
        <b/>
        <sz val="11"/>
        <color theme="1"/>
        <rFont val="Calibri"/>
        <family val="2"/>
        <scheme val="minor"/>
      </rPr>
      <t>03</t>
    </r>
    <r>
      <rPr>
        <sz val="11"/>
        <color theme="1"/>
        <rFont val="Calibri"/>
        <family val="2"/>
        <scheme val="minor"/>
      </rPr>
      <t xml:space="preserve"> - Computer-based instruction or other assistive technological devices
</t>
    </r>
    <r>
      <rPr>
        <b/>
        <sz val="11"/>
        <color theme="1"/>
        <rFont val="Calibri"/>
        <family val="2"/>
        <scheme val="minor"/>
      </rPr>
      <t>04</t>
    </r>
    <r>
      <rPr>
        <sz val="11"/>
        <color theme="1"/>
        <rFont val="Calibri"/>
        <family val="2"/>
        <scheme val="minor"/>
      </rPr>
      <t xml:space="preserve"> - Listening devices
</t>
    </r>
    <r>
      <rPr>
        <b/>
        <sz val="11"/>
        <color theme="1"/>
        <rFont val="Calibri"/>
        <family val="2"/>
        <scheme val="minor"/>
      </rPr>
      <t>05</t>
    </r>
    <r>
      <rPr>
        <sz val="11"/>
        <color theme="1"/>
        <rFont val="Calibri"/>
        <family val="2"/>
        <scheme val="minor"/>
      </rPr>
      <t xml:space="preserve"> - Low vision readers
</t>
    </r>
    <r>
      <rPr>
        <b/>
        <sz val="11"/>
        <color theme="1"/>
        <rFont val="Calibri"/>
        <family val="2"/>
        <scheme val="minor"/>
      </rPr>
      <t>06</t>
    </r>
    <r>
      <rPr>
        <sz val="11"/>
        <color theme="1"/>
        <rFont val="Calibri"/>
        <family val="2"/>
        <scheme val="minor"/>
      </rPr>
      <t xml:space="preserve"> - Notetakers
</t>
    </r>
    <r>
      <rPr>
        <b/>
        <sz val="11"/>
        <color theme="1"/>
        <rFont val="Calibri"/>
        <family val="2"/>
        <scheme val="minor"/>
      </rPr>
      <t>07</t>
    </r>
    <r>
      <rPr>
        <sz val="11"/>
        <color theme="1"/>
        <rFont val="Calibri"/>
        <family val="2"/>
        <scheme val="minor"/>
      </rPr>
      <t xml:space="preserve"> - Readers
</t>
    </r>
    <r>
      <rPr>
        <b/>
        <sz val="11"/>
        <color theme="1"/>
        <rFont val="Calibri"/>
        <family val="2"/>
        <scheme val="minor"/>
      </rPr>
      <t>08</t>
    </r>
    <r>
      <rPr>
        <sz val="11"/>
        <color theme="1"/>
        <rFont val="Calibri"/>
        <family val="2"/>
        <scheme val="minor"/>
      </rPr>
      <t xml:space="preserve"> - Sign language interpreters
</t>
    </r>
    <r>
      <rPr>
        <b/>
        <sz val="11"/>
        <color theme="1"/>
        <rFont val="Calibri"/>
        <family val="2"/>
        <scheme val="minor"/>
      </rPr>
      <t>09</t>
    </r>
    <r>
      <rPr>
        <sz val="11"/>
        <color theme="1"/>
        <rFont val="Calibri"/>
        <family val="2"/>
        <scheme val="minor"/>
      </rPr>
      <t xml:space="preserve"> - Special housing accommodations
</t>
    </r>
    <r>
      <rPr>
        <b/>
        <sz val="11"/>
        <color theme="1"/>
        <rFont val="Calibri"/>
        <family val="2"/>
        <scheme val="minor"/>
      </rPr>
      <t>10</t>
    </r>
    <r>
      <rPr>
        <sz val="11"/>
        <color theme="1"/>
        <rFont val="Calibri"/>
        <family val="2"/>
        <scheme val="minor"/>
      </rPr>
      <t xml:space="preserve"> - Recorded text
</t>
    </r>
    <r>
      <rPr>
        <b/>
        <sz val="11"/>
        <color theme="1"/>
        <rFont val="Calibri"/>
        <family val="2"/>
        <scheme val="minor"/>
      </rPr>
      <t>11</t>
    </r>
    <r>
      <rPr>
        <sz val="11"/>
        <color theme="1"/>
        <rFont val="Calibri"/>
        <family val="2"/>
        <scheme val="minor"/>
      </rPr>
      <t xml:space="preserve"> - Telecommunication Devices (TDDs) for Hearing Impaired
</t>
    </r>
    <r>
      <rPr>
        <b/>
        <sz val="11"/>
        <color theme="1"/>
        <rFont val="Calibri"/>
        <family val="2"/>
        <scheme val="minor"/>
      </rPr>
      <t>12</t>
    </r>
    <r>
      <rPr>
        <sz val="11"/>
        <color theme="1"/>
        <rFont val="Calibri"/>
        <family val="2"/>
        <scheme val="minor"/>
      </rPr>
      <t xml:space="preserve"> - Telephone handset amplifiers
</t>
    </r>
    <r>
      <rPr>
        <b/>
        <sz val="11"/>
        <color theme="1"/>
        <rFont val="Calibri"/>
        <family val="2"/>
        <scheme val="minor"/>
      </rPr>
      <t>13</t>
    </r>
    <r>
      <rPr>
        <sz val="11"/>
        <color theme="1"/>
        <rFont val="Calibri"/>
        <family val="2"/>
        <scheme val="minor"/>
      </rPr>
      <t xml:space="preserve"> - Test assistants
</t>
    </r>
    <r>
      <rPr>
        <b/>
        <sz val="11"/>
        <color theme="1"/>
        <rFont val="Calibri"/>
        <family val="2"/>
        <scheme val="minor"/>
      </rPr>
      <t>14</t>
    </r>
    <r>
      <rPr>
        <sz val="11"/>
        <color theme="1"/>
        <rFont val="Calibri"/>
        <family val="2"/>
        <scheme val="minor"/>
      </rPr>
      <t xml:space="preserve"> - Test modifications
</t>
    </r>
    <r>
      <rPr>
        <b/>
        <sz val="11"/>
        <color theme="1"/>
        <rFont val="Calibri"/>
        <family val="2"/>
        <scheme val="minor"/>
      </rPr>
      <t>15</t>
    </r>
    <r>
      <rPr>
        <sz val="11"/>
        <color theme="1"/>
        <rFont val="Calibri"/>
        <family val="2"/>
        <scheme val="minor"/>
      </rPr>
      <t xml:space="preserve"> - Transportation services (e.g., handicapped parking spaces)
</t>
    </r>
    <r>
      <rPr>
        <b/>
        <sz val="11"/>
        <color theme="1"/>
        <rFont val="Calibri"/>
        <family val="2"/>
        <scheme val="minor"/>
      </rPr>
      <t>16</t>
    </r>
    <r>
      <rPr>
        <sz val="11"/>
        <color theme="1"/>
        <rFont val="Calibri"/>
        <family val="2"/>
        <scheme val="minor"/>
      </rPr>
      <t xml:space="preserve"> - Tutors
</t>
    </r>
    <r>
      <rPr>
        <b/>
        <sz val="11"/>
        <color theme="1"/>
        <rFont val="Calibri"/>
        <family val="2"/>
        <scheme val="minor"/>
      </rPr>
      <t>17</t>
    </r>
    <r>
      <rPr>
        <sz val="11"/>
        <color theme="1"/>
        <rFont val="Calibri"/>
        <family val="2"/>
        <scheme val="minor"/>
      </rPr>
      <t xml:space="preserve"> - Voice synthesizer speech programs, equipment
</t>
    </r>
    <r>
      <rPr>
        <b/>
        <sz val="11"/>
        <color theme="1"/>
        <rFont val="Calibri"/>
        <family val="2"/>
        <scheme val="minor"/>
      </rPr>
      <t>18</t>
    </r>
    <r>
      <rPr>
        <sz val="11"/>
        <color theme="1"/>
        <rFont val="Calibri"/>
        <family val="2"/>
        <scheme val="minor"/>
      </rPr>
      <t xml:space="preserve"> - Wheel chair accessibility
</t>
    </r>
    <r>
      <rPr>
        <b/>
        <sz val="11"/>
        <color theme="1"/>
        <rFont val="Calibri"/>
        <family val="2"/>
        <scheme val="minor"/>
      </rPr>
      <t>19</t>
    </r>
    <r>
      <rPr>
        <sz val="11"/>
        <color theme="1"/>
        <rFont val="Calibri"/>
        <family val="2"/>
        <scheme val="minor"/>
      </rPr>
      <t xml:space="preserve"> - Wheel chair
</t>
    </r>
    <r>
      <rPr>
        <b/>
        <sz val="11"/>
        <color theme="1"/>
        <rFont val="Calibri"/>
        <family val="2"/>
        <scheme val="minor"/>
      </rPr>
      <t>99</t>
    </r>
    <r>
      <rPr>
        <sz val="11"/>
        <color theme="1"/>
        <rFont val="Calibri"/>
        <family val="2"/>
        <scheme val="minor"/>
      </rPr>
      <t xml:space="preserve"> - Other type of accommodation
</t>
    </r>
  </si>
  <si>
    <r>
      <t>NAEYC</t>
    </r>
    <r>
      <rPr>
        <sz val="11"/>
        <color theme="1"/>
        <rFont val="Calibri"/>
        <family val="2"/>
        <scheme val="minor"/>
      </rPr>
      <t xml:space="preserve"> - National Association for the Education of Young Children
</t>
    </r>
    <r>
      <rPr>
        <b/>
        <sz val="11"/>
        <color theme="1"/>
        <rFont val="Calibri"/>
        <family val="2"/>
        <scheme val="minor"/>
      </rPr>
      <t>NECPA</t>
    </r>
    <r>
      <rPr>
        <sz val="11"/>
        <color theme="1"/>
        <rFont val="Calibri"/>
        <family val="2"/>
        <scheme val="minor"/>
      </rPr>
      <t xml:space="preserve"> - National Early Childhood Program Accreditation
</t>
    </r>
    <r>
      <rPr>
        <b/>
        <sz val="11"/>
        <color theme="1"/>
        <rFont val="Calibri"/>
        <family val="2"/>
        <scheme val="minor"/>
      </rPr>
      <t>NAC</t>
    </r>
    <r>
      <rPr>
        <sz val="11"/>
        <color theme="1"/>
        <rFont val="Calibri"/>
        <family val="2"/>
        <scheme val="minor"/>
      </rPr>
      <t xml:space="preserve"> - National Accreditation Commission
</t>
    </r>
    <r>
      <rPr>
        <b/>
        <sz val="11"/>
        <color theme="1"/>
        <rFont val="Calibri"/>
        <family val="2"/>
        <scheme val="minor"/>
      </rPr>
      <t>COA</t>
    </r>
    <r>
      <rPr>
        <sz val="11"/>
        <color theme="1"/>
        <rFont val="Calibri"/>
        <family val="2"/>
        <scheme val="minor"/>
      </rPr>
      <t xml:space="preserve"> - Council on Accreditation
</t>
    </r>
    <r>
      <rPr>
        <b/>
        <sz val="11"/>
        <color theme="1"/>
        <rFont val="Calibri"/>
        <family val="2"/>
        <scheme val="minor"/>
      </rPr>
      <t>NAFCC</t>
    </r>
    <r>
      <rPr>
        <sz val="11"/>
        <color theme="1"/>
        <rFont val="Calibri"/>
        <family val="2"/>
        <scheme val="minor"/>
      </rPr>
      <t xml:space="preserve"> - National Association for Family Child Care
</t>
    </r>
    <r>
      <rPr>
        <b/>
        <sz val="11"/>
        <color theme="1"/>
        <rFont val="Calibri"/>
        <family val="2"/>
        <scheme val="minor"/>
      </rPr>
      <t>SACS</t>
    </r>
    <r>
      <rPr>
        <sz val="11"/>
        <color theme="1"/>
        <rFont val="Calibri"/>
        <family val="2"/>
        <scheme val="minor"/>
      </rPr>
      <t xml:space="preserve"> - Southern Association of Colleges and Schools
</t>
    </r>
    <r>
      <rPr>
        <b/>
        <sz val="11"/>
        <color theme="1"/>
        <rFont val="Calibri"/>
        <family val="2"/>
        <scheme val="minor"/>
      </rPr>
      <t>NotAccredited</t>
    </r>
    <r>
      <rPr>
        <sz val="11"/>
        <color theme="1"/>
        <rFont val="Calibri"/>
        <family val="2"/>
        <scheme val="minor"/>
      </rPr>
      <t xml:space="preserve"> - Not accredited
</t>
    </r>
    <r>
      <rPr>
        <b/>
        <sz val="11"/>
        <color theme="1"/>
        <rFont val="Calibri"/>
        <family val="2"/>
        <scheme val="minor"/>
      </rPr>
      <t>Other</t>
    </r>
    <r>
      <rPr>
        <sz val="11"/>
        <color theme="1"/>
        <rFont val="Calibri"/>
        <family val="2"/>
        <scheme val="minor"/>
      </rPr>
      <t xml:space="preserve"> - Other Accreditation Agency
</t>
    </r>
  </si>
  <si>
    <r>
      <t>AdvancedPlacement</t>
    </r>
    <r>
      <rPr>
        <sz val="11"/>
        <color theme="1"/>
        <rFont val="Calibri"/>
        <family val="2"/>
        <scheme val="minor"/>
      </rPr>
      <t xml:space="preserve"> - Advanced Placement
</t>
    </r>
    <r>
      <rPr>
        <b/>
        <sz val="11"/>
        <color theme="1"/>
        <rFont val="Calibri"/>
        <family val="2"/>
        <scheme val="minor"/>
      </rPr>
      <t>ApprenticeshipCredit</t>
    </r>
    <r>
      <rPr>
        <sz val="11"/>
        <color theme="1"/>
        <rFont val="Calibri"/>
        <family val="2"/>
        <scheme val="minor"/>
      </rPr>
      <t xml:space="preserve"> - Apprenticeship Credit
</t>
    </r>
    <r>
      <rPr>
        <b/>
        <sz val="11"/>
        <color theme="1"/>
        <rFont val="Calibri"/>
        <family val="2"/>
        <scheme val="minor"/>
      </rPr>
      <t>CTE</t>
    </r>
    <r>
      <rPr>
        <sz val="11"/>
        <color theme="1"/>
        <rFont val="Calibri"/>
        <family val="2"/>
        <scheme val="minor"/>
      </rPr>
      <t xml:space="preserve"> - Career and Technical Education
</t>
    </r>
    <r>
      <rPr>
        <b/>
        <sz val="11"/>
        <color theme="1"/>
        <rFont val="Calibri"/>
        <family val="2"/>
        <scheme val="minor"/>
      </rPr>
      <t>DualCredit</t>
    </r>
    <r>
      <rPr>
        <sz val="11"/>
        <color theme="1"/>
        <rFont val="Calibri"/>
        <family val="2"/>
        <scheme val="minor"/>
      </rPr>
      <t xml:space="preserve"> - Dual credit
</t>
    </r>
    <r>
      <rPr>
        <b/>
        <sz val="11"/>
        <color theme="1"/>
        <rFont val="Calibri"/>
        <family val="2"/>
        <scheme val="minor"/>
      </rPr>
      <t>InternationalBaccalaureate</t>
    </r>
    <r>
      <rPr>
        <sz val="11"/>
        <color theme="1"/>
        <rFont val="Calibri"/>
        <family val="2"/>
        <scheme val="minor"/>
      </rPr>
      <t xml:space="preserve"> - International Baccalaureate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QualifiedAdmission</t>
    </r>
    <r>
      <rPr>
        <sz val="11"/>
        <color theme="1"/>
        <rFont val="Calibri"/>
        <family val="2"/>
        <scheme val="minor"/>
      </rPr>
      <t xml:space="preserve"> - Qualified Admission
</t>
    </r>
    <r>
      <rPr>
        <b/>
        <sz val="11"/>
        <color theme="1"/>
        <rFont val="Calibri"/>
        <family val="2"/>
        <scheme val="minor"/>
      </rPr>
      <t>STEM</t>
    </r>
    <r>
      <rPr>
        <sz val="11"/>
        <color theme="1"/>
        <rFont val="Calibri"/>
        <family val="2"/>
        <scheme val="minor"/>
      </rPr>
      <t xml:space="preserve"> - Science, Technology, Engineering and Mathematics
</t>
    </r>
    <r>
      <rPr>
        <b/>
        <sz val="11"/>
        <color theme="1"/>
        <rFont val="Calibri"/>
        <family val="2"/>
        <scheme val="minor"/>
      </rPr>
      <t>CTEAndAcademic</t>
    </r>
    <r>
      <rPr>
        <sz val="11"/>
        <color theme="1"/>
        <rFont val="Calibri"/>
        <family val="2"/>
        <scheme val="minor"/>
      </rPr>
      <t xml:space="preserve"> - Simultaneous CTE and Academic Credit
</t>
    </r>
    <r>
      <rPr>
        <b/>
        <sz val="11"/>
        <color theme="1"/>
        <rFont val="Calibri"/>
        <family val="2"/>
        <scheme val="minor"/>
      </rPr>
      <t>StateScholarship</t>
    </r>
    <r>
      <rPr>
        <sz val="11"/>
        <color theme="1"/>
        <rFont val="Calibri"/>
        <family val="2"/>
        <scheme val="minor"/>
      </rPr>
      <t xml:space="preserve"> - State Scholarship
</t>
    </r>
  </si>
  <si>
    <r>
      <t>Mailing</t>
    </r>
    <r>
      <rPr>
        <sz val="11"/>
        <color theme="1"/>
        <rFont val="Calibri"/>
        <family val="2"/>
        <scheme val="minor"/>
      </rPr>
      <t xml:space="preserve"> - Mailing
</t>
    </r>
    <r>
      <rPr>
        <b/>
        <sz val="11"/>
        <color theme="1"/>
        <rFont val="Calibri"/>
        <family val="2"/>
        <scheme val="minor"/>
      </rPr>
      <t>Physical</t>
    </r>
    <r>
      <rPr>
        <sz val="11"/>
        <color theme="1"/>
        <rFont val="Calibri"/>
        <family val="2"/>
        <scheme val="minor"/>
      </rPr>
      <t xml:space="preserve"> - Physical
</t>
    </r>
    <r>
      <rPr>
        <b/>
        <sz val="11"/>
        <color theme="1"/>
        <rFont val="Calibri"/>
        <family val="2"/>
        <scheme val="minor"/>
      </rPr>
      <t>Shipping</t>
    </r>
    <r>
      <rPr>
        <sz val="11"/>
        <color theme="1"/>
        <rFont val="Calibri"/>
        <family val="2"/>
        <scheme val="minor"/>
      </rPr>
      <t xml:space="preserve"> - Shipping
</t>
    </r>
    <r>
      <rPr>
        <b/>
        <sz val="11"/>
        <color theme="1"/>
        <rFont val="Calibri"/>
        <family val="2"/>
        <scheme val="minor"/>
      </rPr>
      <t>Billing</t>
    </r>
    <r>
      <rPr>
        <sz val="11"/>
        <color theme="1"/>
        <rFont val="Calibri"/>
        <family val="2"/>
        <scheme val="minor"/>
      </rPr>
      <t xml:space="preserve"> - Billing address
</t>
    </r>
    <r>
      <rPr>
        <b/>
        <sz val="11"/>
        <color theme="1"/>
        <rFont val="Calibri"/>
        <family val="2"/>
        <scheme val="minor"/>
      </rPr>
      <t>OnCampus</t>
    </r>
    <r>
      <rPr>
        <sz val="11"/>
        <color theme="1"/>
        <rFont val="Calibri"/>
        <family val="2"/>
        <scheme val="minor"/>
      </rPr>
      <t xml:space="preserve"> - On campus
</t>
    </r>
    <r>
      <rPr>
        <b/>
        <sz val="11"/>
        <color theme="1"/>
        <rFont val="Calibri"/>
        <family val="2"/>
        <scheme val="minor"/>
      </rPr>
      <t>OffCampus</t>
    </r>
    <r>
      <rPr>
        <sz val="11"/>
        <color theme="1"/>
        <rFont val="Calibri"/>
        <family val="2"/>
        <scheme val="minor"/>
      </rPr>
      <t xml:space="preserve"> - Off-campus, temporary
</t>
    </r>
    <r>
      <rPr>
        <b/>
        <sz val="11"/>
        <color theme="1"/>
        <rFont val="Calibri"/>
        <family val="2"/>
        <scheme val="minor"/>
      </rPr>
      <t>PermanentStudent</t>
    </r>
    <r>
      <rPr>
        <sz val="11"/>
        <color theme="1"/>
        <rFont val="Calibri"/>
        <family val="2"/>
        <scheme val="minor"/>
      </rPr>
      <t xml:space="preserve"> - Permanent, student
</t>
    </r>
    <r>
      <rPr>
        <b/>
        <sz val="11"/>
        <color theme="1"/>
        <rFont val="Calibri"/>
        <family val="2"/>
        <scheme val="minor"/>
      </rPr>
      <t>PermanentAdmission</t>
    </r>
    <r>
      <rPr>
        <sz val="11"/>
        <color theme="1"/>
        <rFont val="Calibri"/>
        <family val="2"/>
        <scheme val="minor"/>
      </rPr>
      <t xml:space="preserve"> - Permanent, at time of admission
</t>
    </r>
    <r>
      <rPr>
        <b/>
        <sz val="11"/>
        <color theme="1"/>
        <rFont val="Calibri"/>
        <family val="2"/>
        <scheme val="minor"/>
      </rPr>
      <t>FatherAddress</t>
    </r>
    <r>
      <rPr>
        <sz val="11"/>
        <color theme="1"/>
        <rFont val="Calibri"/>
        <family val="2"/>
        <scheme val="minor"/>
      </rPr>
      <t xml:space="preserve"> - Father's address
</t>
    </r>
    <r>
      <rPr>
        <b/>
        <sz val="11"/>
        <color theme="1"/>
        <rFont val="Calibri"/>
        <family val="2"/>
        <scheme val="minor"/>
      </rPr>
      <t>MotherAddress</t>
    </r>
    <r>
      <rPr>
        <sz val="11"/>
        <color theme="1"/>
        <rFont val="Calibri"/>
        <family val="2"/>
        <scheme val="minor"/>
      </rPr>
      <t xml:space="preserve"> - Mother's address
</t>
    </r>
    <r>
      <rPr>
        <b/>
        <sz val="11"/>
        <color theme="1"/>
        <rFont val="Calibri"/>
        <family val="2"/>
        <scheme val="minor"/>
      </rPr>
      <t>GuardianAddress</t>
    </r>
    <r>
      <rPr>
        <sz val="11"/>
        <color theme="1"/>
        <rFont val="Calibri"/>
        <family val="2"/>
        <scheme val="minor"/>
      </rPr>
      <t xml:space="preserve"> - Guardian's address
</t>
    </r>
  </si>
  <si>
    <r>
      <t>Mailing</t>
    </r>
    <r>
      <rPr>
        <sz val="11"/>
        <color theme="1"/>
        <rFont val="Calibri"/>
        <family val="2"/>
        <scheme val="minor"/>
      </rPr>
      <t xml:space="preserve"> - Mailing
</t>
    </r>
    <r>
      <rPr>
        <b/>
        <sz val="11"/>
        <color theme="1"/>
        <rFont val="Calibri"/>
        <family val="2"/>
        <scheme val="minor"/>
      </rPr>
      <t>Physical</t>
    </r>
    <r>
      <rPr>
        <sz val="11"/>
        <color theme="1"/>
        <rFont val="Calibri"/>
        <family val="2"/>
        <scheme val="minor"/>
      </rPr>
      <t xml:space="preserve"> - Physical
</t>
    </r>
    <r>
      <rPr>
        <b/>
        <sz val="11"/>
        <color theme="1"/>
        <rFont val="Calibri"/>
        <family val="2"/>
        <scheme val="minor"/>
      </rPr>
      <t>Shipping</t>
    </r>
    <r>
      <rPr>
        <sz val="11"/>
        <color theme="1"/>
        <rFont val="Calibri"/>
        <family val="2"/>
        <scheme val="minor"/>
      </rPr>
      <t xml:space="preserve"> - Shipping
</t>
    </r>
  </si>
  <si>
    <r>
      <t>Mailing</t>
    </r>
    <r>
      <rPr>
        <sz val="11"/>
        <color theme="1"/>
        <rFont val="Calibri"/>
        <family val="2"/>
        <scheme val="minor"/>
      </rPr>
      <t xml:space="preserve"> - Mailing
</t>
    </r>
    <r>
      <rPr>
        <b/>
        <sz val="11"/>
        <color theme="1"/>
        <rFont val="Calibri"/>
        <family val="2"/>
        <scheme val="minor"/>
      </rPr>
      <t>Physical</t>
    </r>
    <r>
      <rPr>
        <sz val="11"/>
        <color theme="1"/>
        <rFont val="Calibri"/>
        <family val="2"/>
        <scheme val="minor"/>
      </rPr>
      <t xml:space="preserve"> - Physical
</t>
    </r>
    <r>
      <rPr>
        <b/>
        <sz val="11"/>
        <color theme="1"/>
        <rFont val="Calibri"/>
        <family val="2"/>
        <scheme val="minor"/>
      </rPr>
      <t>OtherHome</t>
    </r>
    <r>
      <rPr>
        <sz val="11"/>
        <color theme="1"/>
        <rFont val="Calibri"/>
        <family val="2"/>
        <scheme val="minor"/>
      </rPr>
      <t xml:space="preserve"> - Other home address
</t>
    </r>
    <r>
      <rPr>
        <b/>
        <sz val="11"/>
        <color theme="1"/>
        <rFont val="Calibri"/>
        <family val="2"/>
        <scheme val="minor"/>
      </rPr>
      <t>Employers</t>
    </r>
    <r>
      <rPr>
        <sz val="11"/>
        <color theme="1"/>
        <rFont val="Calibri"/>
        <family val="2"/>
        <scheme val="minor"/>
      </rPr>
      <t xml:space="preserve"> - Employer's address
</t>
    </r>
    <r>
      <rPr>
        <b/>
        <sz val="11"/>
        <color theme="1"/>
        <rFont val="Calibri"/>
        <family val="2"/>
        <scheme val="minor"/>
      </rPr>
      <t>Employment</t>
    </r>
    <r>
      <rPr>
        <sz val="11"/>
        <color theme="1"/>
        <rFont val="Calibri"/>
        <family val="2"/>
        <scheme val="minor"/>
      </rPr>
      <t xml:space="preserve"> - Employment address
</t>
    </r>
    <r>
      <rPr>
        <b/>
        <sz val="11"/>
        <color theme="1"/>
        <rFont val="Calibri"/>
        <family val="2"/>
        <scheme val="minor"/>
      </rPr>
      <t>Billing</t>
    </r>
    <r>
      <rPr>
        <sz val="11"/>
        <color theme="1"/>
        <rFont val="Calibri"/>
        <family val="2"/>
        <scheme val="minor"/>
      </rPr>
      <t xml:space="preserve"> - Billing address
</t>
    </r>
  </si>
  <si>
    <r>
      <t>Yes</t>
    </r>
    <r>
      <rPr>
        <sz val="11"/>
        <color theme="1"/>
        <rFont val="Calibri"/>
        <family val="2"/>
        <scheme val="minor"/>
      </rPr>
      <t xml:space="preserve"> - Yes
</t>
    </r>
    <r>
      <rPr>
        <b/>
        <sz val="11"/>
        <color theme="1"/>
        <rFont val="Calibri"/>
        <family val="2"/>
        <scheme val="minor"/>
      </rPr>
      <t>YesGrowth</t>
    </r>
    <r>
      <rPr>
        <sz val="11"/>
        <color theme="1"/>
        <rFont val="Calibri"/>
        <family val="2"/>
        <scheme val="minor"/>
      </rPr>
      <t xml:space="preserve"> - Yes Growth
</t>
    </r>
    <r>
      <rPr>
        <b/>
        <sz val="11"/>
        <color theme="1"/>
        <rFont val="Calibri"/>
        <family val="2"/>
        <scheme val="minor"/>
      </rPr>
      <t>No</t>
    </r>
    <r>
      <rPr>
        <sz val="11"/>
        <color theme="1"/>
        <rFont val="Calibri"/>
        <family val="2"/>
        <scheme val="minor"/>
      </rPr>
      <t xml:space="preserve"> - No
</t>
    </r>
    <r>
      <rPr>
        <b/>
        <sz val="11"/>
        <color theme="1"/>
        <rFont val="Calibri"/>
        <family val="2"/>
        <scheme val="minor"/>
      </rPr>
      <t>NA</t>
    </r>
    <r>
      <rPr>
        <sz val="11"/>
        <color theme="1"/>
        <rFont val="Calibri"/>
        <family val="2"/>
        <scheme val="minor"/>
      </rPr>
      <t xml:space="preserve"> - Not applicable
</t>
    </r>
  </si>
  <si>
    <r>
      <t>Public</t>
    </r>
    <r>
      <rPr>
        <sz val="11"/>
        <color theme="1"/>
        <rFont val="Calibri"/>
        <family val="2"/>
        <scheme val="minor"/>
      </rPr>
      <t xml:space="preserve"> - Public School
</t>
    </r>
    <r>
      <rPr>
        <b/>
        <sz val="11"/>
        <color theme="1"/>
        <rFont val="Calibri"/>
        <family val="2"/>
        <scheme val="minor"/>
      </rPr>
      <t>Private</t>
    </r>
    <r>
      <rPr>
        <sz val="11"/>
        <color theme="1"/>
        <rFont val="Calibri"/>
        <family val="2"/>
        <scheme val="minor"/>
      </rPr>
      <t xml:space="preserve"> - Private School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</si>
  <si>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Risk management plan
</t>
    </r>
    <r>
      <rPr>
        <b/>
        <sz val="11"/>
        <color theme="1"/>
        <rFont val="Calibri"/>
        <family val="2"/>
        <scheme val="minor"/>
      </rPr>
      <t>02</t>
    </r>
    <r>
      <rPr>
        <sz val="11"/>
        <color theme="1"/>
        <rFont val="Calibri"/>
        <family val="2"/>
        <scheme val="minor"/>
      </rPr>
      <t xml:space="preserve"> - Financial records
</t>
    </r>
    <r>
      <rPr>
        <b/>
        <sz val="11"/>
        <color theme="1"/>
        <rFont val="Calibri"/>
        <family val="2"/>
        <scheme val="minor"/>
      </rPr>
      <t>03</t>
    </r>
    <r>
      <rPr>
        <sz val="11"/>
        <color theme="1"/>
        <rFont val="Calibri"/>
        <family val="2"/>
        <scheme val="minor"/>
      </rPr>
      <t xml:space="preserve"> - Program administration and plan
</t>
    </r>
    <r>
      <rPr>
        <b/>
        <sz val="11"/>
        <color theme="1"/>
        <rFont val="Calibri"/>
        <family val="2"/>
        <scheme val="minor"/>
      </rPr>
      <t>04</t>
    </r>
    <r>
      <rPr>
        <sz val="11"/>
        <color theme="1"/>
        <rFont val="Calibri"/>
        <family val="2"/>
        <scheme val="minor"/>
      </rPr>
      <t xml:space="preserve"> - Marketing strategy
</t>
    </r>
    <r>
      <rPr>
        <b/>
        <sz val="11"/>
        <color theme="1"/>
        <rFont val="Calibri"/>
        <family val="2"/>
        <scheme val="minor"/>
      </rPr>
      <t>05</t>
    </r>
    <r>
      <rPr>
        <sz val="11"/>
        <color theme="1"/>
        <rFont val="Calibri"/>
        <family val="2"/>
        <scheme val="minor"/>
      </rPr>
      <t xml:space="preserve"> - Written program policies
</t>
    </r>
    <r>
      <rPr>
        <b/>
        <sz val="11"/>
        <color theme="1"/>
        <rFont val="Calibri"/>
        <family val="2"/>
        <scheme val="minor"/>
      </rPr>
      <t>06</t>
    </r>
    <r>
      <rPr>
        <sz val="11"/>
        <color theme="1"/>
        <rFont val="Calibri"/>
        <family val="2"/>
        <scheme val="minor"/>
      </rPr>
      <t xml:space="preserve"> - Program self assessment
</t>
    </r>
    <r>
      <rPr>
        <b/>
        <sz val="11"/>
        <color theme="1"/>
        <rFont val="Calibri"/>
        <family val="2"/>
        <scheme val="minor"/>
      </rPr>
      <t>99</t>
    </r>
    <r>
      <rPr>
        <sz val="11"/>
        <color theme="1"/>
        <rFont val="Calibri"/>
        <family val="2"/>
        <scheme val="minor"/>
      </rPr>
      <t xml:space="preserve"> - Other
</t>
    </r>
  </si>
  <si>
    <r>
      <t>Conditional</t>
    </r>
    <r>
      <rPr>
        <sz val="11"/>
        <color theme="1"/>
        <rFont val="Calibri"/>
        <family val="2"/>
        <scheme val="minor"/>
      </rPr>
      <t xml:space="preserve"> - Conditional Admit
</t>
    </r>
    <r>
      <rPr>
        <b/>
        <sz val="11"/>
        <color theme="1"/>
        <rFont val="Calibri"/>
        <family val="2"/>
        <scheme val="minor"/>
      </rPr>
      <t>EarlyAction</t>
    </r>
    <r>
      <rPr>
        <sz val="11"/>
        <color theme="1"/>
        <rFont val="Calibri"/>
        <family val="2"/>
        <scheme val="minor"/>
      </rPr>
      <t xml:space="preserve"> - Early Action
</t>
    </r>
    <r>
      <rPr>
        <b/>
        <sz val="11"/>
        <color theme="1"/>
        <rFont val="Calibri"/>
        <family val="2"/>
        <scheme val="minor"/>
      </rPr>
      <t>EarlyAdmit</t>
    </r>
    <r>
      <rPr>
        <sz val="11"/>
        <color theme="1"/>
        <rFont val="Calibri"/>
        <family val="2"/>
        <scheme val="minor"/>
      </rPr>
      <t xml:space="preserve"> - Early Admit
</t>
    </r>
    <r>
      <rPr>
        <b/>
        <sz val="11"/>
        <color theme="1"/>
        <rFont val="Calibri"/>
        <family val="2"/>
        <scheme val="minor"/>
      </rPr>
      <t>EarlyDecision</t>
    </r>
    <r>
      <rPr>
        <sz val="11"/>
        <color theme="1"/>
        <rFont val="Calibri"/>
        <family val="2"/>
        <scheme val="minor"/>
      </rPr>
      <t xml:space="preserve"> - Early Decision
</t>
    </r>
    <r>
      <rPr>
        <b/>
        <sz val="11"/>
        <color theme="1"/>
        <rFont val="Calibri"/>
        <family val="2"/>
        <scheme val="minor"/>
      </rPr>
      <t>Regular</t>
    </r>
    <r>
      <rPr>
        <sz val="11"/>
        <color theme="1"/>
        <rFont val="Calibri"/>
        <family val="2"/>
        <scheme val="minor"/>
      </rPr>
      <t xml:space="preserve"> - Regular Admit
</t>
    </r>
    <r>
      <rPr>
        <b/>
        <sz val="11"/>
        <color theme="1"/>
        <rFont val="Calibri"/>
        <family val="2"/>
        <scheme val="minor"/>
      </rPr>
      <t>Waitlist</t>
    </r>
    <r>
      <rPr>
        <sz val="11"/>
        <color theme="1"/>
        <rFont val="Calibri"/>
        <family val="2"/>
        <scheme val="minor"/>
      </rPr>
      <t xml:space="preserve"> - Waitlist Admit
</t>
    </r>
    <r>
      <rPr>
        <b/>
        <sz val="11"/>
        <color theme="1"/>
        <rFont val="Calibri"/>
        <family val="2"/>
        <scheme val="minor"/>
      </rPr>
      <t>Other</t>
    </r>
    <r>
      <rPr>
        <sz val="11"/>
        <color theme="1"/>
        <rFont val="Calibri"/>
        <family val="2"/>
        <scheme val="minor"/>
      </rPr>
      <t xml:space="preserve"> - Other Admit
</t>
    </r>
    <r>
      <rPr>
        <b/>
        <sz val="11"/>
        <color theme="1"/>
        <rFont val="Calibri"/>
        <family val="2"/>
        <scheme val="minor"/>
      </rPr>
      <t>No</t>
    </r>
    <r>
      <rPr>
        <sz val="11"/>
        <color theme="1"/>
        <rFont val="Calibri"/>
        <family val="2"/>
        <scheme val="minor"/>
      </rPr>
      <t xml:space="preserve"> - No
</t>
    </r>
  </si>
  <si>
    <r>
      <t>AdultEducationCertification</t>
    </r>
    <r>
      <rPr>
        <sz val="11"/>
        <color theme="1"/>
        <rFont val="Calibri"/>
        <family val="2"/>
        <scheme val="minor"/>
      </rPr>
      <t xml:space="preserve"> - Adult Education Certification
</t>
    </r>
    <r>
      <rPr>
        <b/>
        <sz val="11"/>
        <color theme="1"/>
        <rFont val="Calibri"/>
        <family val="2"/>
        <scheme val="minor"/>
      </rPr>
      <t>K-12Certification</t>
    </r>
    <r>
      <rPr>
        <sz val="11"/>
        <color theme="1"/>
        <rFont val="Calibri"/>
        <family val="2"/>
        <scheme val="minor"/>
      </rPr>
      <t xml:space="preserve"> - K-12 Certification
</t>
    </r>
    <r>
      <rPr>
        <b/>
        <sz val="11"/>
        <color theme="1"/>
        <rFont val="Calibri"/>
        <family val="2"/>
        <scheme val="minor"/>
      </rPr>
      <t>SpecialEducationCertification</t>
    </r>
    <r>
      <rPr>
        <sz val="11"/>
        <color theme="1"/>
        <rFont val="Calibri"/>
        <family val="2"/>
        <scheme val="minor"/>
      </rPr>
      <t xml:space="preserve"> - Special Education Certification
</t>
    </r>
    <r>
      <rPr>
        <b/>
        <sz val="11"/>
        <color theme="1"/>
        <rFont val="Calibri"/>
        <family val="2"/>
        <scheme val="minor"/>
      </rPr>
      <t>TESOLCertification</t>
    </r>
    <r>
      <rPr>
        <sz val="11"/>
        <color theme="1"/>
        <rFont val="Calibri"/>
        <family val="2"/>
        <scheme val="minor"/>
      </rPr>
      <t xml:space="preserve"> - Teachers of English to Speakers of Other Languages (TESOL) Certification
</t>
    </r>
    <r>
      <rPr>
        <b/>
        <sz val="11"/>
        <color theme="1"/>
        <rFont val="Calibri"/>
        <family val="2"/>
        <scheme val="minor"/>
      </rPr>
      <t>None</t>
    </r>
    <r>
      <rPr>
        <sz val="11"/>
        <color theme="1"/>
        <rFont val="Calibri"/>
        <family val="2"/>
        <scheme val="minor"/>
      </rPr>
      <t xml:space="preserve"> - None
</t>
    </r>
  </si>
  <si>
    <r>
      <t>ABE</t>
    </r>
    <r>
      <rPr>
        <sz val="11"/>
        <color theme="1"/>
        <rFont val="Calibri"/>
        <family val="2"/>
        <scheme val="minor"/>
      </rPr>
      <t xml:space="preserve"> - Adult Basic Education
</t>
    </r>
    <r>
      <rPr>
        <b/>
        <sz val="11"/>
        <color theme="1"/>
        <rFont val="Calibri"/>
        <family val="2"/>
        <scheme val="minor"/>
      </rPr>
      <t>ASE</t>
    </r>
    <r>
      <rPr>
        <sz val="11"/>
        <color theme="1"/>
        <rFont val="Calibri"/>
        <family val="2"/>
        <scheme val="minor"/>
      </rPr>
      <t xml:space="preserve"> - Adult Secondary Education
</t>
    </r>
    <r>
      <rPr>
        <b/>
        <sz val="11"/>
        <color theme="1"/>
        <rFont val="Calibri"/>
        <family val="2"/>
        <scheme val="minor"/>
      </rPr>
      <t>ESL</t>
    </r>
    <r>
      <rPr>
        <sz val="11"/>
        <color theme="1"/>
        <rFont val="Calibri"/>
        <family val="2"/>
        <scheme val="minor"/>
      </rPr>
      <t xml:space="preserve"> - English as a Second Language/Civics
</t>
    </r>
  </si>
  <si>
    <r>
      <t>NoInformation</t>
    </r>
    <r>
      <rPr>
        <sz val="11"/>
        <color theme="1"/>
        <rFont val="Calibri"/>
        <family val="2"/>
        <scheme val="minor"/>
      </rPr>
      <t xml:space="preserve"> - No information
</t>
    </r>
    <r>
      <rPr>
        <b/>
        <sz val="11"/>
        <color theme="1"/>
        <rFont val="Calibri"/>
        <family val="2"/>
        <scheme val="minor"/>
      </rPr>
      <t>Enrolled</t>
    </r>
    <r>
      <rPr>
        <sz val="11"/>
        <color theme="1"/>
        <rFont val="Calibri"/>
        <family val="2"/>
        <scheme val="minor"/>
      </rPr>
      <t xml:space="preserve"> - Enrolled
</t>
    </r>
    <r>
      <rPr>
        <b/>
        <sz val="11"/>
        <color theme="1"/>
        <rFont val="Calibri"/>
        <family val="2"/>
        <scheme val="minor"/>
      </rPr>
      <t>NotEnrolled</t>
    </r>
    <r>
      <rPr>
        <sz val="11"/>
        <color theme="1"/>
        <rFont val="Calibri"/>
        <family val="2"/>
        <scheme val="minor"/>
      </rPr>
      <t xml:space="preserve"> - Not enrolled
</t>
    </r>
  </si>
  <si>
    <r>
      <t>LEA</t>
    </r>
    <r>
      <rPr>
        <sz val="11"/>
        <color theme="1"/>
        <rFont val="Calibri"/>
        <family val="2"/>
        <scheme val="minor"/>
      </rPr>
      <t xml:space="preserve"> - Local Education Agency
</t>
    </r>
    <r>
      <rPr>
        <b/>
        <sz val="11"/>
        <color theme="1"/>
        <rFont val="Calibri"/>
        <family val="2"/>
        <scheme val="minor"/>
      </rPr>
      <t>PostsecondaryInstitution</t>
    </r>
    <r>
      <rPr>
        <sz val="11"/>
        <color theme="1"/>
        <rFont val="Calibri"/>
        <family val="2"/>
        <scheme val="minor"/>
      </rPr>
      <t xml:space="preserve"> - Postsecondary Institution
</t>
    </r>
    <r>
      <rPr>
        <b/>
        <sz val="11"/>
        <color theme="1"/>
        <rFont val="Calibri"/>
        <family val="2"/>
        <scheme val="minor"/>
      </rPr>
      <t>CommunityBasedOrganization</t>
    </r>
    <r>
      <rPr>
        <sz val="11"/>
        <color theme="1"/>
        <rFont val="Calibri"/>
        <family val="2"/>
        <scheme val="minor"/>
      </rPr>
      <t xml:space="preserve"> - Community-Based Organization
</t>
    </r>
    <r>
      <rPr>
        <b/>
        <sz val="11"/>
        <color theme="1"/>
        <rFont val="Calibri"/>
        <family val="2"/>
        <scheme val="minor"/>
      </rPr>
      <t>Library</t>
    </r>
    <r>
      <rPr>
        <sz val="11"/>
        <color theme="1"/>
        <rFont val="Calibri"/>
        <family val="2"/>
        <scheme val="minor"/>
      </rPr>
      <t xml:space="preserve"> - Library
</t>
    </r>
    <r>
      <rPr>
        <b/>
        <sz val="11"/>
        <color theme="1"/>
        <rFont val="Calibri"/>
        <family val="2"/>
        <scheme val="minor"/>
      </rPr>
      <t>CorrectionalInstitution</t>
    </r>
    <r>
      <rPr>
        <sz val="11"/>
        <color theme="1"/>
        <rFont val="Calibri"/>
        <family val="2"/>
        <scheme val="minor"/>
      </rPr>
      <t xml:space="preserve"> - Correctional Institution
</t>
    </r>
    <r>
      <rPr>
        <b/>
        <sz val="11"/>
        <color theme="1"/>
        <rFont val="Calibri"/>
        <family val="2"/>
        <scheme val="minor"/>
      </rPr>
      <t>OtherInstitution</t>
    </r>
    <r>
      <rPr>
        <sz val="11"/>
        <color theme="1"/>
        <rFont val="Calibri"/>
        <family val="2"/>
        <scheme val="minor"/>
      </rPr>
      <t xml:space="preserve"> - Other Institution
</t>
    </r>
    <r>
      <rPr>
        <b/>
        <sz val="11"/>
        <color theme="1"/>
        <rFont val="Calibri"/>
        <family val="2"/>
        <scheme val="minor"/>
      </rPr>
      <t>OtherAgency</t>
    </r>
    <r>
      <rPr>
        <sz val="11"/>
        <color theme="1"/>
        <rFont val="Calibri"/>
        <family val="2"/>
        <scheme val="minor"/>
      </rPr>
      <t xml:space="preserve"> - Other state or local government agency
</t>
    </r>
    <r>
      <rPr>
        <b/>
        <sz val="11"/>
        <color theme="1"/>
        <rFont val="Calibri"/>
        <family val="2"/>
        <scheme val="minor"/>
      </rPr>
      <t>Other</t>
    </r>
    <r>
      <rPr>
        <sz val="11"/>
        <color theme="1"/>
        <rFont val="Calibri"/>
        <family val="2"/>
        <scheme val="minor"/>
      </rPr>
      <t xml:space="preserve"> - Other
</t>
    </r>
  </si>
  <si>
    <r>
      <t>School</t>
    </r>
    <r>
      <rPr>
        <sz val="11"/>
        <color theme="1"/>
        <rFont val="Calibri"/>
        <family val="2"/>
        <scheme val="minor"/>
      </rPr>
      <t xml:space="preserve"> - School-assigned number
</t>
    </r>
    <r>
      <rPr>
        <b/>
        <sz val="11"/>
        <color theme="1"/>
        <rFont val="Calibri"/>
        <family val="2"/>
        <scheme val="minor"/>
      </rPr>
      <t>ACT</t>
    </r>
    <r>
      <rPr>
        <sz val="11"/>
        <color theme="1"/>
        <rFont val="Calibri"/>
        <family val="2"/>
        <scheme val="minor"/>
      </rPr>
      <t xml:space="preserve"> - College Board/ACT program code set of PK-grade 12 institutions
</t>
    </r>
    <r>
      <rPr>
        <b/>
        <sz val="11"/>
        <color theme="1"/>
        <rFont val="Calibri"/>
        <family val="2"/>
        <scheme val="minor"/>
      </rPr>
      <t>LEA</t>
    </r>
    <r>
      <rPr>
        <sz val="11"/>
        <color theme="1"/>
        <rFont val="Calibri"/>
        <family val="2"/>
        <scheme val="minor"/>
      </rPr>
      <t xml:space="preserve"> - Local Education Agency assigned number
</t>
    </r>
    <r>
      <rPr>
        <b/>
        <sz val="11"/>
        <color theme="1"/>
        <rFont val="Calibri"/>
        <family val="2"/>
        <scheme val="minor"/>
      </rPr>
      <t>SEA</t>
    </r>
    <r>
      <rPr>
        <sz val="11"/>
        <color theme="1"/>
        <rFont val="Calibri"/>
        <family val="2"/>
        <scheme val="minor"/>
      </rPr>
      <t xml:space="preserve"> - State Education Agency assigned number
</t>
    </r>
    <r>
      <rPr>
        <b/>
        <sz val="11"/>
        <color theme="1"/>
        <rFont val="Calibri"/>
        <family val="2"/>
        <scheme val="minor"/>
      </rPr>
      <t>NCES</t>
    </r>
    <r>
      <rPr>
        <sz val="11"/>
        <color theme="1"/>
        <rFont val="Calibri"/>
        <family val="2"/>
        <scheme val="minor"/>
      </rPr>
      <t xml:space="preserve"> - National Center for Education Statistics 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DUNS</t>
    </r>
    <r>
      <rPr>
        <sz val="11"/>
        <color theme="1"/>
        <rFont val="Calibri"/>
        <family val="2"/>
        <scheme val="minor"/>
      </rPr>
      <t xml:space="preserve"> - Dun and Bradstreet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Other</t>
    </r>
    <r>
      <rPr>
        <sz val="11"/>
        <color theme="1"/>
        <rFont val="Calibri"/>
        <family val="2"/>
        <scheme val="minor"/>
      </rPr>
      <t xml:space="preserve"> - Other
</t>
    </r>
  </si>
  <si>
    <r>
      <t>CorrectionalEducation</t>
    </r>
    <r>
      <rPr>
        <sz val="11"/>
        <color theme="1"/>
        <rFont val="Calibri"/>
        <family val="2"/>
        <scheme val="minor"/>
      </rPr>
      <t xml:space="preserve"> - Correctional education program in facility or community
</t>
    </r>
    <r>
      <rPr>
        <b/>
        <sz val="11"/>
        <color theme="1"/>
        <rFont val="Calibri"/>
        <family val="2"/>
        <scheme val="minor"/>
      </rPr>
      <t>FamilyLiteracy</t>
    </r>
    <r>
      <rPr>
        <sz val="11"/>
        <color theme="1"/>
        <rFont val="Calibri"/>
        <family val="2"/>
        <scheme val="minor"/>
      </rPr>
      <t xml:space="preserve"> - Family Literacy
</t>
    </r>
    <r>
      <rPr>
        <b/>
        <sz val="11"/>
        <color theme="1"/>
        <rFont val="Calibri"/>
        <family val="2"/>
        <scheme val="minor"/>
      </rPr>
      <t>WorkplaceLiteracy</t>
    </r>
    <r>
      <rPr>
        <sz val="11"/>
        <color theme="1"/>
        <rFont val="Calibri"/>
        <family val="2"/>
        <scheme val="minor"/>
      </rPr>
      <t xml:space="preserve"> - Workplace Literacy
</t>
    </r>
    <r>
      <rPr>
        <b/>
        <sz val="11"/>
        <color theme="1"/>
        <rFont val="Calibri"/>
        <family val="2"/>
        <scheme val="minor"/>
      </rPr>
      <t>Homeless</t>
    </r>
    <r>
      <rPr>
        <sz val="11"/>
        <color theme="1"/>
        <rFont val="Calibri"/>
        <family val="2"/>
        <scheme val="minor"/>
      </rPr>
      <t xml:space="preserve"> - Program for the Homeless
</t>
    </r>
    <r>
      <rPr>
        <b/>
        <sz val="11"/>
        <color theme="1"/>
        <rFont val="Calibri"/>
        <family val="2"/>
        <scheme val="minor"/>
      </rPr>
      <t>Co-enrollment</t>
    </r>
    <r>
      <rPr>
        <sz val="11"/>
        <color theme="1"/>
        <rFont val="Calibri"/>
        <family val="2"/>
        <scheme val="minor"/>
      </rPr>
      <t xml:space="preserve"> - Co-enrollment in adult education and postsecondary education
</t>
    </r>
    <r>
      <rPr>
        <b/>
        <sz val="11"/>
        <color theme="1"/>
        <rFont val="Calibri"/>
        <family val="2"/>
        <scheme val="minor"/>
      </rPr>
      <t>DistanceEducation</t>
    </r>
    <r>
      <rPr>
        <sz val="11"/>
        <color theme="1"/>
        <rFont val="Calibri"/>
        <family val="2"/>
        <scheme val="minor"/>
      </rPr>
      <t xml:space="preserve"> - Distance Education
</t>
    </r>
  </si>
  <si>
    <r>
      <t>01</t>
    </r>
    <r>
      <rPr>
        <sz val="11"/>
        <color theme="1"/>
        <rFont val="Calibri"/>
        <family val="2"/>
        <scheme val="minor"/>
      </rPr>
      <t xml:space="preserve"> - State-level administrative/supervisory/ancillary services
</t>
    </r>
    <r>
      <rPr>
        <b/>
        <sz val="11"/>
        <color theme="1"/>
        <rFont val="Calibri"/>
        <family val="2"/>
        <scheme val="minor"/>
      </rPr>
      <t>02</t>
    </r>
    <r>
      <rPr>
        <sz val="11"/>
        <color theme="1"/>
        <rFont val="Calibri"/>
        <family val="2"/>
        <scheme val="minor"/>
      </rPr>
      <t xml:space="preserve"> - Local-level administrative/supervisory/ancillary services
</t>
    </r>
    <r>
      <rPr>
        <b/>
        <sz val="11"/>
        <color theme="1"/>
        <rFont val="Calibri"/>
        <family val="2"/>
        <scheme val="minor"/>
      </rPr>
      <t>03</t>
    </r>
    <r>
      <rPr>
        <sz val="11"/>
        <color theme="1"/>
        <rFont val="Calibri"/>
        <family val="2"/>
        <scheme val="minor"/>
      </rPr>
      <t xml:space="preserve"> - Local teacher
</t>
    </r>
    <r>
      <rPr>
        <b/>
        <sz val="11"/>
        <color theme="1"/>
        <rFont val="Calibri"/>
        <family val="2"/>
        <scheme val="minor"/>
      </rPr>
      <t>04</t>
    </r>
    <r>
      <rPr>
        <sz val="11"/>
        <color theme="1"/>
        <rFont val="Calibri"/>
        <family val="2"/>
        <scheme val="minor"/>
      </rPr>
      <t xml:space="preserve"> - Local counselor
</t>
    </r>
    <r>
      <rPr>
        <b/>
        <sz val="11"/>
        <color theme="1"/>
        <rFont val="Calibri"/>
        <family val="2"/>
        <scheme val="minor"/>
      </rPr>
      <t>05</t>
    </r>
    <r>
      <rPr>
        <sz val="11"/>
        <color theme="1"/>
        <rFont val="Calibri"/>
        <family val="2"/>
        <scheme val="minor"/>
      </rPr>
      <t xml:space="preserve"> - Local paraprofessional
</t>
    </r>
    <r>
      <rPr>
        <b/>
        <sz val="11"/>
        <color theme="1"/>
        <rFont val="Calibri"/>
        <family val="2"/>
        <scheme val="minor"/>
      </rPr>
      <t>06</t>
    </r>
    <r>
      <rPr>
        <sz val="11"/>
        <color theme="1"/>
        <rFont val="Calibri"/>
        <family val="2"/>
        <scheme val="minor"/>
      </rPr>
      <t xml:space="preserve"> - State Professional Development Staff
</t>
    </r>
    <r>
      <rPr>
        <b/>
        <sz val="11"/>
        <color theme="1"/>
        <rFont val="Calibri"/>
        <family val="2"/>
        <scheme val="minor"/>
      </rPr>
      <t>07</t>
    </r>
    <r>
      <rPr>
        <sz val="11"/>
        <color theme="1"/>
        <rFont val="Calibri"/>
        <family val="2"/>
        <scheme val="minor"/>
      </rPr>
      <t xml:space="preserve"> - Regional Professional Development Staff
</t>
    </r>
    <r>
      <rPr>
        <b/>
        <sz val="11"/>
        <color theme="1"/>
        <rFont val="Calibri"/>
        <family val="2"/>
        <scheme val="minor"/>
      </rPr>
      <t>08</t>
    </r>
    <r>
      <rPr>
        <sz val="11"/>
        <color theme="1"/>
        <rFont val="Calibri"/>
        <family val="2"/>
        <scheme val="minor"/>
      </rPr>
      <t xml:space="preserve"> - Local Professional Development Staff
</t>
    </r>
  </si>
  <si>
    <r>
      <t>FullTimePaid</t>
    </r>
    <r>
      <rPr>
        <sz val="11"/>
        <color theme="1"/>
        <rFont val="Calibri"/>
        <family val="2"/>
        <scheme val="minor"/>
      </rPr>
      <t xml:space="preserve"> - Full-time paid
</t>
    </r>
    <r>
      <rPr>
        <b/>
        <sz val="11"/>
        <color theme="1"/>
        <rFont val="Calibri"/>
        <family val="2"/>
        <scheme val="minor"/>
      </rPr>
      <t>PartTimePaid</t>
    </r>
    <r>
      <rPr>
        <sz val="11"/>
        <color theme="1"/>
        <rFont val="Calibri"/>
        <family val="2"/>
        <scheme val="minor"/>
      </rPr>
      <t xml:space="preserve"> - Part-time paid
</t>
    </r>
    <r>
      <rPr>
        <b/>
        <sz val="11"/>
        <color theme="1"/>
        <rFont val="Calibri"/>
        <family val="2"/>
        <scheme val="minor"/>
      </rPr>
      <t>FullTimeVolunteer</t>
    </r>
    <r>
      <rPr>
        <sz val="11"/>
        <color theme="1"/>
        <rFont val="Calibri"/>
        <family val="2"/>
        <scheme val="minor"/>
      </rPr>
      <t xml:space="preserve"> - Full-time volunteer
</t>
    </r>
    <r>
      <rPr>
        <b/>
        <sz val="11"/>
        <color theme="1"/>
        <rFont val="Calibri"/>
        <family val="2"/>
        <scheme val="minor"/>
      </rPr>
      <t>PartTimeVolunteer</t>
    </r>
    <r>
      <rPr>
        <sz val="11"/>
        <color theme="1"/>
        <rFont val="Calibri"/>
        <family val="2"/>
        <scheme val="minor"/>
      </rPr>
      <t xml:space="preserve"> - Part-time volunteer
</t>
    </r>
  </si>
  <si>
    <r>
      <t>ABEBegLit</t>
    </r>
    <r>
      <rPr>
        <sz val="11"/>
        <color theme="1"/>
        <rFont val="Calibri"/>
        <family val="2"/>
        <scheme val="minor"/>
      </rPr>
      <t xml:space="preserve"> - ABE Beginning Literacy
</t>
    </r>
    <r>
      <rPr>
        <b/>
        <sz val="11"/>
        <color theme="1"/>
        <rFont val="Calibri"/>
        <family val="2"/>
        <scheme val="minor"/>
      </rPr>
      <t>ABEBegBasic</t>
    </r>
    <r>
      <rPr>
        <sz val="11"/>
        <color theme="1"/>
        <rFont val="Calibri"/>
        <family val="2"/>
        <scheme val="minor"/>
      </rPr>
      <t xml:space="preserve"> - Beginning Basic Education
</t>
    </r>
    <r>
      <rPr>
        <b/>
        <sz val="11"/>
        <color theme="1"/>
        <rFont val="Calibri"/>
        <family val="2"/>
        <scheme val="minor"/>
      </rPr>
      <t>ABEIntLow</t>
    </r>
    <r>
      <rPr>
        <sz val="11"/>
        <color theme="1"/>
        <rFont val="Calibri"/>
        <family val="2"/>
        <scheme val="minor"/>
      </rPr>
      <t xml:space="preserve"> - Low Intermediate Basic Education
</t>
    </r>
    <r>
      <rPr>
        <b/>
        <sz val="11"/>
        <color theme="1"/>
        <rFont val="Calibri"/>
        <family val="2"/>
        <scheme val="minor"/>
      </rPr>
      <t>ABEIntHigh</t>
    </r>
    <r>
      <rPr>
        <sz val="11"/>
        <color theme="1"/>
        <rFont val="Calibri"/>
        <family val="2"/>
        <scheme val="minor"/>
      </rPr>
      <t xml:space="preserve"> - High Intermediate Basic Education
</t>
    </r>
    <r>
      <rPr>
        <b/>
        <sz val="11"/>
        <color theme="1"/>
        <rFont val="Calibri"/>
        <family val="2"/>
        <scheme val="minor"/>
      </rPr>
      <t>ASELow</t>
    </r>
    <r>
      <rPr>
        <sz val="11"/>
        <color theme="1"/>
        <rFont val="Calibri"/>
        <family val="2"/>
        <scheme val="minor"/>
      </rPr>
      <t xml:space="preserve"> - Adult Secondary Education Low
</t>
    </r>
    <r>
      <rPr>
        <b/>
        <sz val="11"/>
        <color theme="1"/>
        <rFont val="Calibri"/>
        <family val="2"/>
        <scheme val="minor"/>
      </rPr>
      <t>ASEHigh</t>
    </r>
    <r>
      <rPr>
        <sz val="11"/>
        <color theme="1"/>
        <rFont val="Calibri"/>
        <family val="2"/>
        <scheme val="minor"/>
      </rPr>
      <t xml:space="preserve"> - Adult Secondary Education High
</t>
    </r>
    <r>
      <rPr>
        <b/>
        <sz val="11"/>
        <color theme="1"/>
        <rFont val="Calibri"/>
        <family val="2"/>
        <scheme val="minor"/>
      </rPr>
      <t>ESLBegLit</t>
    </r>
    <r>
      <rPr>
        <sz val="11"/>
        <color theme="1"/>
        <rFont val="Calibri"/>
        <family val="2"/>
        <scheme val="minor"/>
      </rPr>
      <t xml:space="preserve"> - Beginning ESL Literacy
</t>
    </r>
    <r>
      <rPr>
        <b/>
        <sz val="11"/>
        <color theme="1"/>
        <rFont val="Calibri"/>
        <family val="2"/>
        <scheme val="minor"/>
      </rPr>
      <t>ESLBegLow</t>
    </r>
    <r>
      <rPr>
        <sz val="11"/>
        <color theme="1"/>
        <rFont val="Calibri"/>
        <family val="2"/>
        <scheme val="minor"/>
      </rPr>
      <t xml:space="preserve"> - ESL Low Beginning
</t>
    </r>
    <r>
      <rPr>
        <b/>
        <sz val="11"/>
        <color theme="1"/>
        <rFont val="Calibri"/>
        <family val="2"/>
        <scheme val="minor"/>
      </rPr>
      <t>ESLBegHigh</t>
    </r>
    <r>
      <rPr>
        <sz val="11"/>
        <color theme="1"/>
        <rFont val="Calibri"/>
        <family val="2"/>
        <scheme val="minor"/>
      </rPr>
      <t xml:space="preserve"> - ESL High Beginning
</t>
    </r>
    <r>
      <rPr>
        <b/>
        <sz val="11"/>
        <color theme="1"/>
        <rFont val="Calibri"/>
        <family val="2"/>
        <scheme val="minor"/>
      </rPr>
      <t>ESLIntLow</t>
    </r>
    <r>
      <rPr>
        <sz val="11"/>
        <color theme="1"/>
        <rFont val="Calibri"/>
        <family val="2"/>
        <scheme val="minor"/>
      </rPr>
      <t xml:space="preserve"> - ESL Low Intermediate
</t>
    </r>
    <r>
      <rPr>
        <b/>
        <sz val="11"/>
        <color theme="1"/>
        <rFont val="Calibri"/>
        <family val="2"/>
        <scheme val="minor"/>
      </rPr>
      <t>ESLIntHigh</t>
    </r>
    <r>
      <rPr>
        <sz val="11"/>
        <color theme="1"/>
        <rFont val="Calibri"/>
        <family val="2"/>
        <scheme val="minor"/>
      </rPr>
      <t xml:space="preserve"> - ESL Intermediate High
</t>
    </r>
    <r>
      <rPr>
        <b/>
        <sz val="11"/>
        <color theme="1"/>
        <rFont val="Calibri"/>
        <family val="2"/>
        <scheme val="minor"/>
      </rPr>
      <t>ESLAdv</t>
    </r>
    <r>
      <rPr>
        <sz val="11"/>
        <color theme="1"/>
        <rFont val="Calibri"/>
        <family val="2"/>
        <scheme val="minor"/>
      </rPr>
      <t xml:space="preserve"> - ESL Advanced
</t>
    </r>
  </si>
  <si>
    <r>
      <t>ArtHistory</t>
    </r>
    <r>
      <rPr>
        <sz val="11"/>
        <color theme="1"/>
        <rFont val="Calibri"/>
        <family val="2"/>
        <scheme val="minor"/>
      </rPr>
      <t xml:space="preserve"> - Art History
</t>
    </r>
    <r>
      <rPr>
        <b/>
        <sz val="11"/>
        <color theme="1"/>
        <rFont val="Calibri"/>
        <family val="2"/>
        <scheme val="minor"/>
      </rPr>
      <t>Biology</t>
    </r>
    <r>
      <rPr>
        <sz val="11"/>
        <color theme="1"/>
        <rFont val="Calibri"/>
        <family val="2"/>
        <scheme val="minor"/>
      </rPr>
      <t xml:space="preserve"> - Biology
</t>
    </r>
    <r>
      <rPr>
        <b/>
        <sz val="11"/>
        <color theme="1"/>
        <rFont val="Calibri"/>
        <family val="2"/>
        <scheme val="minor"/>
      </rPr>
      <t>CalculusAB</t>
    </r>
    <r>
      <rPr>
        <sz val="11"/>
        <color theme="1"/>
        <rFont val="Calibri"/>
        <family val="2"/>
        <scheme val="minor"/>
      </rPr>
      <t xml:space="preserve"> - Calculus AB
</t>
    </r>
    <r>
      <rPr>
        <b/>
        <sz val="11"/>
        <color theme="1"/>
        <rFont val="Calibri"/>
        <family val="2"/>
        <scheme val="minor"/>
      </rPr>
      <t>CalculusBC</t>
    </r>
    <r>
      <rPr>
        <sz val="11"/>
        <color theme="1"/>
        <rFont val="Calibri"/>
        <family val="2"/>
        <scheme val="minor"/>
      </rPr>
      <t xml:space="preserve"> - Calculus BC
</t>
    </r>
    <r>
      <rPr>
        <b/>
        <sz val="11"/>
        <color theme="1"/>
        <rFont val="Calibri"/>
        <family val="2"/>
        <scheme val="minor"/>
      </rPr>
      <t>Chemistry</t>
    </r>
    <r>
      <rPr>
        <sz val="11"/>
        <color theme="1"/>
        <rFont val="Calibri"/>
        <family val="2"/>
        <scheme val="minor"/>
      </rPr>
      <t xml:space="preserve"> - Chemistry
</t>
    </r>
    <r>
      <rPr>
        <b/>
        <sz val="11"/>
        <color theme="1"/>
        <rFont val="Calibri"/>
        <family val="2"/>
        <scheme val="minor"/>
      </rPr>
      <t>ComputerScienceA</t>
    </r>
    <r>
      <rPr>
        <sz val="11"/>
        <color theme="1"/>
        <rFont val="Calibri"/>
        <family val="2"/>
        <scheme val="minor"/>
      </rPr>
      <t xml:space="preserve"> - Computer Science A
</t>
    </r>
    <r>
      <rPr>
        <b/>
        <sz val="11"/>
        <color theme="1"/>
        <rFont val="Calibri"/>
        <family val="2"/>
        <scheme val="minor"/>
      </rPr>
      <t>ComputerScienceAB</t>
    </r>
    <r>
      <rPr>
        <sz val="11"/>
        <color theme="1"/>
        <rFont val="Calibri"/>
        <family val="2"/>
        <scheme val="minor"/>
      </rPr>
      <t xml:space="preserve"> - Computer Science AB
</t>
    </r>
    <r>
      <rPr>
        <b/>
        <sz val="11"/>
        <color theme="1"/>
        <rFont val="Calibri"/>
        <family val="2"/>
        <scheme val="minor"/>
      </rPr>
      <t>Macroeconomics</t>
    </r>
    <r>
      <rPr>
        <sz val="11"/>
        <color theme="1"/>
        <rFont val="Calibri"/>
        <family val="2"/>
        <scheme val="minor"/>
      </rPr>
      <t xml:space="preserve"> - Macroeconomics
</t>
    </r>
    <r>
      <rPr>
        <b/>
        <sz val="11"/>
        <color theme="1"/>
        <rFont val="Calibri"/>
        <family val="2"/>
        <scheme val="minor"/>
      </rPr>
      <t>Microeconomics</t>
    </r>
    <r>
      <rPr>
        <sz val="11"/>
        <color theme="1"/>
        <rFont val="Calibri"/>
        <family val="2"/>
        <scheme val="minor"/>
      </rPr>
      <t xml:space="preserve"> - Microeconomics
</t>
    </r>
    <r>
      <rPr>
        <b/>
        <sz val="11"/>
        <color theme="1"/>
        <rFont val="Calibri"/>
        <family val="2"/>
        <scheme val="minor"/>
      </rPr>
      <t>EnglishLanguage</t>
    </r>
    <r>
      <rPr>
        <sz val="11"/>
        <color theme="1"/>
        <rFont val="Calibri"/>
        <family val="2"/>
        <scheme val="minor"/>
      </rPr>
      <t xml:space="preserve"> - English Language
</t>
    </r>
    <r>
      <rPr>
        <b/>
        <sz val="11"/>
        <color theme="1"/>
        <rFont val="Calibri"/>
        <family val="2"/>
        <scheme val="minor"/>
      </rPr>
      <t>EnglishLiterature</t>
    </r>
    <r>
      <rPr>
        <sz val="11"/>
        <color theme="1"/>
        <rFont val="Calibri"/>
        <family val="2"/>
        <scheme val="minor"/>
      </rPr>
      <t xml:space="preserve"> - English Literature
</t>
    </r>
    <r>
      <rPr>
        <b/>
        <sz val="11"/>
        <color theme="1"/>
        <rFont val="Calibri"/>
        <family val="2"/>
        <scheme val="minor"/>
      </rPr>
      <t>EnvironmentalScience</t>
    </r>
    <r>
      <rPr>
        <sz val="11"/>
        <color theme="1"/>
        <rFont val="Calibri"/>
        <family val="2"/>
        <scheme val="minor"/>
      </rPr>
      <t xml:space="preserve"> - Environmental Science
</t>
    </r>
    <r>
      <rPr>
        <b/>
        <sz val="11"/>
        <color theme="1"/>
        <rFont val="Calibri"/>
        <family val="2"/>
        <scheme val="minor"/>
      </rPr>
      <t>EuropeanHistory</t>
    </r>
    <r>
      <rPr>
        <sz val="11"/>
        <color theme="1"/>
        <rFont val="Calibri"/>
        <family val="2"/>
        <scheme val="minor"/>
      </rPr>
      <t xml:space="preserve"> - European History
</t>
    </r>
    <r>
      <rPr>
        <b/>
        <sz val="11"/>
        <color theme="1"/>
        <rFont val="Calibri"/>
        <family val="2"/>
        <scheme val="minor"/>
      </rPr>
      <t>FrenchLanguage</t>
    </r>
    <r>
      <rPr>
        <sz val="11"/>
        <color theme="1"/>
        <rFont val="Calibri"/>
        <family val="2"/>
        <scheme val="minor"/>
      </rPr>
      <t xml:space="preserve"> - French Language
</t>
    </r>
    <r>
      <rPr>
        <b/>
        <sz val="11"/>
        <color theme="1"/>
        <rFont val="Calibri"/>
        <family val="2"/>
        <scheme val="minor"/>
      </rPr>
      <t>FrenchLiterature</t>
    </r>
    <r>
      <rPr>
        <sz val="11"/>
        <color theme="1"/>
        <rFont val="Calibri"/>
        <family val="2"/>
        <scheme val="minor"/>
      </rPr>
      <t xml:space="preserve"> - French Literature
</t>
    </r>
    <r>
      <rPr>
        <b/>
        <sz val="11"/>
        <color theme="1"/>
        <rFont val="Calibri"/>
        <family val="2"/>
        <scheme val="minor"/>
      </rPr>
      <t>GermanLanguage</t>
    </r>
    <r>
      <rPr>
        <sz val="11"/>
        <color theme="1"/>
        <rFont val="Calibri"/>
        <family val="2"/>
        <scheme val="minor"/>
      </rPr>
      <t xml:space="preserve"> - German Language
</t>
    </r>
    <r>
      <rPr>
        <b/>
        <sz val="11"/>
        <color theme="1"/>
        <rFont val="Calibri"/>
        <family val="2"/>
        <scheme val="minor"/>
      </rPr>
      <t>CompGovernmentAndPolitics</t>
    </r>
    <r>
      <rPr>
        <sz val="11"/>
        <color theme="1"/>
        <rFont val="Calibri"/>
        <family val="2"/>
        <scheme val="minor"/>
      </rPr>
      <t xml:space="preserve"> - Comp Government And Politics
</t>
    </r>
    <r>
      <rPr>
        <b/>
        <sz val="11"/>
        <color theme="1"/>
        <rFont val="Calibri"/>
        <family val="2"/>
        <scheme val="minor"/>
      </rPr>
      <t>USGovernmentAndPolitics</t>
    </r>
    <r>
      <rPr>
        <sz val="11"/>
        <color theme="1"/>
        <rFont val="Calibri"/>
        <family val="2"/>
        <scheme val="minor"/>
      </rPr>
      <t xml:space="preserve"> - US Government And Politics
</t>
    </r>
    <r>
      <rPr>
        <b/>
        <sz val="11"/>
        <color theme="1"/>
        <rFont val="Calibri"/>
        <family val="2"/>
        <scheme val="minor"/>
      </rPr>
      <t>HumanGeography</t>
    </r>
    <r>
      <rPr>
        <sz val="11"/>
        <color theme="1"/>
        <rFont val="Calibri"/>
        <family val="2"/>
        <scheme val="minor"/>
      </rPr>
      <t xml:space="preserve"> - Human Geography
</t>
    </r>
    <r>
      <rPr>
        <b/>
        <sz val="11"/>
        <color theme="1"/>
        <rFont val="Calibri"/>
        <family val="2"/>
        <scheme val="minor"/>
      </rPr>
      <t>ItalianLanguageAndCulture</t>
    </r>
    <r>
      <rPr>
        <sz val="11"/>
        <color theme="1"/>
        <rFont val="Calibri"/>
        <family val="2"/>
        <scheme val="minor"/>
      </rPr>
      <t xml:space="preserve"> - Italian Language And Culture
</t>
    </r>
    <r>
      <rPr>
        <b/>
        <sz val="11"/>
        <color theme="1"/>
        <rFont val="Calibri"/>
        <family val="2"/>
        <scheme val="minor"/>
      </rPr>
      <t>LatinLiterature</t>
    </r>
    <r>
      <rPr>
        <sz val="11"/>
        <color theme="1"/>
        <rFont val="Calibri"/>
        <family val="2"/>
        <scheme val="minor"/>
      </rPr>
      <t xml:space="preserve"> - Latin Literature
</t>
    </r>
    <r>
      <rPr>
        <b/>
        <sz val="11"/>
        <color theme="1"/>
        <rFont val="Calibri"/>
        <family val="2"/>
        <scheme val="minor"/>
      </rPr>
      <t>LatinVergil</t>
    </r>
    <r>
      <rPr>
        <sz val="11"/>
        <color theme="1"/>
        <rFont val="Calibri"/>
        <family val="2"/>
        <scheme val="minor"/>
      </rPr>
      <t xml:space="preserve"> - Latin Vergil
</t>
    </r>
    <r>
      <rPr>
        <b/>
        <sz val="11"/>
        <color theme="1"/>
        <rFont val="Calibri"/>
        <family val="2"/>
        <scheme val="minor"/>
      </rPr>
      <t>MusicTheory</t>
    </r>
    <r>
      <rPr>
        <sz val="11"/>
        <color theme="1"/>
        <rFont val="Calibri"/>
        <family val="2"/>
        <scheme val="minor"/>
      </rPr>
      <t xml:space="preserve"> - Music Theory
</t>
    </r>
    <r>
      <rPr>
        <b/>
        <sz val="11"/>
        <color theme="1"/>
        <rFont val="Calibri"/>
        <family val="2"/>
        <scheme val="minor"/>
      </rPr>
      <t>PhysicsB</t>
    </r>
    <r>
      <rPr>
        <sz val="11"/>
        <color theme="1"/>
        <rFont val="Calibri"/>
        <family val="2"/>
        <scheme val="minor"/>
      </rPr>
      <t xml:space="preserve"> - Physics B
</t>
    </r>
    <r>
      <rPr>
        <b/>
        <sz val="11"/>
        <color theme="1"/>
        <rFont val="Calibri"/>
        <family val="2"/>
        <scheme val="minor"/>
      </rPr>
      <t>PhysicsC</t>
    </r>
    <r>
      <rPr>
        <sz val="11"/>
        <color theme="1"/>
        <rFont val="Calibri"/>
        <family val="2"/>
        <scheme val="minor"/>
      </rPr>
      <t xml:space="preserve"> - Physics C
</t>
    </r>
    <r>
      <rPr>
        <b/>
        <sz val="11"/>
        <color theme="1"/>
        <rFont val="Calibri"/>
        <family val="2"/>
        <scheme val="minor"/>
      </rPr>
      <t>Psychology</t>
    </r>
    <r>
      <rPr>
        <sz val="11"/>
        <color theme="1"/>
        <rFont val="Calibri"/>
        <family val="2"/>
        <scheme val="minor"/>
      </rPr>
      <t xml:space="preserve"> - Psychology
</t>
    </r>
    <r>
      <rPr>
        <b/>
        <sz val="11"/>
        <color theme="1"/>
        <rFont val="Calibri"/>
        <family val="2"/>
        <scheme val="minor"/>
      </rPr>
      <t>SpanishLanguage</t>
    </r>
    <r>
      <rPr>
        <sz val="11"/>
        <color theme="1"/>
        <rFont val="Calibri"/>
        <family val="2"/>
        <scheme val="minor"/>
      </rPr>
      <t xml:space="preserve"> - Spanish Language
</t>
    </r>
    <r>
      <rPr>
        <b/>
        <sz val="11"/>
        <color theme="1"/>
        <rFont val="Calibri"/>
        <family val="2"/>
        <scheme val="minor"/>
      </rPr>
      <t>SpanishLiterature</t>
    </r>
    <r>
      <rPr>
        <sz val="11"/>
        <color theme="1"/>
        <rFont val="Calibri"/>
        <family val="2"/>
        <scheme val="minor"/>
      </rPr>
      <t xml:space="preserve"> - Spanish Literature
</t>
    </r>
    <r>
      <rPr>
        <b/>
        <sz val="11"/>
        <color theme="1"/>
        <rFont val="Calibri"/>
        <family val="2"/>
        <scheme val="minor"/>
      </rPr>
      <t>Statistics</t>
    </r>
    <r>
      <rPr>
        <sz val="11"/>
        <color theme="1"/>
        <rFont val="Calibri"/>
        <family val="2"/>
        <scheme val="minor"/>
      </rPr>
      <t xml:space="preserve"> - Statistics
</t>
    </r>
    <r>
      <rPr>
        <b/>
        <sz val="11"/>
        <color theme="1"/>
        <rFont val="Calibri"/>
        <family val="2"/>
        <scheme val="minor"/>
      </rPr>
      <t>StudioArt</t>
    </r>
    <r>
      <rPr>
        <sz val="11"/>
        <color theme="1"/>
        <rFont val="Calibri"/>
        <family val="2"/>
        <scheme val="minor"/>
      </rPr>
      <t xml:space="preserve"> - Studio Art
</t>
    </r>
    <r>
      <rPr>
        <b/>
        <sz val="11"/>
        <color theme="1"/>
        <rFont val="Calibri"/>
        <family val="2"/>
        <scheme val="minor"/>
      </rPr>
      <t>USHistory</t>
    </r>
    <r>
      <rPr>
        <sz val="11"/>
        <color theme="1"/>
        <rFont val="Calibri"/>
        <family val="2"/>
        <scheme val="minor"/>
      </rPr>
      <t xml:space="preserve"> - US History
</t>
    </r>
    <r>
      <rPr>
        <b/>
        <sz val="11"/>
        <color theme="1"/>
        <rFont val="Calibri"/>
        <family val="2"/>
        <scheme val="minor"/>
      </rPr>
      <t>WorldHistory</t>
    </r>
    <r>
      <rPr>
        <sz val="11"/>
        <color theme="1"/>
        <rFont val="Calibri"/>
        <family val="2"/>
        <scheme val="minor"/>
      </rPr>
      <t xml:space="preserve"> - World History
</t>
    </r>
  </si>
  <si>
    <r>
      <t>417930000</t>
    </r>
    <r>
      <rPr>
        <sz val="11"/>
        <color theme="1"/>
        <rFont val="Calibri"/>
        <family val="2"/>
        <scheme val="minor"/>
      </rPr>
      <t xml:space="preserve"> - Allergy to adhesive
</t>
    </r>
    <r>
      <rPr>
        <b/>
        <sz val="11"/>
        <color theme="1"/>
        <rFont val="Calibri"/>
        <family val="2"/>
        <scheme val="minor"/>
      </rPr>
      <t>419238009</t>
    </r>
    <r>
      <rPr>
        <sz val="11"/>
        <color theme="1"/>
        <rFont val="Calibri"/>
        <family val="2"/>
        <scheme val="minor"/>
      </rPr>
      <t xml:space="preserve"> - Allergy to adhesive bandage
</t>
    </r>
    <r>
      <rPr>
        <b/>
        <sz val="11"/>
        <color theme="1"/>
        <rFont val="Calibri"/>
        <family val="2"/>
        <scheme val="minor"/>
      </rPr>
      <t>420140004</t>
    </r>
    <r>
      <rPr>
        <sz val="11"/>
        <color theme="1"/>
        <rFont val="Calibri"/>
        <family val="2"/>
        <scheme val="minor"/>
      </rPr>
      <t xml:space="preserve"> - Allergy to alcohol
</t>
    </r>
    <r>
      <rPr>
        <b/>
        <sz val="11"/>
        <color theme="1"/>
        <rFont val="Calibri"/>
        <family val="2"/>
        <scheme val="minor"/>
      </rPr>
      <t>418606003</t>
    </r>
    <r>
      <rPr>
        <sz val="11"/>
        <color theme="1"/>
        <rFont val="Calibri"/>
        <family val="2"/>
        <scheme val="minor"/>
      </rPr>
      <t xml:space="preserve"> - Allergy to almond oil
</t>
    </r>
    <r>
      <rPr>
        <b/>
        <sz val="11"/>
        <color theme="1"/>
        <rFont val="Calibri"/>
        <family val="2"/>
        <scheme val="minor"/>
      </rPr>
      <t>439109008</t>
    </r>
    <r>
      <rPr>
        <sz val="11"/>
        <color theme="1"/>
        <rFont val="Calibri"/>
        <family val="2"/>
        <scheme val="minor"/>
      </rPr>
      <t xml:space="preserve"> - Allergy to alpha glucoside inhibitor
</t>
    </r>
    <r>
      <rPr>
        <b/>
        <sz val="11"/>
        <color theme="1"/>
        <rFont val="Calibri"/>
        <family val="2"/>
        <scheme val="minor"/>
      </rPr>
      <t>402306009</t>
    </r>
    <r>
      <rPr>
        <sz val="11"/>
        <color theme="1"/>
        <rFont val="Calibri"/>
        <family val="2"/>
        <scheme val="minor"/>
      </rPr>
      <t xml:space="preserve"> - Allergy to aluminum
</t>
    </r>
    <r>
      <rPr>
        <b/>
        <sz val="11"/>
        <color theme="1"/>
        <rFont val="Calibri"/>
        <family val="2"/>
        <scheme val="minor"/>
      </rPr>
      <t>439405005</t>
    </r>
    <r>
      <rPr>
        <sz val="11"/>
        <color theme="1"/>
        <rFont val="Calibri"/>
        <family val="2"/>
        <scheme val="minor"/>
      </rPr>
      <t xml:space="preserve"> - Allergy to angiotensin II receptor antagonist
</t>
    </r>
    <r>
      <rPr>
        <b/>
        <sz val="11"/>
        <color theme="1"/>
        <rFont val="Calibri"/>
        <family val="2"/>
        <scheme val="minor"/>
      </rPr>
      <t>232347008</t>
    </r>
    <r>
      <rPr>
        <sz val="11"/>
        <color theme="1"/>
        <rFont val="Calibri"/>
        <family val="2"/>
        <scheme val="minor"/>
      </rPr>
      <t xml:space="preserve"> - Allergy to animal
</t>
    </r>
    <r>
      <rPr>
        <b/>
        <sz val="11"/>
        <color theme="1"/>
        <rFont val="Calibri"/>
        <family val="2"/>
        <scheme val="minor"/>
      </rPr>
      <t>300911008</t>
    </r>
    <r>
      <rPr>
        <sz val="11"/>
        <color theme="1"/>
        <rFont val="Calibri"/>
        <family val="2"/>
        <scheme val="minor"/>
      </rPr>
      <t xml:space="preserve"> - Allergy to animal hair
</t>
    </r>
    <r>
      <rPr>
        <b/>
        <sz val="11"/>
        <color theme="1"/>
        <rFont val="Calibri"/>
        <family val="2"/>
        <scheme val="minor"/>
      </rPr>
      <t>91929009</t>
    </r>
    <r>
      <rPr>
        <sz val="11"/>
        <color theme="1"/>
        <rFont val="Calibri"/>
        <family val="2"/>
        <scheme val="minor"/>
      </rPr>
      <t xml:space="preserve"> - Allergy to anti-infective agent
</t>
    </r>
    <r>
      <rPr>
        <b/>
        <sz val="11"/>
        <color theme="1"/>
        <rFont val="Calibri"/>
        <family val="2"/>
        <scheme val="minor"/>
      </rPr>
      <t>418314004</t>
    </r>
    <r>
      <rPr>
        <sz val="11"/>
        <color theme="1"/>
        <rFont val="Calibri"/>
        <family val="2"/>
        <scheme val="minor"/>
      </rPr>
      <t xml:space="preserve"> - Allergy to apple juice
</t>
    </r>
    <r>
      <rPr>
        <b/>
        <sz val="11"/>
        <color theme="1"/>
        <rFont val="Calibri"/>
        <family val="2"/>
        <scheme val="minor"/>
      </rPr>
      <t>419180003</t>
    </r>
    <r>
      <rPr>
        <sz val="11"/>
        <color theme="1"/>
        <rFont val="Calibri"/>
        <family val="2"/>
        <scheme val="minor"/>
      </rPr>
      <t xml:space="preserve"> - Allergy to aspartame
</t>
    </r>
    <r>
      <rPr>
        <b/>
        <sz val="11"/>
        <color theme="1"/>
        <rFont val="Calibri"/>
        <family val="2"/>
        <scheme val="minor"/>
      </rPr>
      <t>294314002</t>
    </r>
    <r>
      <rPr>
        <sz val="11"/>
        <color theme="1"/>
        <rFont val="Calibri"/>
        <family val="2"/>
        <scheme val="minor"/>
      </rPr>
      <t xml:space="preserve"> - Allergy to bases and inactive substances
</t>
    </r>
    <r>
      <rPr>
        <b/>
        <sz val="11"/>
        <color theme="1"/>
        <rFont val="Calibri"/>
        <family val="2"/>
        <scheme val="minor"/>
      </rPr>
      <t>424213003</t>
    </r>
    <r>
      <rPr>
        <sz val="11"/>
        <color theme="1"/>
        <rFont val="Calibri"/>
        <family val="2"/>
        <scheme val="minor"/>
      </rPr>
      <t xml:space="preserve"> - Allergy to bee venom
</t>
    </r>
    <r>
      <rPr>
        <b/>
        <sz val="11"/>
        <color theme="1"/>
        <rFont val="Calibri"/>
        <family val="2"/>
        <scheme val="minor"/>
      </rPr>
      <t>402591008</t>
    </r>
    <r>
      <rPr>
        <sz val="11"/>
        <color theme="1"/>
        <rFont val="Calibri"/>
        <family val="2"/>
        <scheme val="minor"/>
      </rPr>
      <t xml:space="preserve"> - Allergy to biocide
</t>
    </r>
    <r>
      <rPr>
        <b/>
        <sz val="11"/>
        <color theme="1"/>
        <rFont val="Calibri"/>
        <family val="2"/>
        <scheme val="minor"/>
      </rPr>
      <t>402590009</t>
    </r>
    <r>
      <rPr>
        <sz val="11"/>
        <color theme="1"/>
        <rFont val="Calibri"/>
        <family val="2"/>
        <scheme val="minor"/>
      </rPr>
      <t xml:space="preserve"> - Allergy to biocide in cosmetic
</t>
    </r>
    <r>
      <rPr>
        <b/>
        <sz val="11"/>
        <color theme="1"/>
        <rFont val="Calibri"/>
        <family val="2"/>
        <scheme val="minor"/>
      </rPr>
      <t>418344001</t>
    </r>
    <r>
      <rPr>
        <sz val="11"/>
        <color theme="1"/>
        <rFont val="Calibri"/>
        <family val="2"/>
        <scheme val="minor"/>
      </rPr>
      <t xml:space="preserve"> - Allergy to caffeine
</t>
    </r>
    <r>
      <rPr>
        <b/>
        <sz val="11"/>
        <color theme="1"/>
        <rFont val="Calibri"/>
        <family val="2"/>
        <scheme val="minor"/>
      </rPr>
      <t>420080006</t>
    </r>
    <r>
      <rPr>
        <sz val="11"/>
        <color theme="1"/>
        <rFont val="Calibri"/>
        <family val="2"/>
        <scheme val="minor"/>
      </rPr>
      <t xml:space="preserve"> - Allergy to carrot
</t>
    </r>
    <r>
      <rPr>
        <b/>
        <sz val="11"/>
        <color theme="1"/>
        <rFont val="Calibri"/>
        <family val="2"/>
        <scheme val="minor"/>
      </rPr>
      <t>232346004</t>
    </r>
    <r>
      <rPr>
        <sz val="11"/>
        <color theme="1"/>
        <rFont val="Calibri"/>
        <family val="2"/>
        <scheme val="minor"/>
      </rPr>
      <t xml:space="preserve"> - Allergy to cat dander
</t>
    </r>
    <r>
      <rPr>
        <b/>
        <sz val="11"/>
        <color theme="1"/>
        <rFont val="Calibri"/>
        <family val="2"/>
        <scheme val="minor"/>
      </rPr>
      <t>418051002</t>
    </r>
    <r>
      <rPr>
        <sz val="11"/>
        <color theme="1"/>
        <rFont val="Calibri"/>
        <family val="2"/>
        <scheme val="minor"/>
      </rPr>
      <t xml:space="preserve"> - Allergy to cherry
</t>
    </r>
    <r>
      <rPr>
        <b/>
        <sz val="11"/>
        <color theme="1"/>
        <rFont val="Calibri"/>
        <family val="2"/>
        <scheme val="minor"/>
      </rPr>
      <t>441931002</t>
    </r>
    <r>
      <rPr>
        <sz val="11"/>
        <color theme="1"/>
        <rFont val="Calibri"/>
        <family val="2"/>
        <scheme val="minor"/>
      </rPr>
      <t xml:space="preserve"> - Allergy to chloroprocaine
</t>
    </r>
    <r>
      <rPr>
        <b/>
        <sz val="11"/>
        <color theme="1"/>
        <rFont val="Calibri"/>
        <family val="2"/>
        <scheme val="minor"/>
      </rPr>
      <t>418397007</t>
    </r>
    <r>
      <rPr>
        <sz val="11"/>
        <color theme="1"/>
        <rFont val="Calibri"/>
        <family val="2"/>
        <scheme val="minor"/>
      </rPr>
      <t xml:space="preserve"> - Allergy to cinnamon
</t>
    </r>
    <r>
      <rPr>
        <b/>
        <sz val="11"/>
        <color theme="1"/>
        <rFont val="Calibri"/>
        <family val="2"/>
        <scheme val="minor"/>
      </rPr>
      <t>448438007</t>
    </r>
    <r>
      <rPr>
        <sz val="11"/>
        <color theme="1"/>
        <rFont val="Calibri"/>
        <family val="2"/>
        <scheme val="minor"/>
      </rPr>
      <t xml:space="preserve"> - Allergy to cisatracurium
</t>
    </r>
    <r>
      <rPr>
        <b/>
        <sz val="11"/>
        <color theme="1"/>
        <rFont val="Calibri"/>
        <family val="2"/>
        <scheme val="minor"/>
      </rPr>
      <t>418085001</t>
    </r>
    <r>
      <rPr>
        <sz val="11"/>
        <color theme="1"/>
        <rFont val="Calibri"/>
        <family val="2"/>
        <scheme val="minor"/>
      </rPr>
      <t xml:space="preserve"> - Allergy to citrus fruit
</t>
    </r>
    <r>
      <rPr>
        <b/>
        <sz val="11"/>
        <color theme="1"/>
        <rFont val="Calibri"/>
        <family val="2"/>
        <scheme val="minor"/>
      </rPr>
      <t>419814004</t>
    </r>
    <r>
      <rPr>
        <sz val="11"/>
        <color theme="1"/>
        <rFont val="Calibri"/>
        <family val="2"/>
        <scheme val="minor"/>
      </rPr>
      <t xml:space="preserve"> - Allergy to coconut oil
</t>
    </r>
    <r>
      <rPr>
        <b/>
        <sz val="11"/>
        <color theme="1"/>
        <rFont val="Calibri"/>
        <family val="2"/>
        <scheme val="minor"/>
      </rPr>
      <t>419573007</t>
    </r>
    <r>
      <rPr>
        <sz val="11"/>
        <color theme="1"/>
        <rFont val="Calibri"/>
        <family val="2"/>
        <scheme val="minor"/>
      </rPr>
      <t xml:space="preserve"> - Allergy to corn
</t>
    </r>
    <r>
      <rPr>
        <b/>
        <sz val="11"/>
        <color theme="1"/>
        <rFont val="Calibri"/>
        <family val="2"/>
        <scheme val="minor"/>
      </rPr>
      <t>417982003</t>
    </r>
    <r>
      <rPr>
        <sz val="11"/>
        <color theme="1"/>
        <rFont val="Calibri"/>
        <family val="2"/>
        <scheme val="minor"/>
      </rPr>
      <t xml:space="preserve"> - Allergy to cosmetic
</t>
    </r>
    <r>
      <rPr>
        <b/>
        <sz val="11"/>
        <color theme="1"/>
        <rFont val="Calibri"/>
        <family val="2"/>
        <scheme val="minor"/>
      </rPr>
      <t>425525006</t>
    </r>
    <r>
      <rPr>
        <sz val="11"/>
        <color theme="1"/>
        <rFont val="Calibri"/>
        <family val="2"/>
        <scheme val="minor"/>
      </rPr>
      <t xml:space="preserve"> - Allergy to dairy product
</t>
    </r>
    <r>
      <rPr>
        <b/>
        <sz val="11"/>
        <color theme="1"/>
        <rFont val="Calibri"/>
        <family val="2"/>
        <scheme val="minor"/>
      </rPr>
      <t>447961002</t>
    </r>
    <r>
      <rPr>
        <sz val="11"/>
        <color theme="1"/>
        <rFont val="Calibri"/>
        <family val="2"/>
        <scheme val="minor"/>
      </rPr>
      <t xml:space="preserve"> - Allergy to dietary mushroom
</t>
    </r>
    <r>
      <rPr>
        <b/>
        <sz val="11"/>
        <color theme="1"/>
        <rFont val="Calibri"/>
        <family val="2"/>
        <scheme val="minor"/>
      </rPr>
      <t>419271008</t>
    </r>
    <r>
      <rPr>
        <sz val="11"/>
        <color theme="1"/>
        <rFont val="Calibri"/>
        <family val="2"/>
        <scheme val="minor"/>
      </rPr>
      <t xml:space="preserve"> - Allergy to dog dander
</t>
    </r>
    <r>
      <rPr>
        <b/>
        <sz val="11"/>
        <color theme="1"/>
        <rFont val="Calibri"/>
        <family val="2"/>
        <scheme val="minor"/>
      </rPr>
      <t>449324007</t>
    </r>
    <r>
      <rPr>
        <sz val="11"/>
        <color theme="1"/>
        <rFont val="Calibri"/>
        <family val="2"/>
        <scheme val="minor"/>
      </rPr>
      <t xml:space="preserve"> - Allergy to doxacurium
</t>
    </r>
    <r>
      <rPr>
        <b/>
        <sz val="11"/>
        <color theme="1"/>
        <rFont val="Calibri"/>
        <family val="2"/>
        <scheme val="minor"/>
      </rPr>
      <t>416098002</t>
    </r>
    <r>
      <rPr>
        <sz val="11"/>
        <color theme="1"/>
        <rFont val="Calibri"/>
        <family val="2"/>
        <scheme val="minor"/>
      </rPr>
      <t xml:space="preserve"> - Allergy to drug
</t>
    </r>
    <r>
      <rPr>
        <b/>
        <sz val="11"/>
        <color theme="1"/>
        <rFont val="Calibri"/>
        <family val="2"/>
        <scheme val="minor"/>
      </rPr>
      <t>402592001</t>
    </r>
    <r>
      <rPr>
        <sz val="11"/>
        <color theme="1"/>
        <rFont val="Calibri"/>
        <family val="2"/>
        <scheme val="minor"/>
      </rPr>
      <t xml:space="preserve"> - Allergy to drug in contact with skin
</t>
    </r>
    <r>
      <rPr>
        <b/>
        <sz val="11"/>
        <color theme="1"/>
        <rFont val="Calibri"/>
        <family val="2"/>
        <scheme val="minor"/>
      </rPr>
      <t>402593006</t>
    </r>
    <r>
      <rPr>
        <sz val="11"/>
        <color theme="1"/>
        <rFont val="Calibri"/>
        <family val="2"/>
        <scheme val="minor"/>
      </rPr>
      <t xml:space="preserve"> - Allergy to drug vehicle
</t>
    </r>
    <r>
      <rPr>
        <b/>
        <sz val="11"/>
        <color theme="1"/>
        <rFont val="Calibri"/>
        <family val="2"/>
        <scheme val="minor"/>
      </rPr>
      <t>418545001</t>
    </r>
    <r>
      <rPr>
        <sz val="11"/>
        <color theme="1"/>
        <rFont val="Calibri"/>
        <family val="2"/>
        <scheme val="minor"/>
      </rPr>
      <t xml:space="preserve"> - Allergy to dye
</t>
    </r>
    <r>
      <rPr>
        <b/>
        <sz val="11"/>
        <color theme="1"/>
        <rFont val="Calibri"/>
        <family val="2"/>
        <scheme val="minor"/>
      </rPr>
      <t>91930004</t>
    </r>
    <r>
      <rPr>
        <sz val="11"/>
        <color theme="1"/>
        <rFont val="Calibri"/>
        <family val="2"/>
        <scheme val="minor"/>
      </rPr>
      <t xml:space="preserve"> - Allergy to eggs
</t>
    </r>
    <r>
      <rPr>
        <b/>
        <sz val="11"/>
        <color theme="1"/>
        <rFont val="Calibri"/>
        <family val="2"/>
        <scheme val="minor"/>
      </rPr>
      <t>441725009</t>
    </r>
    <r>
      <rPr>
        <sz val="11"/>
        <color theme="1"/>
        <rFont val="Calibri"/>
        <family val="2"/>
        <scheme val="minor"/>
      </rPr>
      <t xml:space="preserve"> - Allergy to ertapenem
</t>
    </r>
    <r>
      <rPr>
        <b/>
        <sz val="11"/>
        <color theme="1"/>
        <rFont val="Calibri"/>
        <family val="2"/>
        <scheme val="minor"/>
      </rPr>
      <t>91931000</t>
    </r>
    <r>
      <rPr>
        <sz val="11"/>
        <color theme="1"/>
        <rFont val="Calibri"/>
        <family val="2"/>
        <scheme val="minor"/>
      </rPr>
      <t xml:space="preserve"> - Allergy to erythromycin
</t>
    </r>
    <r>
      <rPr>
        <b/>
        <sz val="11"/>
        <color theme="1"/>
        <rFont val="Calibri"/>
        <family val="2"/>
        <scheme val="minor"/>
      </rPr>
      <t>420140004</t>
    </r>
    <r>
      <rPr>
        <sz val="11"/>
        <color theme="1"/>
        <rFont val="Calibri"/>
        <family val="2"/>
        <scheme val="minor"/>
      </rPr>
      <t xml:space="preserve"> - Allergy to ethanol
</t>
    </r>
    <r>
      <rPr>
        <b/>
        <sz val="11"/>
        <color theme="1"/>
        <rFont val="Calibri"/>
        <family val="2"/>
        <scheme val="minor"/>
      </rPr>
      <t>420140004</t>
    </r>
    <r>
      <rPr>
        <sz val="11"/>
        <color theme="1"/>
        <rFont val="Calibri"/>
        <family val="2"/>
        <scheme val="minor"/>
      </rPr>
      <t xml:space="preserve"> - Allergy to ethyl alcohol
</t>
    </r>
    <r>
      <rPr>
        <b/>
        <sz val="11"/>
        <color theme="1"/>
        <rFont val="Calibri"/>
        <family val="2"/>
        <scheme val="minor"/>
      </rPr>
      <t>417532002</t>
    </r>
    <r>
      <rPr>
        <sz val="11"/>
        <color theme="1"/>
        <rFont val="Calibri"/>
        <family val="2"/>
        <scheme val="minor"/>
      </rPr>
      <t xml:space="preserve"> - Allergy to fish
</t>
    </r>
    <r>
      <rPr>
        <b/>
        <sz val="11"/>
        <color theme="1"/>
        <rFont val="Calibri"/>
        <family val="2"/>
        <scheme val="minor"/>
      </rPr>
      <t>402598002</t>
    </r>
    <r>
      <rPr>
        <sz val="11"/>
        <color theme="1"/>
        <rFont val="Calibri"/>
        <family val="2"/>
        <scheme val="minor"/>
      </rPr>
      <t xml:space="preserve"> - Allergy to flavor
</t>
    </r>
    <r>
      <rPr>
        <b/>
        <sz val="11"/>
        <color theme="1"/>
        <rFont val="Calibri"/>
        <family val="2"/>
        <scheme val="minor"/>
      </rPr>
      <t>91932007</t>
    </r>
    <r>
      <rPr>
        <sz val="11"/>
        <color theme="1"/>
        <rFont val="Calibri"/>
        <family val="2"/>
        <scheme val="minor"/>
      </rPr>
      <t xml:space="preserve"> - Allergy to fruit
</t>
    </r>
    <r>
      <rPr>
        <b/>
        <sz val="11"/>
        <color theme="1"/>
        <rFont val="Calibri"/>
        <family val="2"/>
        <scheme val="minor"/>
      </rPr>
      <t>418968001</t>
    </r>
    <r>
      <rPr>
        <sz val="11"/>
        <color theme="1"/>
        <rFont val="Calibri"/>
        <family val="2"/>
        <scheme val="minor"/>
      </rPr>
      <t xml:space="preserve"> - Allergy to gauze
</t>
    </r>
    <r>
      <rPr>
        <b/>
        <sz val="11"/>
        <color theme="1"/>
        <rFont val="Calibri"/>
        <family val="2"/>
        <scheme val="minor"/>
      </rPr>
      <t>418689008</t>
    </r>
    <r>
      <rPr>
        <sz val="11"/>
        <color theme="1"/>
        <rFont val="Calibri"/>
        <family val="2"/>
        <scheme val="minor"/>
      </rPr>
      <t xml:space="preserve"> - Allergy to grass pollen
</t>
    </r>
    <r>
      <rPr>
        <b/>
        <sz val="11"/>
        <color theme="1"/>
        <rFont val="Calibri"/>
        <family val="2"/>
        <scheme val="minor"/>
      </rPr>
      <t>418689008</t>
    </r>
    <r>
      <rPr>
        <sz val="11"/>
        <color theme="1"/>
        <rFont val="Calibri"/>
        <family val="2"/>
        <scheme val="minor"/>
      </rPr>
      <t xml:space="preserve"> - Allergy to hay
</t>
    </r>
    <r>
      <rPr>
        <b/>
        <sz val="11"/>
        <color theme="1"/>
        <rFont val="Calibri"/>
        <family val="2"/>
        <scheme val="minor"/>
      </rPr>
      <t>419063004</t>
    </r>
    <r>
      <rPr>
        <sz val="11"/>
        <color theme="1"/>
        <rFont val="Calibri"/>
        <family val="2"/>
        <scheme val="minor"/>
      </rPr>
      <t xml:space="preserve"> - Allergy to horse dander
</t>
    </r>
    <r>
      <rPr>
        <b/>
        <sz val="11"/>
        <color theme="1"/>
        <rFont val="Calibri"/>
        <family val="2"/>
        <scheme val="minor"/>
      </rPr>
      <t>442408006</t>
    </r>
    <r>
      <rPr>
        <sz val="11"/>
        <color theme="1"/>
        <rFont val="Calibri"/>
        <family val="2"/>
        <scheme val="minor"/>
      </rPr>
      <t xml:space="preserve"> - Allergy to imipenem
</t>
    </r>
    <r>
      <rPr>
        <b/>
        <sz val="11"/>
        <color theme="1"/>
        <rFont val="Calibri"/>
        <family val="2"/>
        <scheme val="minor"/>
      </rPr>
      <t>294162002</t>
    </r>
    <r>
      <rPr>
        <sz val="11"/>
        <color theme="1"/>
        <rFont val="Calibri"/>
        <family val="2"/>
        <scheme val="minor"/>
      </rPr>
      <t xml:space="preserve"> - Allergy to inhaled corticosteroids
</t>
    </r>
    <r>
      <rPr>
        <b/>
        <sz val="11"/>
        <color theme="1"/>
        <rFont val="Calibri"/>
        <family val="2"/>
        <scheme val="minor"/>
      </rPr>
      <t>409136006</t>
    </r>
    <r>
      <rPr>
        <sz val="11"/>
        <color theme="1"/>
        <rFont val="Calibri"/>
        <family val="2"/>
        <scheme val="minor"/>
      </rPr>
      <t xml:space="preserve"> - Allergy to legumes
</t>
    </r>
    <r>
      <rPr>
        <b/>
        <sz val="11"/>
        <color theme="1"/>
        <rFont val="Calibri"/>
        <family val="2"/>
        <scheme val="minor"/>
      </rPr>
      <t>402596003</t>
    </r>
    <r>
      <rPr>
        <sz val="11"/>
        <color theme="1"/>
        <rFont val="Calibri"/>
        <family val="2"/>
        <scheme val="minor"/>
      </rPr>
      <t xml:space="preserve"> - Allergy to lichen
</t>
    </r>
    <r>
      <rPr>
        <b/>
        <sz val="11"/>
        <color theme="1"/>
        <rFont val="Calibri"/>
        <family val="2"/>
        <scheme val="minor"/>
      </rPr>
      <t>418626004</t>
    </r>
    <r>
      <rPr>
        <sz val="11"/>
        <color theme="1"/>
        <rFont val="Calibri"/>
        <family val="2"/>
        <scheme val="minor"/>
      </rPr>
      <t xml:space="preserve"> - Allergy to lobster
</t>
    </r>
    <r>
      <rPr>
        <b/>
        <sz val="11"/>
        <color theme="1"/>
        <rFont val="Calibri"/>
        <family val="2"/>
        <scheme val="minor"/>
      </rPr>
      <t>91933002</t>
    </r>
    <r>
      <rPr>
        <sz val="11"/>
        <color theme="1"/>
        <rFont val="Calibri"/>
        <family val="2"/>
        <scheme val="minor"/>
      </rPr>
      <t xml:space="preserve"> - Allergy to macrolide antibiotic
</t>
    </r>
    <r>
      <rPr>
        <b/>
        <sz val="11"/>
        <color theme="1"/>
        <rFont val="Calibri"/>
        <family val="2"/>
        <scheme val="minor"/>
      </rPr>
      <t>439406006</t>
    </r>
    <r>
      <rPr>
        <sz val="11"/>
        <color theme="1"/>
        <rFont val="Calibri"/>
        <family val="2"/>
        <scheme val="minor"/>
      </rPr>
      <t xml:space="preserve"> - Allergy to meglitinide
</t>
    </r>
    <r>
      <rPr>
        <b/>
        <sz val="11"/>
        <color theme="1"/>
        <rFont val="Calibri"/>
        <family val="2"/>
        <scheme val="minor"/>
      </rPr>
      <t>442022002</t>
    </r>
    <r>
      <rPr>
        <sz val="11"/>
        <color theme="1"/>
        <rFont val="Calibri"/>
        <family val="2"/>
        <scheme val="minor"/>
      </rPr>
      <t xml:space="preserve"> - Allergy to meropenem
</t>
    </r>
    <r>
      <rPr>
        <b/>
        <sz val="11"/>
        <color theme="1"/>
        <rFont val="Calibri"/>
        <family val="2"/>
        <scheme val="minor"/>
      </rPr>
      <t>419474003</t>
    </r>
    <r>
      <rPr>
        <sz val="11"/>
        <color theme="1"/>
        <rFont val="Calibri"/>
        <family val="2"/>
        <scheme val="minor"/>
      </rPr>
      <t xml:space="preserve"> - Allergy to mildew
</t>
    </r>
    <r>
      <rPr>
        <b/>
        <sz val="11"/>
        <color theme="1"/>
        <rFont val="Calibri"/>
        <family val="2"/>
        <scheme val="minor"/>
      </rPr>
      <t>419474003</t>
    </r>
    <r>
      <rPr>
        <sz val="11"/>
        <color theme="1"/>
        <rFont val="Calibri"/>
        <family val="2"/>
        <scheme val="minor"/>
      </rPr>
      <t xml:space="preserve"> - Allergy to mold
</t>
    </r>
    <r>
      <rPr>
        <b/>
        <sz val="11"/>
        <color theme="1"/>
        <rFont val="Calibri"/>
        <family val="2"/>
        <scheme val="minor"/>
      </rPr>
      <t>419474003</t>
    </r>
    <r>
      <rPr>
        <sz val="11"/>
        <color theme="1"/>
        <rFont val="Calibri"/>
        <family val="2"/>
        <scheme val="minor"/>
      </rPr>
      <t xml:space="preserve"> - Allergy to mould
</t>
    </r>
    <r>
      <rPr>
        <b/>
        <sz val="11"/>
        <color theme="1"/>
        <rFont val="Calibri"/>
        <family val="2"/>
        <scheme val="minor"/>
      </rPr>
      <t>445395006</t>
    </r>
    <r>
      <rPr>
        <sz val="11"/>
        <color theme="1"/>
        <rFont val="Calibri"/>
        <family val="2"/>
        <scheme val="minor"/>
      </rPr>
      <t xml:space="preserve"> - Allergy to Myroxylon pereirae
</t>
    </r>
    <r>
      <rPr>
        <b/>
        <sz val="11"/>
        <color theme="1"/>
        <rFont val="Calibri"/>
        <family val="2"/>
        <scheme val="minor"/>
      </rPr>
      <t>419788000</t>
    </r>
    <r>
      <rPr>
        <sz val="11"/>
        <color theme="1"/>
        <rFont val="Calibri"/>
        <family val="2"/>
        <scheme val="minor"/>
      </rPr>
      <t xml:space="preserve"> - Allergy to nickel
</t>
    </r>
    <r>
      <rPr>
        <b/>
        <sz val="11"/>
        <color theme="1"/>
        <rFont val="Calibri"/>
        <family val="2"/>
        <scheme val="minor"/>
      </rPr>
      <t>91934008</t>
    </r>
    <r>
      <rPr>
        <sz val="11"/>
        <color theme="1"/>
        <rFont val="Calibri"/>
        <family val="2"/>
        <scheme val="minor"/>
      </rPr>
      <t xml:space="preserve"> - Allergy to nuts
</t>
    </r>
    <r>
      <rPr>
        <b/>
        <sz val="11"/>
        <color theme="1"/>
        <rFont val="Calibri"/>
        <family val="2"/>
        <scheme val="minor"/>
      </rPr>
      <t>419342009</t>
    </r>
    <r>
      <rPr>
        <sz val="11"/>
        <color theme="1"/>
        <rFont val="Calibri"/>
        <family val="2"/>
        <scheme val="minor"/>
      </rPr>
      <t xml:space="preserve"> - Allergy to oats
</t>
    </r>
    <r>
      <rPr>
        <b/>
        <sz val="11"/>
        <color theme="1"/>
        <rFont val="Calibri"/>
        <family val="2"/>
        <scheme val="minor"/>
      </rPr>
      <t>293580007</t>
    </r>
    <r>
      <rPr>
        <sz val="11"/>
        <color theme="1"/>
        <rFont val="Calibri"/>
        <family val="2"/>
        <scheme val="minor"/>
      </rPr>
      <t xml:space="preserve"> - Allergy to over-the-counter drug
</t>
    </r>
    <r>
      <rPr>
        <b/>
        <sz val="11"/>
        <color theme="1"/>
        <rFont val="Calibri"/>
        <family val="2"/>
        <scheme val="minor"/>
      </rPr>
      <t>419967000</t>
    </r>
    <r>
      <rPr>
        <sz val="11"/>
        <color theme="1"/>
        <rFont val="Calibri"/>
        <family val="2"/>
        <scheme val="minor"/>
      </rPr>
      <t xml:space="preserve"> - Allergy to oyster
</t>
    </r>
    <r>
      <rPr>
        <b/>
        <sz val="11"/>
        <color theme="1"/>
        <rFont val="Calibri"/>
        <family val="2"/>
        <scheme val="minor"/>
      </rPr>
      <t>91935009</t>
    </r>
    <r>
      <rPr>
        <sz val="11"/>
        <color theme="1"/>
        <rFont val="Calibri"/>
        <family val="2"/>
        <scheme val="minor"/>
      </rPr>
      <t xml:space="preserve"> - Allergy to peanuts
</t>
    </r>
    <r>
      <rPr>
        <b/>
        <sz val="11"/>
        <color theme="1"/>
        <rFont val="Calibri"/>
        <family val="2"/>
        <scheme val="minor"/>
      </rPr>
      <t>91936005</t>
    </r>
    <r>
      <rPr>
        <sz val="11"/>
        <color theme="1"/>
        <rFont val="Calibri"/>
        <family val="2"/>
        <scheme val="minor"/>
      </rPr>
      <t xml:space="preserve"> - Allergy to penicillin
</t>
    </r>
    <r>
      <rPr>
        <b/>
        <sz val="11"/>
        <color theme="1"/>
        <rFont val="Calibri"/>
        <family val="2"/>
        <scheme val="minor"/>
      </rPr>
      <t>448690007</t>
    </r>
    <r>
      <rPr>
        <sz val="11"/>
        <color theme="1"/>
        <rFont val="Calibri"/>
        <family val="2"/>
        <scheme val="minor"/>
      </rPr>
      <t xml:space="preserve"> - Allergy to phosphodiesterase 5 inhibitor
</t>
    </r>
    <r>
      <rPr>
        <b/>
        <sz val="11"/>
        <color theme="1"/>
        <rFont val="Calibri"/>
        <family val="2"/>
        <scheme val="minor"/>
      </rPr>
      <t>402594000</t>
    </r>
    <r>
      <rPr>
        <sz val="11"/>
        <color theme="1"/>
        <rFont val="Calibri"/>
        <family val="2"/>
        <scheme val="minor"/>
      </rPr>
      <t xml:space="preserve"> - Allergy to plant
</t>
    </r>
    <r>
      <rPr>
        <b/>
        <sz val="11"/>
        <color theme="1"/>
        <rFont val="Calibri"/>
        <family val="2"/>
        <scheme val="minor"/>
      </rPr>
      <t>300910009</t>
    </r>
    <r>
      <rPr>
        <sz val="11"/>
        <color theme="1"/>
        <rFont val="Calibri"/>
        <family val="2"/>
        <scheme val="minor"/>
      </rPr>
      <t xml:space="preserve"> - Allergy to pollen
</t>
    </r>
    <r>
      <rPr>
        <b/>
        <sz val="11"/>
        <color theme="1"/>
        <rFont val="Calibri"/>
        <family val="2"/>
        <scheme val="minor"/>
      </rPr>
      <t>417918006</t>
    </r>
    <r>
      <rPr>
        <sz val="11"/>
        <color theme="1"/>
        <rFont val="Calibri"/>
        <family val="2"/>
        <scheme val="minor"/>
      </rPr>
      <t xml:space="preserve"> - Allergy to pork
</t>
    </r>
    <r>
      <rPr>
        <b/>
        <sz val="11"/>
        <color theme="1"/>
        <rFont val="Calibri"/>
        <family val="2"/>
        <scheme val="minor"/>
      </rPr>
      <t>419619007</t>
    </r>
    <r>
      <rPr>
        <sz val="11"/>
        <color theme="1"/>
        <rFont val="Calibri"/>
        <family val="2"/>
        <scheme val="minor"/>
      </rPr>
      <t xml:space="preserve"> - Allergy to potato
</t>
    </r>
    <r>
      <rPr>
        <b/>
        <sz val="11"/>
        <color theme="1"/>
        <rFont val="Calibri"/>
        <family val="2"/>
        <scheme val="minor"/>
      </rPr>
      <t>409136006</t>
    </r>
    <r>
      <rPr>
        <sz val="11"/>
        <color theme="1"/>
        <rFont val="Calibri"/>
        <family val="2"/>
        <scheme val="minor"/>
      </rPr>
      <t xml:space="preserve"> - Allergy to pulse vegetables
</t>
    </r>
    <r>
      <rPr>
        <b/>
        <sz val="11"/>
        <color theme="1"/>
        <rFont val="Calibri"/>
        <family val="2"/>
        <scheme val="minor"/>
      </rPr>
      <t>418561004</t>
    </r>
    <r>
      <rPr>
        <sz val="11"/>
        <color theme="1"/>
        <rFont val="Calibri"/>
        <family val="2"/>
        <scheme val="minor"/>
      </rPr>
      <t xml:space="preserve"> - Allergy to ragweed pollen
</t>
    </r>
    <r>
      <rPr>
        <b/>
        <sz val="11"/>
        <color theme="1"/>
        <rFont val="Calibri"/>
        <family val="2"/>
        <scheme val="minor"/>
      </rPr>
      <t>473078001</t>
    </r>
    <r>
      <rPr>
        <sz val="11"/>
        <color theme="1"/>
        <rFont val="Calibri"/>
        <family val="2"/>
        <scheme val="minor"/>
      </rPr>
      <t xml:space="preserve"> - Allergy to raloxifene
</t>
    </r>
    <r>
      <rPr>
        <b/>
        <sz val="11"/>
        <color theme="1"/>
        <rFont val="Calibri"/>
        <family val="2"/>
        <scheme val="minor"/>
      </rPr>
      <t>449414003</t>
    </r>
    <r>
      <rPr>
        <sz val="11"/>
        <color theme="1"/>
        <rFont val="Calibri"/>
        <family val="2"/>
        <scheme val="minor"/>
      </rPr>
      <t xml:space="preserve"> - Allergy to rapacuronium
</t>
    </r>
    <r>
      <rPr>
        <b/>
        <sz val="11"/>
        <color theme="1"/>
        <rFont val="Calibri"/>
        <family val="2"/>
        <scheme val="minor"/>
      </rPr>
      <t>418815008</t>
    </r>
    <r>
      <rPr>
        <sz val="11"/>
        <color theme="1"/>
        <rFont val="Calibri"/>
        <family val="2"/>
        <scheme val="minor"/>
      </rPr>
      <t xml:space="preserve"> - Allergy to red meat
</t>
    </r>
    <r>
      <rPr>
        <b/>
        <sz val="11"/>
        <color theme="1"/>
        <rFont val="Calibri"/>
        <family val="2"/>
        <scheme val="minor"/>
      </rPr>
      <t>441992007</t>
    </r>
    <r>
      <rPr>
        <sz val="11"/>
        <color theme="1"/>
        <rFont val="Calibri"/>
        <family val="2"/>
        <scheme val="minor"/>
      </rPr>
      <t xml:space="preserve"> - Allergy to remifentanil
</t>
    </r>
    <r>
      <rPr>
        <b/>
        <sz val="11"/>
        <color theme="1"/>
        <rFont val="Calibri"/>
        <family val="2"/>
        <scheme val="minor"/>
      </rPr>
      <t>419412007</t>
    </r>
    <r>
      <rPr>
        <sz val="11"/>
        <color theme="1"/>
        <rFont val="Calibri"/>
        <family val="2"/>
        <scheme val="minor"/>
      </rPr>
      <t xml:space="preserve"> - Allergy to rubber
</t>
    </r>
    <r>
      <rPr>
        <b/>
        <sz val="11"/>
        <color theme="1"/>
        <rFont val="Calibri"/>
        <family val="2"/>
        <scheme val="minor"/>
      </rPr>
      <t>418184004</t>
    </r>
    <r>
      <rPr>
        <sz val="11"/>
        <color theme="1"/>
        <rFont val="Calibri"/>
        <family val="2"/>
        <scheme val="minor"/>
      </rPr>
      <t xml:space="preserve"> - Allergy to rye
</t>
    </r>
    <r>
      <rPr>
        <b/>
        <sz val="11"/>
        <color theme="1"/>
        <rFont val="Calibri"/>
        <family val="2"/>
        <scheme val="minor"/>
      </rPr>
      <t>422921000</t>
    </r>
    <r>
      <rPr>
        <sz val="11"/>
        <color theme="1"/>
        <rFont val="Calibri"/>
        <family val="2"/>
        <scheme val="minor"/>
      </rPr>
      <t xml:space="preserve"> - Allergy to scorpion venom
</t>
    </r>
    <r>
      <rPr>
        <b/>
        <sz val="11"/>
        <color theme="1"/>
        <rFont val="Calibri"/>
        <family val="2"/>
        <scheme val="minor"/>
      </rPr>
      <t>91937001</t>
    </r>
    <r>
      <rPr>
        <sz val="11"/>
        <color theme="1"/>
        <rFont val="Calibri"/>
        <family val="2"/>
        <scheme val="minor"/>
      </rPr>
      <t xml:space="preserve"> - Allergy to seafood
</t>
    </r>
    <r>
      <rPr>
        <b/>
        <sz val="11"/>
        <color theme="1"/>
        <rFont val="Calibri"/>
        <family val="2"/>
        <scheme val="minor"/>
      </rPr>
      <t>419101002</t>
    </r>
    <r>
      <rPr>
        <sz val="11"/>
        <color theme="1"/>
        <rFont val="Calibri"/>
        <family val="2"/>
        <scheme val="minor"/>
      </rPr>
      <t xml:space="preserve"> - Allergy to seed
</t>
    </r>
    <r>
      <rPr>
        <b/>
        <sz val="11"/>
        <color theme="1"/>
        <rFont val="Calibri"/>
        <family val="2"/>
        <scheme val="minor"/>
      </rPr>
      <t>441954006</t>
    </r>
    <r>
      <rPr>
        <sz val="11"/>
        <color theme="1"/>
        <rFont val="Calibri"/>
        <family val="2"/>
        <scheme val="minor"/>
      </rPr>
      <t xml:space="preserve"> - Allergy to sevoflurane
</t>
    </r>
    <r>
      <rPr>
        <b/>
        <sz val="11"/>
        <color theme="1"/>
        <rFont val="Calibri"/>
        <family val="2"/>
        <scheme val="minor"/>
      </rPr>
      <t>419972009</t>
    </r>
    <r>
      <rPr>
        <sz val="11"/>
        <color theme="1"/>
        <rFont val="Calibri"/>
        <family val="2"/>
        <scheme val="minor"/>
      </rPr>
      <t xml:space="preserve"> - Allergy to shrimp
</t>
    </r>
    <r>
      <rPr>
        <b/>
        <sz val="11"/>
        <color theme="1"/>
        <rFont val="Calibri"/>
        <family val="2"/>
        <scheme val="minor"/>
      </rPr>
      <t>427487000</t>
    </r>
    <r>
      <rPr>
        <sz val="11"/>
        <color theme="1"/>
        <rFont val="Calibri"/>
        <family val="2"/>
        <scheme val="minor"/>
      </rPr>
      <t xml:space="preserve"> - Allergy to spider venom
</t>
    </r>
    <r>
      <rPr>
        <b/>
        <sz val="11"/>
        <color theme="1"/>
        <rFont val="Calibri"/>
        <family val="2"/>
        <scheme val="minor"/>
      </rPr>
      <t>91938006</t>
    </r>
    <r>
      <rPr>
        <sz val="11"/>
        <color theme="1"/>
        <rFont val="Calibri"/>
        <family val="2"/>
        <scheme val="minor"/>
      </rPr>
      <t xml:space="preserve"> - Allergy to strawberries
</t>
    </r>
    <r>
      <rPr>
        <b/>
        <sz val="11"/>
        <color theme="1"/>
        <rFont val="Calibri"/>
        <family val="2"/>
        <scheme val="minor"/>
      </rPr>
      <t>419199007</t>
    </r>
    <r>
      <rPr>
        <sz val="11"/>
        <color theme="1"/>
        <rFont val="Calibri"/>
        <family val="2"/>
        <scheme val="minor"/>
      </rPr>
      <t xml:space="preserve"> - Allergy to substance
</t>
    </r>
    <r>
      <rPr>
        <b/>
        <sz val="11"/>
        <color theme="1"/>
        <rFont val="Calibri"/>
        <family val="2"/>
        <scheme val="minor"/>
      </rPr>
      <t>441955007</t>
    </r>
    <r>
      <rPr>
        <sz val="11"/>
        <color theme="1"/>
        <rFont val="Calibri"/>
        <family val="2"/>
        <scheme val="minor"/>
      </rPr>
      <t xml:space="preserve"> - Allergy to sufentanil
</t>
    </r>
    <r>
      <rPr>
        <b/>
        <sz val="11"/>
        <color theme="1"/>
        <rFont val="Calibri"/>
        <family val="2"/>
        <scheme val="minor"/>
      </rPr>
      <t>419421008</t>
    </r>
    <r>
      <rPr>
        <sz val="11"/>
        <color theme="1"/>
        <rFont val="Calibri"/>
        <family val="2"/>
        <scheme val="minor"/>
      </rPr>
      <t xml:space="preserve"> - Allergy to sulfite based food preservative
</t>
    </r>
    <r>
      <rPr>
        <b/>
        <sz val="11"/>
        <color theme="1"/>
        <rFont val="Calibri"/>
        <family val="2"/>
        <scheme val="minor"/>
      </rPr>
      <t>429239002</t>
    </r>
    <r>
      <rPr>
        <sz val="11"/>
        <color theme="1"/>
        <rFont val="Calibri"/>
        <family val="2"/>
        <scheme val="minor"/>
      </rPr>
      <t xml:space="preserve"> - Allergy to sulfonamide antibiotic
</t>
    </r>
    <r>
      <rPr>
        <b/>
        <sz val="11"/>
        <color theme="1"/>
        <rFont val="Calibri"/>
        <family val="2"/>
        <scheme val="minor"/>
      </rPr>
      <t>91939003</t>
    </r>
    <r>
      <rPr>
        <sz val="11"/>
        <color theme="1"/>
        <rFont val="Calibri"/>
        <family val="2"/>
        <scheme val="minor"/>
      </rPr>
      <t xml:space="preserve"> - Allergy to sulfonamides
</t>
    </r>
    <r>
      <rPr>
        <b/>
        <sz val="11"/>
        <color theme="1"/>
        <rFont val="Calibri"/>
        <family val="2"/>
        <scheme val="minor"/>
      </rPr>
      <t>419421008</t>
    </r>
    <r>
      <rPr>
        <sz val="11"/>
        <color theme="1"/>
        <rFont val="Calibri"/>
        <family val="2"/>
        <scheme val="minor"/>
      </rPr>
      <t xml:space="preserve"> - Allergy to sulphite based food preservative
</t>
    </r>
    <r>
      <rPr>
        <b/>
        <sz val="11"/>
        <color theme="1"/>
        <rFont val="Calibri"/>
        <family val="2"/>
        <scheme val="minor"/>
      </rPr>
      <t>429239002</t>
    </r>
    <r>
      <rPr>
        <sz val="11"/>
        <color theme="1"/>
        <rFont val="Calibri"/>
        <family val="2"/>
        <scheme val="minor"/>
      </rPr>
      <t xml:space="preserve"> - Allergy to sulphonamide antibiotic
</t>
    </r>
    <r>
      <rPr>
        <b/>
        <sz val="11"/>
        <color theme="1"/>
        <rFont val="Calibri"/>
        <family val="2"/>
        <scheme val="minor"/>
      </rPr>
      <t>91939003</t>
    </r>
    <r>
      <rPr>
        <sz val="11"/>
        <color theme="1"/>
        <rFont val="Calibri"/>
        <family val="2"/>
        <scheme val="minor"/>
      </rPr>
      <t xml:space="preserve"> - Allergy to sulphonamides
</t>
    </r>
    <r>
      <rPr>
        <b/>
        <sz val="11"/>
        <color theme="1"/>
        <rFont val="Calibri"/>
        <family val="2"/>
        <scheme val="minor"/>
      </rPr>
      <t>258155009</t>
    </r>
    <r>
      <rPr>
        <sz val="11"/>
        <color theme="1"/>
        <rFont val="Calibri"/>
        <family val="2"/>
        <scheme val="minor"/>
      </rPr>
      <t xml:space="preserve"> - Allergy to sunlight
</t>
    </r>
    <r>
      <rPr>
        <b/>
        <sz val="11"/>
        <color theme="1"/>
        <rFont val="Calibri"/>
        <family val="2"/>
        <scheme val="minor"/>
      </rPr>
      <t>473077006</t>
    </r>
    <r>
      <rPr>
        <sz val="11"/>
        <color theme="1"/>
        <rFont val="Calibri"/>
        <family val="2"/>
        <scheme val="minor"/>
      </rPr>
      <t xml:space="preserve"> - Allergy to teriparatide
</t>
    </r>
    <r>
      <rPr>
        <b/>
        <sz val="11"/>
        <color theme="1"/>
        <rFont val="Calibri"/>
        <family val="2"/>
        <scheme val="minor"/>
      </rPr>
      <t>439954005</t>
    </r>
    <r>
      <rPr>
        <sz val="11"/>
        <color theme="1"/>
        <rFont val="Calibri"/>
        <family val="2"/>
        <scheme val="minor"/>
      </rPr>
      <t xml:space="preserve"> - Allergy to thiazolidinedione
</t>
    </r>
    <r>
      <rPr>
        <b/>
        <sz val="11"/>
        <color theme="1"/>
        <rFont val="Calibri"/>
        <family val="2"/>
        <scheme val="minor"/>
      </rPr>
      <t>418779002</t>
    </r>
    <r>
      <rPr>
        <sz val="11"/>
        <color theme="1"/>
        <rFont val="Calibri"/>
        <family val="2"/>
        <scheme val="minor"/>
      </rPr>
      <t xml:space="preserve"> - Allergy to tomato
</t>
    </r>
    <r>
      <rPr>
        <b/>
        <sz val="11"/>
        <color theme="1"/>
        <rFont val="Calibri"/>
        <family val="2"/>
        <scheme val="minor"/>
      </rPr>
      <t>450767000</t>
    </r>
    <r>
      <rPr>
        <sz val="11"/>
        <color theme="1"/>
        <rFont val="Calibri"/>
        <family val="2"/>
        <scheme val="minor"/>
      </rPr>
      <t xml:space="preserve"> - Allergy to tramadol
</t>
    </r>
    <r>
      <rPr>
        <b/>
        <sz val="11"/>
        <color theme="1"/>
        <rFont val="Calibri"/>
        <family val="2"/>
        <scheme val="minor"/>
      </rPr>
      <t>419263009</t>
    </r>
    <r>
      <rPr>
        <sz val="11"/>
        <color theme="1"/>
        <rFont val="Calibri"/>
        <family val="2"/>
        <scheme val="minor"/>
      </rPr>
      <t xml:space="preserve"> - Allergy to tree pollen
</t>
    </r>
    <r>
      <rPr>
        <b/>
        <sz val="11"/>
        <color theme="1"/>
        <rFont val="Calibri"/>
        <family val="2"/>
        <scheme val="minor"/>
      </rPr>
      <t>402597007</t>
    </r>
    <r>
      <rPr>
        <sz val="11"/>
        <color theme="1"/>
        <rFont val="Calibri"/>
        <family val="2"/>
        <scheme val="minor"/>
      </rPr>
      <t xml:space="preserve"> - Allergy to tree resin
</t>
    </r>
    <r>
      <rPr>
        <b/>
        <sz val="11"/>
        <color theme="1"/>
        <rFont val="Calibri"/>
        <family val="2"/>
        <scheme val="minor"/>
      </rPr>
      <t>91940001</t>
    </r>
    <r>
      <rPr>
        <sz val="11"/>
        <color theme="1"/>
        <rFont val="Calibri"/>
        <family val="2"/>
        <scheme val="minor"/>
      </rPr>
      <t xml:space="preserve"> - Allergy to walnuts
</t>
    </r>
    <r>
      <rPr>
        <b/>
        <sz val="11"/>
        <color theme="1"/>
        <rFont val="Calibri"/>
        <family val="2"/>
        <scheme val="minor"/>
      </rPr>
      <t>423058007</t>
    </r>
    <r>
      <rPr>
        <sz val="11"/>
        <color theme="1"/>
        <rFont val="Calibri"/>
        <family val="2"/>
        <scheme val="minor"/>
      </rPr>
      <t xml:space="preserve"> - Allergy to wasp venom
</t>
    </r>
    <r>
      <rPr>
        <b/>
        <sz val="11"/>
        <color theme="1"/>
        <rFont val="Calibri"/>
        <family val="2"/>
        <scheme val="minor"/>
      </rPr>
      <t>419298007</t>
    </r>
    <r>
      <rPr>
        <sz val="11"/>
        <color theme="1"/>
        <rFont val="Calibri"/>
        <family val="2"/>
        <scheme val="minor"/>
      </rPr>
      <t xml:space="preserve"> - Allergy to watermelon
</t>
    </r>
    <r>
      <rPr>
        <b/>
        <sz val="11"/>
        <color theme="1"/>
        <rFont val="Calibri"/>
        <family val="2"/>
        <scheme val="minor"/>
      </rPr>
      <t>419210001</t>
    </r>
    <r>
      <rPr>
        <sz val="11"/>
        <color theme="1"/>
        <rFont val="Calibri"/>
        <family val="2"/>
        <scheme val="minor"/>
      </rPr>
      <t xml:space="preserve"> - Allergy to weed pollen
</t>
    </r>
    <r>
      <rPr>
        <b/>
        <sz val="11"/>
        <color theme="1"/>
        <rFont val="Calibri"/>
        <family val="2"/>
        <scheme val="minor"/>
      </rPr>
      <t>420174000</t>
    </r>
    <r>
      <rPr>
        <sz val="11"/>
        <color theme="1"/>
        <rFont val="Calibri"/>
        <family val="2"/>
        <scheme val="minor"/>
      </rPr>
      <t xml:space="preserve"> - Allergy to wheat
</t>
    </r>
    <r>
      <rPr>
        <b/>
        <sz val="11"/>
        <color theme="1"/>
        <rFont val="Calibri"/>
        <family val="2"/>
        <scheme val="minor"/>
      </rPr>
      <t>402595004</t>
    </r>
    <r>
      <rPr>
        <sz val="11"/>
        <color theme="1"/>
        <rFont val="Calibri"/>
        <family val="2"/>
        <scheme val="minor"/>
      </rPr>
      <t xml:space="preserve"> - Allergy to wood
</t>
    </r>
    <r>
      <rPr>
        <b/>
        <sz val="11"/>
        <color theme="1"/>
        <rFont val="Calibri"/>
        <family val="2"/>
        <scheme val="minor"/>
      </rPr>
      <t>425605001</t>
    </r>
    <r>
      <rPr>
        <sz val="11"/>
        <color theme="1"/>
        <rFont val="Calibri"/>
        <family val="2"/>
        <scheme val="minor"/>
      </rPr>
      <t xml:space="preserve"> - Allergy to wool
</t>
    </r>
  </si>
  <si>
    <r>
      <t>Yes</t>
    </r>
    <r>
      <rPr>
        <sz val="11"/>
        <color theme="1"/>
        <rFont val="Calibri"/>
        <family val="2"/>
        <scheme val="minor"/>
      </rPr>
      <t xml:space="preserve"> - Yes
</t>
    </r>
    <r>
      <rPr>
        <b/>
        <sz val="11"/>
        <color theme="1"/>
        <rFont val="Calibri"/>
        <family val="2"/>
        <scheme val="minor"/>
      </rPr>
      <t>No</t>
    </r>
    <r>
      <rPr>
        <sz val="11"/>
        <color theme="1"/>
        <rFont val="Calibri"/>
        <family val="2"/>
        <scheme val="minor"/>
      </rPr>
      <t xml:space="preserve"> - No
</t>
    </r>
    <r>
      <rPr>
        <b/>
        <sz val="11"/>
        <color theme="1"/>
        <rFont val="Calibri"/>
        <family val="2"/>
        <scheme val="minor"/>
      </rPr>
      <t>NA</t>
    </r>
    <r>
      <rPr>
        <sz val="11"/>
        <color theme="1"/>
        <rFont val="Calibri"/>
        <family val="2"/>
        <scheme val="minor"/>
      </rPr>
      <t xml:space="preserve"> - Not applicable
</t>
    </r>
  </si>
  <si>
    <r>
      <t>Academic</t>
    </r>
    <r>
      <rPr>
        <sz val="11"/>
        <color theme="1"/>
        <rFont val="Calibri"/>
        <family val="2"/>
        <scheme val="minor"/>
      </rPr>
      <t xml:space="preserve"> - Alternative school for students with academic difficulties
</t>
    </r>
    <r>
      <rPr>
        <b/>
        <sz val="11"/>
        <color theme="1"/>
        <rFont val="Calibri"/>
        <family val="2"/>
        <scheme val="minor"/>
      </rPr>
      <t>Discipline</t>
    </r>
    <r>
      <rPr>
        <sz val="11"/>
        <color theme="1"/>
        <rFont val="Calibri"/>
        <family val="2"/>
        <scheme val="minor"/>
      </rPr>
      <t xml:space="preserve"> - Alternative school for students with discipline problems
</t>
    </r>
    <r>
      <rPr>
        <b/>
        <sz val="11"/>
        <color theme="1"/>
        <rFont val="Calibri"/>
        <family val="2"/>
        <scheme val="minor"/>
      </rPr>
      <t>Both</t>
    </r>
    <r>
      <rPr>
        <sz val="11"/>
        <color theme="1"/>
        <rFont val="Calibri"/>
        <family val="2"/>
        <scheme val="minor"/>
      </rPr>
      <t xml:space="preserve"> - Alternative school for students with both discipline and academic problems 
</t>
    </r>
  </si>
  <si>
    <r>
      <t>Yes</t>
    </r>
    <r>
      <rPr>
        <sz val="11"/>
        <color theme="1"/>
        <rFont val="Calibri"/>
        <family val="2"/>
        <scheme val="minor"/>
      </rPr>
      <t xml:space="preserve"> - Yes
</t>
    </r>
    <r>
      <rPr>
        <b/>
        <sz val="11"/>
        <color theme="1"/>
        <rFont val="Calibri"/>
        <family val="2"/>
        <scheme val="minor"/>
      </rPr>
      <t>No</t>
    </r>
    <r>
      <rPr>
        <sz val="11"/>
        <color theme="1"/>
        <rFont val="Calibri"/>
        <family val="2"/>
        <scheme val="minor"/>
      </rPr>
      <t xml:space="preserve"> - No
</t>
    </r>
    <r>
      <rPr>
        <b/>
        <sz val="11"/>
        <color theme="1"/>
        <rFont val="Calibri"/>
        <family val="2"/>
        <scheme val="minor"/>
      </rPr>
      <t>NotSelected</t>
    </r>
    <r>
      <rPr>
        <sz val="11"/>
        <color theme="1"/>
        <rFont val="Calibri"/>
        <family val="2"/>
        <scheme val="minor"/>
      </rPr>
      <t xml:space="preserve"> - Not selected
</t>
    </r>
  </si>
  <si>
    <r>
      <t>Met</t>
    </r>
    <r>
      <rPr>
        <sz val="11"/>
        <color theme="1"/>
        <rFont val="Calibri"/>
        <family val="2"/>
        <scheme val="minor"/>
      </rPr>
      <t xml:space="preserve"> - Met
</t>
    </r>
    <r>
      <rPr>
        <b/>
        <sz val="11"/>
        <color theme="1"/>
        <rFont val="Calibri"/>
        <family val="2"/>
        <scheme val="minor"/>
      </rPr>
      <t>DidNotMeet</t>
    </r>
    <r>
      <rPr>
        <sz val="11"/>
        <color theme="1"/>
        <rFont val="Calibri"/>
        <family val="2"/>
        <scheme val="minor"/>
      </rPr>
      <t xml:space="preserve"> - Did not meet
</t>
    </r>
    <r>
      <rPr>
        <b/>
        <sz val="11"/>
        <color theme="1"/>
        <rFont val="Calibri"/>
        <family val="2"/>
        <scheme val="minor"/>
      </rPr>
      <t>NoTitleIII</t>
    </r>
    <r>
      <rPr>
        <sz val="11"/>
        <color theme="1"/>
        <rFont val="Calibri"/>
        <family val="2"/>
        <scheme val="minor"/>
      </rPr>
      <t xml:space="preserve"> - No Title III
</t>
    </r>
    <r>
      <rPr>
        <b/>
        <sz val="11"/>
        <color theme="1"/>
        <rFont val="Calibri"/>
        <family val="2"/>
        <scheme val="minor"/>
      </rPr>
      <t>NA</t>
    </r>
    <r>
      <rPr>
        <sz val="11"/>
        <color theme="1"/>
        <rFont val="Calibri"/>
        <family val="2"/>
        <scheme val="minor"/>
      </rPr>
      <t xml:space="preserve"> - Not applicable
</t>
    </r>
  </si>
  <si>
    <r>
      <t>13371</t>
    </r>
    <r>
      <rPr>
        <sz val="11"/>
        <color theme="1"/>
        <rFont val="Calibri"/>
        <family val="2"/>
        <scheme val="minor"/>
      </rPr>
      <t xml:space="preserve"> - Arts
</t>
    </r>
    <r>
      <rPr>
        <b/>
        <sz val="11"/>
        <color theme="1"/>
        <rFont val="Calibri"/>
        <family val="2"/>
        <scheme val="minor"/>
      </rPr>
      <t>73065</t>
    </r>
    <r>
      <rPr>
        <sz val="11"/>
        <color theme="1"/>
        <rFont val="Calibri"/>
        <family val="2"/>
        <scheme val="minor"/>
      </rPr>
      <t xml:space="preserve"> - Career and Technical Education
</t>
    </r>
    <r>
      <rPr>
        <b/>
        <sz val="11"/>
        <color theme="1"/>
        <rFont val="Calibri"/>
        <family val="2"/>
        <scheme val="minor"/>
      </rPr>
      <t>13372</t>
    </r>
    <r>
      <rPr>
        <sz val="11"/>
        <color theme="1"/>
        <rFont val="Calibri"/>
        <family val="2"/>
        <scheme val="minor"/>
      </rPr>
      <t xml:space="preserve"> - English
</t>
    </r>
    <r>
      <rPr>
        <b/>
        <sz val="11"/>
        <color theme="1"/>
        <rFont val="Calibri"/>
        <family val="2"/>
        <scheme val="minor"/>
      </rPr>
      <t>00256</t>
    </r>
    <r>
      <rPr>
        <sz val="11"/>
        <color theme="1"/>
        <rFont val="Calibri"/>
        <family val="2"/>
        <scheme val="minor"/>
      </rPr>
      <t xml:space="preserve"> - English as a second language (ESL)
</t>
    </r>
    <r>
      <rPr>
        <b/>
        <sz val="11"/>
        <color theme="1"/>
        <rFont val="Calibri"/>
        <family val="2"/>
        <scheme val="minor"/>
      </rPr>
      <t>00546</t>
    </r>
    <r>
      <rPr>
        <sz val="11"/>
        <color theme="1"/>
        <rFont val="Calibri"/>
        <family val="2"/>
        <scheme val="minor"/>
      </rPr>
      <t xml:space="preserve"> - Foreign Languages
</t>
    </r>
    <r>
      <rPr>
        <b/>
        <sz val="11"/>
        <color theme="1"/>
        <rFont val="Calibri"/>
        <family val="2"/>
        <scheme val="minor"/>
      </rPr>
      <t>73088</t>
    </r>
    <r>
      <rPr>
        <sz val="11"/>
        <color theme="1"/>
        <rFont val="Calibri"/>
        <family val="2"/>
        <scheme val="minor"/>
      </rPr>
      <t xml:space="preserve"> - History Government - US
</t>
    </r>
    <r>
      <rPr>
        <b/>
        <sz val="11"/>
        <color theme="1"/>
        <rFont val="Calibri"/>
        <family val="2"/>
        <scheme val="minor"/>
      </rPr>
      <t>73089</t>
    </r>
    <r>
      <rPr>
        <sz val="11"/>
        <color theme="1"/>
        <rFont val="Calibri"/>
        <family val="2"/>
        <scheme val="minor"/>
      </rPr>
      <t xml:space="preserve"> - History Government - World
</t>
    </r>
    <r>
      <rPr>
        <b/>
        <sz val="11"/>
        <color theme="1"/>
        <rFont val="Calibri"/>
        <family val="2"/>
        <scheme val="minor"/>
      </rPr>
      <t>00554</t>
    </r>
    <r>
      <rPr>
        <sz val="11"/>
        <color theme="1"/>
        <rFont val="Calibri"/>
        <family val="2"/>
        <scheme val="minor"/>
      </rPr>
      <t xml:space="preserve"> - Language arts
</t>
    </r>
    <r>
      <rPr>
        <b/>
        <sz val="11"/>
        <color theme="1"/>
        <rFont val="Calibri"/>
        <family val="2"/>
        <scheme val="minor"/>
      </rPr>
      <t>01166</t>
    </r>
    <r>
      <rPr>
        <sz val="11"/>
        <color theme="1"/>
        <rFont val="Calibri"/>
        <family val="2"/>
        <scheme val="minor"/>
      </rPr>
      <t xml:space="preserve"> - Mathematics
</t>
    </r>
    <r>
      <rPr>
        <b/>
        <sz val="11"/>
        <color theme="1"/>
        <rFont val="Calibri"/>
        <family val="2"/>
        <scheme val="minor"/>
      </rPr>
      <t>00560</t>
    </r>
    <r>
      <rPr>
        <sz val="11"/>
        <color theme="1"/>
        <rFont val="Calibri"/>
        <family val="2"/>
        <scheme val="minor"/>
      </rPr>
      <t xml:space="preserve"> - Reading
</t>
    </r>
    <r>
      <rPr>
        <b/>
        <sz val="11"/>
        <color theme="1"/>
        <rFont val="Calibri"/>
        <family val="2"/>
        <scheme val="minor"/>
      </rPr>
      <t>13373</t>
    </r>
    <r>
      <rPr>
        <sz val="11"/>
        <color theme="1"/>
        <rFont val="Calibri"/>
        <family val="2"/>
        <scheme val="minor"/>
      </rPr>
      <t xml:space="preserve"> - Reading/Language Arts
</t>
    </r>
    <r>
      <rPr>
        <b/>
        <sz val="11"/>
        <color theme="1"/>
        <rFont val="Calibri"/>
        <family val="2"/>
        <scheme val="minor"/>
      </rPr>
      <t>00562</t>
    </r>
    <r>
      <rPr>
        <sz val="11"/>
        <color theme="1"/>
        <rFont val="Calibri"/>
        <family val="2"/>
        <scheme val="minor"/>
      </rPr>
      <t xml:space="preserve"> - Science
</t>
    </r>
    <r>
      <rPr>
        <b/>
        <sz val="11"/>
        <color theme="1"/>
        <rFont val="Calibri"/>
        <family val="2"/>
        <scheme val="minor"/>
      </rPr>
      <t>73086</t>
    </r>
    <r>
      <rPr>
        <sz val="11"/>
        <color theme="1"/>
        <rFont val="Calibri"/>
        <family val="2"/>
        <scheme val="minor"/>
      </rPr>
      <t xml:space="preserve"> - Science - Life
</t>
    </r>
    <r>
      <rPr>
        <b/>
        <sz val="11"/>
        <color theme="1"/>
        <rFont val="Calibri"/>
        <family val="2"/>
        <scheme val="minor"/>
      </rPr>
      <t>73087</t>
    </r>
    <r>
      <rPr>
        <sz val="11"/>
        <color theme="1"/>
        <rFont val="Calibri"/>
        <family val="2"/>
        <scheme val="minor"/>
      </rPr>
      <t xml:space="preserve"> - Science - Physical
</t>
    </r>
    <r>
      <rPr>
        <b/>
        <sz val="11"/>
        <color theme="1"/>
        <rFont val="Calibri"/>
        <family val="2"/>
        <scheme val="minor"/>
      </rPr>
      <t>13374</t>
    </r>
    <r>
      <rPr>
        <sz val="11"/>
        <color theme="1"/>
        <rFont val="Calibri"/>
        <family val="2"/>
        <scheme val="minor"/>
      </rPr>
      <t xml:space="preserve"> - Social Sciences (History, Geography, Economics, Civics and Government)
</t>
    </r>
    <r>
      <rPr>
        <b/>
        <sz val="11"/>
        <color theme="1"/>
        <rFont val="Calibri"/>
        <family val="2"/>
        <scheme val="minor"/>
      </rPr>
      <t>02043</t>
    </r>
    <r>
      <rPr>
        <sz val="11"/>
        <color theme="1"/>
        <rFont val="Calibri"/>
        <family val="2"/>
        <scheme val="minor"/>
      </rPr>
      <t xml:space="preserve"> - Special education
</t>
    </r>
    <r>
      <rPr>
        <b/>
        <sz val="11"/>
        <color theme="1"/>
        <rFont val="Calibri"/>
        <family val="2"/>
        <scheme val="minor"/>
      </rPr>
      <t>01287</t>
    </r>
    <r>
      <rPr>
        <sz val="11"/>
        <color theme="1"/>
        <rFont val="Calibri"/>
        <family val="2"/>
        <scheme val="minor"/>
      </rPr>
      <t xml:space="preserve"> - Writing
</t>
    </r>
    <r>
      <rPr>
        <b/>
        <sz val="11"/>
        <color theme="1"/>
        <rFont val="Calibri"/>
        <family val="2"/>
        <scheme val="minor"/>
      </rPr>
      <t>09999</t>
    </r>
    <r>
      <rPr>
        <sz val="11"/>
        <color theme="1"/>
        <rFont val="Calibri"/>
        <family val="2"/>
        <scheme val="minor"/>
      </rPr>
      <t xml:space="preserve"> - Other
</t>
    </r>
  </si>
  <si>
    <r>
      <t>Scheduling</t>
    </r>
    <r>
      <rPr>
        <sz val="11"/>
        <color theme="1"/>
        <rFont val="Calibri"/>
        <family val="2"/>
        <scheme val="minor"/>
      </rPr>
      <t xml:space="preserve"> - Scheduling accommodations
</t>
    </r>
    <r>
      <rPr>
        <b/>
        <sz val="11"/>
        <color theme="1"/>
        <rFont val="Calibri"/>
        <family val="2"/>
        <scheme val="minor"/>
      </rPr>
      <t>Setting</t>
    </r>
    <r>
      <rPr>
        <sz val="11"/>
        <color theme="1"/>
        <rFont val="Calibri"/>
        <family val="2"/>
        <scheme val="minor"/>
      </rPr>
      <t xml:space="preserve"> - Settings accommodations
</t>
    </r>
    <r>
      <rPr>
        <b/>
        <sz val="11"/>
        <color theme="1"/>
        <rFont val="Calibri"/>
        <family val="2"/>
        <scheme val="minor"/>
      </rPr>
      <t>EquipmentOrTechnology</t>
    </r>
    <r>
      <rPr>
        <sz val="11"/>
        <color theme="1"/>
        <rFont val="Calibri"/>
        <family val="2"/>
        <scheme val="minor"/>
      </rPr>
      <t xml:space="preserve"> - Student equipment/technology
</t>
    </r>
    <r>
      <rPr>
        <b/>
        <sz val="11"/>
        <color theme="1"/>
        <rFont val="Calibri"/>
        <family val="2"/>
        <scheme val="minor"/>
      </rPr>
      <t>TestAdministration</t>
    </r>
    <r>
      <rPr>
        <sz val="11"/>
        <color theme="1"/>
        <rFont val="Calibri"/>
        <family val="2"/>
        <scheme val="minor"/>
      </rPr>
      <t xml:space="preserve"> - Test administration accommodation
</t>
    </r>
    <r>
      <rPr>
        <b/>
        <sz val="11"/>
        <color theme="1"/>
        <rFont val="Calibri"/>
        <family val="2"/>
        <scheme val="minor"/>
      </rPr>
      <t>TestMaterial</t>
    </r>
    <r>
      <rPr>
        <sz val="11"/>
        <color theme="1"/>
        <rFont val="Calibri"/>
        <family val="2"/>
        <scheme val="minor"/>
      </rPr>
      <t xml:space="preserve"> - Test material accommodations
</t>
    </r>
    <r>
      <rPr>
        <b/>
        <sz val="11"/>
        <color theme="1"/>
        <rFont val="Calibri"/>
        <family val="2"/>
        <scheme val="minor"/>
      </rPr>
      <t>TestResponse</t>
    </r>
    <r>
      <rPr>
        <sz val="11"/>
        <color theme="1"/>
        <rFont val="Calibri"/>
        <family val="2"/>
        <scheme val="minor"/>
      </rPr>
      <t xml:space="preserve"> - Test response accommodation
</t>
    </r>
    <r>
      <rPr>
        <b/>
        <sz val="11"/>
        <color theme="1"/>
        <rFont val="Calibri"/>
        <family val="2"/>
        <scheme val="minor"/>
      </rPr>
      <t>ELL</t>
    </r>
    <r>
      <rPr>
        <sz val="11"/>
        <color theme="1"/>
        <rFont val="Calibri"/>
        <family val="2"/>
        <scheme val="minor"/>
      </rPr>
      <t xml:space="preserve"> - English language learner accommodation
</t>
    </r>
    <r>
      <rPr>
        <b/>
        <sz val="11"/>
        <color theme="1"/>
        <rFont val="Calibri"/>
        <family val="2"/>
        <scheme val="minor"/>
      </rPr>
      <t>504</t>
    </r>
    <r>
      <rPr>
        <sz val="11"/>
        <color theme="1"/>
        <rFont val="Calibri"/>
        <family val="2"/>
        <scheme val="minor"/>
      </rPr>
      <t xml:space="preserve"> - 504 accommodation
</t>
    </r>
    <r>
      <rPr>
        <b/>
        <sz val="11"/>
        <color theme="1"/>
        <rFont val="Calibri"/>
        <family val="2"/>
        <scheme val="minor"/>
      </rPr>
      <t>Other</t>
    </r>
    <r>
      <rPr>
        <sz val="11"/>
        <color theme="1"/>
        <rFont val="Calibri"/>
        <family val="2"/>
        <scheme val="minor"/>
      </rPr>
      <t xml:space="preserve"> - Other
</t>
    </r>
  </si>
  <si>
    <r>
      <t>03513</t>
    </r>
    <r>
      <rPr>
        <sz val="11"/>
        <color theme="1"/>
        <rFont val="Calibri"/>
        <family val="2"/>
        <scheme val="minor"/>
      </rPr>
      <t xml:space="preserve"> - Additional example items/tasks
</t>
    </r>
    <r>
      <rPr>
        <b/>
        <sz val="11"/>
        <color theme="1"/>
        <rFont val="Calibri"/>
        <family val="2"/>
        <scheme val="minor"/>
      </rPr>
      <t>00461</t>
    </r>
    <r>
      <rPr>
        <sz val="11"/>
        <color theme="1"/>
        <rFont val="Calibri"/>
        <family val="2"/>
        <scheme val="minor"/>
      </rPr>
      <t xml:space="preserve"> - Adjustable swivel arm
</t>
    </r>
    <r>
      <rPr>
        <b/>
        <sz val="11"/>
        <color theme="1"/>
        <rFont val="Calibri"/>
        <family val="2"/>
        <scheme val="minor"/>
      </rPr>
      <t>00462</t>
    </r>
    <r>
      <rPr>
        <sz val="11"/>
        <color theme="1"/>
        <rFont val="Calibri"/>
        <family val="2"/>
        <scheme val="minor"/>
      </rPr>
      <t xml:space="preserve"> - Adjustable table height
</t>
    </r>
    <r>
      <rPr>
        <b/>
        <sz val="11"/>
        <color theme="1"/>
        <rFont val="Calibri"/>
        <family val="2"/>
        <scheme val="minor"/>
      </rPr>
      <t>03514</t>
    </r>
    <r>
      <rPr>
        <sz val="11"/>
        <color theme="1"/>
        <rFont val="Calibri"/>
        <family val="2"/>
        <scheme val="minor"/>
      </rPr>
      <t xml:space="preserve"> - Administration in several sessions
</t>
    </r>
    <r>
      <rPr>
        <b/>
        <sz val="11"/>
        <color theme="1"/>
        <rFont val="Calibri"/>
        <family val="2"/>
        <scheme val="minor"/>
      </rPr>
      <t>13803</t>
    </r>
    <r>
      <rPr>
        <sz val="11"/>
        <color theme="1"/>
        <rFont val="Calibri"/>
        <family val="2"/>
        <scheme val="minor"/>
      </rPr>
      <t xml:space="preserve"> - Alternate representation
</t>
    </r>
    <r>
      <rPr>
        <b/>
        <sz val="11"/>
        <color theme="1"/>
        <rFont val="Calibri"/>
        <family val="2"/>
        <scheme val="minor"/>
      </rPr>
      <t>13793</t>
    </r>
    <r>
      <rPr>
        <sz val="11"/>
        <color theme="1"/>
        <rFont val="Calibri"/>
        <family val="2"/>
        <scheme val="minor"/>
      </rPr>
      <t xml:space="preserve"> - Answer masking
</t>
    </r>
    <r>
      <rPr>
        <b/>
        <sz val="11"/>
        <color theme="1"/>
        <rFont val="Calibri"/>
        <family val="2"/>
        <scheme val="minor"/>
      </rPr>
      <t>03515</t>
    </r>
    <r>
      <rPr>
        <sz val="11"/>
        <color theme="1"/>
        <rFont val="Calibri"/>
        <family val="2"/>
        <scheme val="minor"/>
      </rPr>
      <t xml:space="preserve"> - Answers written directly in test booklet
</t>
    </r>
    <r>
      <rPr>
        <b/>
        <sz val="11"/>
        <color theme="1"/>
        <rFont val="Calibri"/>
        <family val="2"/>
        <scheme val="minor"/>
      </rPr>
      <t>03517</t>
    </r>
    <r>
      <rPr>
        <sz val="11"/>
        <color theme="1"/>
        <rFont val="Calibri"/>
        <family val="2"/>
        <scheme val="minor"/>
      </rPr>
      <t xml:space="preserve"> - Arithmetic table (math or science)
</t>
    </r>
    <r>
      <rPr>
        <b/>
        <sz val="11"/>
        <color theme="1"/>
        <rFont val="Calibri"/>
        <family val="2"/>
        <scheme val="minor"/>
      </rPr>
      <t>03516</t>
    </r>
    <r>
      <rPr>
        <sz val="11"/>
        <color theme="1"/>
        <rFont val="Calibri"/>
        <family val="2"/>
        <scheme val="minor"/>
      </rPr>
      <t xml:space="preserve"> - Assessment in native language
</t>
    </r>
    <r>
      <rPr>
        <b/>
        <sz val="11"/>
        <color theme="1"/>
        <rFont val="Calibri"/>
        <family val="2"/>
        <scheme val="minor"/>
      </rPr>
      <t>03519</t>
    </r>
    <r>
      <rPr>
        <sz val="11"/>
        <color theme="1"/>
        <rFont val="Calibri"/>
        <family val="2"/>
        <scheme val="minor"/>
      </rPr>
      <t xml:space="preserve"> - Assistive device that does interfere with independent work of the student
</t>
    </r>
    <r>
      <rPr>
        <b/>
        <sz val="11"/>
        <color theme="1"/>
        <rFont val="Calibri"/>
        <family val="2"/>
        <scheme val="minor"/>
      </rPr>
      <t>03518</t>
    </r>
    <r>
      <rPr>
        <sz val="11"/>
        <color theme="1"/>
        <rFont val="Calibri"/>
        <family val="2"/>
        <scheme val="minor"/>
      </rPr>
      <t xml:space="preserve"> - Assistive device that does not interfere with independent work of the student
</t>
    </r>
    <r>
      <rPr>
        <b/>
        <sz val="11"/>
        <color theme="1"/>
        <rFont val="Calibri"/>
        <family val="2"/>
        <scheme val="minor"/>
      </rPr>
      <t>03521</t>
    </r>
    <r>
      <rPr>
        <sz val="11"/>
        <color theme="1"/>
        <rFont val="Calibri"/>
        <family val="2"/>
        <scheme val="minor"/>
      </rPr>
      <t xml:space="preserve"> - Audio cassette player
</t>
    </r>
    <r>
      <rPr>
        <b/>
        <sz val="11"/>
        <color theme="1"/>
        <rFont val="Calibri"/>
        <family val="2"/>
        <scheme val="minor"/>
      </rPr>
      <t>03520</t>
    </r>
    <r>
      <rPr>
        <sz val="11"/>
        <color theme="1"/>
        <rFont val="Calibri"/>
        <family val="2"/>
        <scheme val="minor"/>
      </rPr>
      <t xml:space="preserve"> - Audiotape or CD
</t>
    </r>
    <r>
      <rPr>
        <b/>
        <sz val="11"/>
        <color theme="1"/>
        <rFont val="Calibri"/>
        <family val="2"/>
        <scheme val="minor"/>
      </rPr>
      <t>13791</t>
    </r>
    <r>
      <rPr>
        <sz val="11"/>
        <color theme="1"/>
        <rFont val="Calibri"/>
        <family val="2"/>
        <scheme val="minor"/>
      </rPr>
      <t xml:space="preserve"> - Auditory calming
</t>
    </r>
    <r>
      <rPr>
        <b/>
        <sz val="11"/>
        <color theme="1"/>
        <rFont val="Calibri"/>
        <family val="2"/>
        <scheme val="minor"/>
      </rPr>
      <t>00463</t>
    </r>
    <r>
      <rPr>
        <sz val="11"/>
        <color theme="1"/>
        <rFont val="Calibri"/>
        <family val="2"/>
        <scheme val="minor"/>
      </rPr>
      <t xml:space="preserve"> - Braille
</t>
    </r>
    <r>
      <rPr>
        <b/>
        <sz val="11"/>
        <color theme="1"/>
        <rFont val="Calibri"/>
        <family val="2"/>
        <scheme val="minor"/>
      </rPr>
      <t>03522</t>
    </r>
    <r>
      <rPr>
        <sz val="11"/>
        <color theme="1"/>
        <rFont val="Calibri"/>
        <family val="2"/>
        <scheme val="minor"/>
      </rPr>
      <t xml:space="preserve"> - Braille writer, no thesaurus, spell- or grammar-checker
</t>
    </r>
    <r>
      <rPr>
        <b/>
        <sz val="11"/>
        <color theme="1"/>
        <rFont val="Calibri"/>
        <family val="2"/>
        <scheme val="minor"/>
      </rPr>
      <t>03523</t>
    </r>
    <r>
      <rPr>
        <sz val="11"/>
        <color theme="1"/>
        <rFont val="Calibri"/>
        <family val="2"/>
        <scheme val="minor"/>
      </rPr>
      <t xml:space="preserve"> - Breaks during testing
</t>
    </r>
    <r>
      <rPr>
        <b/>
        <sz val="11"/>
        <color theme="1"/>
        <rFont val="Calibri"/>
        <family val="2"/>
        <scheme val="minor"/>
      </rPr>
      <t>03524</t>
    </r>
    <r>
      <rPr>
        <sz val="11"/>
        <color theme="1"/>
        <rFont val="Calibri"/>
        <family val="2"/>
        <scheme val="minor"/>
      </rPr>
      <t xml:space="preserve"> - Calculator (math or science)
</t>
    </r>
    <r>
      <rPr>
        <b/>
        <sz val="11"/>
        <color theme="1"/>
        <rFont val="Calibri"/>
        <family val="2"/>
        <scheme val="minor"/>
      </rPr>
      <t>13800</t>
    </r>
    <r>
      <rPr>
        <sz val="11"/>
        <color theme="1"/>
        <rFont val="Calibri"/>
        <family val="2"/>
        <scheme val="minor"/>
      </rPr>
      <t xml:space="preserve"> - Chunking
</t>
    </r>
    <r>
      <rPr>
        <b/>
        <sz val="11"/>
        <color theme="1"/>
        <rFont val="Calibri"/>
        <family val="2"/>
        <scheme val="minor"/>
      </rPr>
      <t>03525</t>
    </r>
    <r>
      <rPr>
        <sz val="11"/>
        <color theme="1"/>
        <rFont val="Calibri"/>
        <family val="2"/>
        <scheme val="minor"/>
      </rPr>
      <t xml:space="preserve"> - Clarify directions
</t>
    </r>
    <r>
      <rPr>
        <b/>
        <sz val="11"/>
        <color theme="1"/>
        <rFont val="Calibri"/>
        <family val="2"/>
        <scheme val="minor"/>
      </rPr>
      <t>03526</t>
    </r>
    <r>
      <rPr>
        <sz val="11"/>
        <color theme="1"/>
        <rFont val="Calibri"/>
        <family val="2"/>
        <scheme val="minor"/>
      </rPr>
      <t xml:space="preserve"> - Colored lenses
</t>
    </r>
    <r>
      <rPr>
        <b/>
        <sz val="11"/>
        <color theme="1"/>
        <rFont val="Calibri"/>
        <family val="2"/>
        <scheme val="minor"/>
      </rPr>
      <t>03527</t>
    </r>
    <r>
      <rPr>
        <sz val="11"/>
        <color theme="1"/>
        <rFont val="Calibri"/>
        <family val="2"/>
        <scheme val="minor"/>
      </rPr>
      <t xml:space="preserve"> - Computer administration
</t>
    </r>
    <r>
      <rPr>
        <b/>
        <sz val="11"/>
        <color theme="1"/>
        <rFont val="Calibri"/>
        <family val="2"/>
        <scheme val="minor"/>
      </rPr>
      <t>03528</t>
    </r>
    <r>
      <rPr>
        <sz val="11"/>
        <color theme="1"/>
        <rFont val="Calibri"/>
        <family val="2"/>
        <scheme val="minor"/>
      </rPr>
      <t xml:space="preserve"> - Cranmer abacus
</t>
    </r>
    <r>
      <rPr>
        <b/>
        <sz val="11"/>
        <color theme="1"/>
        <rFont val="Calibri"/>
        <family val="2"/>
        <scheme val="minor"/>
      </rPr>
      <t>03529</t>
    </r>
    <r>
      <rPr>
        <sz val="11"/>
        <color theme="1"/>
        <rFont val="Calibri"/>
        <family val="2"/>
        <scheme val="minor"/>
      </rPr>
      <t xml:space="preserve"> - Cueing
</t>
    </r>
    <r>
      <rPr>
        <b/>
        <sz val="11"/>
        <color theme="1"/>
        <rFont val="Calibri"/>
        <family val="2"/>
        <scheme val="minor"/>
      </rPr>
      <t>03532</t>
    </r>
    <r>
      <rPr>
        <sz val="11"/>
        <color theme="1"/>
        <rFont val="Calibri"/>
        <family val="2"/>
        <scheme val="minor"/>
      </rPr>
      <t xml:space="preserve"> - Dictated oral response (to a proctor)
</t>
    </r>
    <r>
      <rPr>
        <b/>
        <sz val="11"/>
        <color theme="1"/>
        <rFont val="Calibri"/>
        <family val="2"/>
        <scheme val="minor"/>
      </rPr>
      <t>03530</t>
    </r>
    <r>
      <rPr>
        <sz val="11"/>
        <color theme="1"/>
        <rFont val="Calibri"/>
        <family val="2"/>
        <scheme val="minor"/>
      </rPr>
      <t xml:space="preserve"> - Dictionary in English
</t>
    </r>
    <r>
      <rPr>
        <b/>
        <sz val="11"/>
        <color theme="1"/>
        <rFont val="Calibri"/>
        <family val="2"/>
        <scheme val="minor"/>
      </rPr>
      <t>03531</t>
    </r>
    <r>
      <rPr>
        <sz val="11"/>
        <color theme="1"/>
        <rFont val="Calibri"/>
        <family val="2"/>
        <scheme val="minor"/>
      </rPr>
      <t xml:space="preserve"> - Dictionary in native language
</t>
    </r>
    <r>
      <rPr>
        <b/>
        <sz val="11"/>
        <color theme="1"/>
        <rFont val="Calibri"/>
        <family val="2"/>
        <scheme val="minor"/>
      </rPr>
      <t>03533</t>
    </r>
    <r>
      <rPr>
        <sz val="11"/>
        <color theme="1"/>
        <rFont val="Calibri"/>
        <family val="2"/>
        <scheme val="minor"/>
      </rPr>
      <t xml:space="preserve"> - Directions read aloud or explained
</t>
    </r>
    <r>
      <rPr>
        <b/>
        <sz val="11"/>
        <color theme="1"/>
        <rFont val="Calibri"/>
        <family val="2"/>
        <scheme val="minor"/>
      </rPr>
      <t>13795</t>
    </r>
    <r>
      <rPr>
        <sz val="11"/>
        <color theme="1"/>
        <rFont val="Calibri"/>
        <family val="2"/>
        <scheme val="minor"/>
      </rPr>
      <t xml:space="preserve"> - Encouraging prompts
</t>
    </r>
    <r>
      <rPr>
        <b/>
        <sz val="11"/>
        <color theme="1"/>
        <rFont val="Calibri"/>
        <family val="2"/>
        <scheme val="minor"/>
      </rPr>
      <t>00937</t>
    </r>
    <r>
      <rPr>
        <sz val="11"/>
        <color theme="1"/>
        <rFont val="Calibri"/>
        <family val="2"/>
        <scheme val="minor"/>
      </rPr>
      <t xml:space="preserve"> - Enlarged keyboard
</t>
    </r>
    <r>
      <rPr>
        <b/>
        <sz val="11"/>
        <color theme="1"/>
        <rFont val="Calibri"/>
        <family val="2"/>
        <scheme val="minor"/>
      </rPr>
      <t>00464</t>
    </r>
    <r>
      <rPr>
        <sz val="11"/>
        <color theme="1"/>
        <rFont val="Calibri"/>
        <family val="2"/>
        <scheme val="minor"/>
      </rPr>
      <t xml:space="preserve"> - Enlarged monitor view
</t>
    </r>
    <r>
      <rPr>
        <b/>
        <sz val="11"/>
        <color theme="1"/>
        <rFont val="Calibri"/>
        <family val="2"/>
        <scheme val="minor"/>
      </rPr>
      <t>03534</t>
    </r>
    <r>
      <rPr>
        <sz val="11"/>
        <color theme="1"/>
        <rFont val="Calibri"/>
        <family val="2"/>
        <scheme val="minor"/>
      </rPr>
      <t xml:space="preserve"> - Examiner familiarity
</t>
    </r>
    <r>
      <rPr>
        <b/>
        <sz val="11"/>
        <color theme="1"/>
        <rFont val="Calibri"/>
        <family val="2"/>
        <scheme val="minor"/>
      </rPr>
      <t>00465</t>
    </r>
    <r>
      <rPr>
        <sz val="11"/>
        <color theme="1"/>
        <rFont val="Calibri"/>
        <family val="2"/>
        <scheme val="minor"/>
      </rPr>
      <t xml:space="preserve"> - Extra time
</t>
    </r>
    <r>
      <rPr>
        <b/>
        <sz val="11"/>
        <color theme="1"/>
        <rFont val="Calibri"/>
        <family val="2"/>
        <scheme val="minor"/>
      </rPr>
      <t>13797</t>
    </r>
    <r>
      <rPr>
        <sz val="11"/>
        <color theme="1"/>
        <rFont val="Calibri"/>
        <family val="2"/>
        <scheme val="minor"/>
      </rPr>
      <t xml:space="preserve"> - Flagging
</t>
    </r>
    <r>
      <rPr>
        <b/>
        <sz val="11"/>
        <color theme="1"/>
        <rFont val="Calibri"/>
        <family val="2"/>
        <scheme val="minor"/>
      </rPr>
      <t>03535</t>
    </r>
    <r>
      <rPr>
        <sz val="11"/>
        <color theme="1"/>
        <rFont val="Calibri"/>
        <family val="2"/>
        <scheme val="minor"/>
      </rPr>
      <t xml:space="preserve"> - Font enlarged beyond print version requirements
</t>
    </r>
    <r>
      <rPr>
        <b/>
        <sz val="11"/>
        <color theme="1"/>
        <rFont val="Calibri"/>
        <family val="2"/>
        <scheme val="minor"/>
      </rPr>
      <t>13789</t>
    </r>
    <r>
      <rPr>
        <sz val="11"/>
        <color theme="1"/>
        <rFont val="Calibri"/>
        <family val="2"/>
        <scheme val="minor"/>
      </rPr>
      <t xml:space="preserve"> - Foreground/Background colors
</t>
    </r>
    <r>
      <rPr>
        <b/>
        <sz val="11"/>
        <color theme="1"/>
        <rFont val="Calibri"/>
        <family val="2"/>
        <scheme val="minor"/>
      </rPr>
      <t>03536</t>
    </r>
    <r>
      <rPr>
        <sz val="11"/>
        <color theme="1"/>
        <rFont val="Calibri"/>
        <family val="2"/>
        <scheme val="minor"/>
      </rPr>
      <t xml:space="preserve"> - Foreign language interpreter
</t>
    </r>
    <r>
      <rPr>
        <b/>
        <sz val="11"/>
        <color theme="1"/>
        <rFont val="Calibri"/>
        <family val="2"/>
        <scheme val="minor"/>
      </rPr>
      <t>03537</t>
    </r>
    <r>
      <rPr>
        <sz val="11"/>
        <color theme="1"/>
        <rFont val="Calibri"/>
        <family val="2"/>
        <scheme val="minor"/>
      </rPr>
      <t xml:space="preserve"> - Foreign language interpreter for instructions, ask questions
</t>
    </r>
    <r>
      <rPr>
        <b/>
        <sz val="11"/>
        <color theme="1"/>
        <rFont val="Calibri"/>
        <family val="2"/>
        <scheme val="minor"/>
      </rPr>
      <t>03538</t>
    </r>
    <r>
      <rPr>
        <sz val="11"/>
        <color theme="1"/>
        <rFont val="Calibri"/>
        <family val="2"/>
        <scheme val="minor"/>
      </rPr>
      <t xml:space="preserve"> - Format
</t>
    </r>
    <r>
      <rPr>
        <b/>
        <sz val="11"/>
        <color theme="1"/>
        <rFont val="Calibri"/>
        <family val="2"/>
        <scheme val="minor"/>
      </rPr>
      <t>03539</t>
    </r>
    <r>
      <rPr>
        <sz val="11"/>
        <color theme="1"/>
        <rFont val="Calibri"/>
        <family val="2"/>
        <scheme val="minor"/>
      </rPr>
      <t xml:space="preserve"> - Hospital/home testing
</t>
    </r>
    <r>
      <rPr>
        <b/>
        <sz val="11"/>
        <color theme="1"/>
        <rFont val="Calibri"/>
        <family val="2"/>
        <scheme val="minor"/>
      </rPr>
      <t>13790</t>
    </r>
    <r>
      <rPr>
        <sz val="11"/>
        <color theme="1"/>
        <rFont val="Calibri"/>
        <family val="2"/>
        <scheme val="minor"/>
      </rPr>
      <t xml:space="preserve"> - Increase white space
</t>
    </r>
    <r>
      <rPr>
        <b/>
        <sz val="11"/>
        <color theme="1"/>
        <rFont val="Calibri"/>
        <family val="2"/>
        <scheme val="minor"/>
      </rPr>
      <t>13805</t>
    </r>
    <r>
      <rPr>
        <sz val="11"/>
        <color theme="1"/>
        <rFont val="Calibri"/>
        <family val="2"/>
        <scheme val="minor"/>
      </rPr>
      <t xml:space="preserve"> - Item translation
</t>
    </r>
    <r>
      <rPr>
        <b/>
        <sz val="11"/>
        <color theme="1"/>
        <rFont val="Calibri"/>
        <family val="2"/>
        <scheme val="minor"/>
      </rPr>
      <t>13798</t>
    </r>
    <r>
      <rPr>
        <sz val="11"/>
        <color theme="1"/>
        <rFont val="Calibri"/>
        <family val="2"/>
        <scheme val="minor"/>
      </rPr>
      <t xml:space="preserve"> - Keyword highlighting
</t>
    </r>
    <r>
      <rPr>
        <b/>
        <sz val="11"/>
        <color theme="1"/>
        <rFont val="Calibri"/>
        <family val="2"/>
        <scheme val="minor"/>
      </rPr>
      <t>13804</t>
    </r>
    <r>
      <rPr>
        <sz val="11"/>
        <color theme="1"/>
        <rFont val="Calibri"/>
        <family val="2"/>
        <scheme val="minor"/>
      </rPr>
      <t xml:space="preserve"> - Keyword translation
</t>
    </r>
    <r>
      <rPr>
        <b/>
        <sz val="11"/>
        <color theme="1"/>
        <rFont val="Calibri"/>
        <family val="2"/>
        <scheme val="minor"/>
      </rPr>
      <t>00468</t>
    </r>
    <r>
      <rPr>
        <sz val="11"/>
        <color theme="1"/>
        <rFont val="Calibri"/>
        <family val="2"/>
        <scheme val="minor"/>
      </rPr>
      <t xml:space="preserve"> - Large print booklet
</t>
    </r>
    <r>
      <rPr>
        <b/>
        <sz val="11"/>
        <color theme="1"/>
        <rFont val="Calibri"/>
        <family val="2"/>
        <scheme val="minor"/>
      </rPr>
      <t>13796</t>
    </r>
    <r>
      <rPr>
        <sz val="11"/>
        <color theme="1"/>
        <rFont val="Calibri"/>
        <family val="2"/>
        <scheme val="minor"/>
      </rPr>
      <t xml:space="preserve"> - Line reader
</t>
    </r>
    <r>
      <rPr>
        <b/>
        <sz val="11"/>
        <color theme="1"/>
        <rFont val="Calibri"/>
        <family val="2"/>
        <scheme val="minor"/>
      </rPr>
      <t>03540</t>
    </r>
    <r>
      <rPr>
        <sz val="11"/>
        <color theme="1"/>
        <rFont val="Calibri"/>
        <family val="2"/>
        <scheme val="minor"/>
      </rPr>
      <t xml:space="preserve"> - Linguistic modification of test directions
</t>
    </r>
    <r>
      <rPr>
        <b/>
        <sz val="11"/>
        <color theme="1"/>
        <rFont val="Calibri"/>
        <family val="2"/>
        <scheme val="minor"/>
      </rPr>
      <t>03541</t>
    </r>
    <r>
      <rPr>
        <sz val="11"/>
        <color theme="1"/>
        <rFont val="Calibri"/>
        <family val="2"/>
        <scheme val="minor"/>
      </rPr>
      <t xml:space="preserve"> - Magnification device
</t>
    </r>
    <r>
      <rPr>
        <b/>
        <sz val="11"/>
        <color theme="1"/>
        <rFont val="Calibri"/>
        <family val="2"/>
        <scheme val="minor"/>
      </rPr>
      <t>03542</t>
    </r>
    <r>
      <rPr>
        <sz val="11"/>
        <color theme="1"/>
        <rFont val="Calibri"/>
        <family val="2"/>
        <scheme val="minor"/>
      </rPr>
      <t xml:space="preserve"> - Manually coded English or American Sign Language to present test questions
</t>
    </r>
    <r>
      <rPr>
        <b/>
        <sz val="11"/>
        <color theme="1"/>
        <rFont val="Calibri"/>
        <family val="2"/>
        <scheme val="minor"/>
      </rPr>
      <t>13792</t>
    </r>
    <r>
      <rPr>
        <sz val="11"/>
        <color theme="1"/>
        <rFont val="Calibri"/>
        <family val="2"/>
        <scheme val="minor"/>
      </rPr>
      <t xml:space="preserve"> - Masking
</t>
    </r>
    <r>
      <rPr>
        <b/>
        <sz val="11"/>
        <color theme="1"/>
        <rFont val="Calibri"/>
        <family val="2"/>
        <scheme val="minor"/>
      </rPr>
      <t>03543</t>
    </r>
    <r>
      <rPr>
        <sz val="11"/>
        <color theme="1"/>
        <rFont val="Calibri"/>
        <family val="2"/>
        <scheme val="minor"/>
      </rPr>
      <t xml:space="preserve"> - Math manipulatives (math or science)
</t>
    </r>
    <r>
      <rPr>
        <b/>
        <sz val="11"/>
        <color theme="1"/>
        <rFont val="Calibri"/>
        <family val="2"/>
        <scheme val="minor"/>
      </rPr>
      <t>03544</t>
    </r>
    <r>
      <rPr>
        <sz val="11"/>
        <color theme="1"/>
        <rFont val="Calibri"/>
        <family val="2"/>
        <scheme val="minor"/>
      </rPr>
      <t xml:space="preserve"> - Modification of linguistic complexity
</t>
    </r>
    <r>
      <rPr>
        <b/>
        <sz val="11"/>
        <color theme="1"/>
        <rFont val="Calibri"/>
        <family val="2"/>
        <scheme val="minor"/>
      </rPr>
      <t>00469</t>
    </r>
    <r>
      <rPr>
        <sz val="11"/>
        <color theme="1"/>
        <rFont val="Calibri"/>
        <family val="2"/>
        <scheme val="minor"/>
      </rPr>
      <t xml:space="preserve"> - Multi-day administration
</t>
    </r>
    <r>
      <rPr>
        <b/>
        <sz val="11"/>
        <color theme="1"/>
        <rFont val="Calibri"/>
        <family val="2"/>
        <scheme val="minor"/>
      </rPr>
      <t>03545</t>
    </r>
    <r>
      <rPr>
        <sz val="11"/>
        <color theme="1"/>
        <rFont val="Calibri"/>
        <family val="2"/>
        <scheme val="minor"/>
      </rPr>
      <t xml:space="preserve"> - Multiple test sessions
</t>
    </r>
    <r>
      <rPr>
        <b/>
        <sz val="11"/>
        <color theme="1"/>
        <rFont val="Calibri"/>
        <family val="2"/>
        <scheme val="minor"/>
      </rPr>
      <t>13802</t>
    </r>
    <r>
      <rPr>
        <sz val="11"/>
        <color theme="1"/>
        <rFont val="Calibri"/>
        <family val="2"/>
        <scheme val="minor"/>
      </rPr>
      <t xml:space="preserve"> - Negatives removed
</t>
    </r>
    <r>
      <rPr>
        <b/>
        <sz val="11"/>
        <color theme="1"/>
        <rFont val="Calibri"/>
        <family val="2"/>
        <scheme val="minor"/>
      </rPr>
      <t>03546</t>
    </r>
    <r>
      <rPr>
        <sz val="11"/>
        <color theme="1"/>
        <rFont val="Calibri"/>
        <family val="2"/>
        <scheme val="minor"/>
      </rPr>
      <t xml:space="preserve"> - Oral directions in the native language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03547</t>
    </r>
    <r>
      <rPr>
        <sz val="11"/>
        <color theme="1"/>
        <rFont val="Calibri"/>
        <family val="2"/>
        <scheme val="minor"/>
      </rPr>
      <t xml:space="preserve"> - Paraphrasing
</t>
    </r>
    <r>
      <rPr>
        <b/>
        <sz val="11"/>
        <color theme="1"/>
        <rFont val="Calibri"/>
        <family val="2"/>
        <scheme val="minor"/>
      </rPr>
      <t>03548</t>
    </r>
    <r>
      <rPr>
        <sz val="11"/>
        <color theme="1"/>
        <rFont val="Calibri"/>
        <family val="2"/>
        <scheme val="minor"/>
      </rPr>
      <t xml:space="preserve"> - Physical supports
</t>
    </r>
    <r>
      <rPr>
        <b/>
        <sz val="11"/>
        <color theme="1"/>
        <rFont val="Calibri"/>
        <family val="2"/>
        <scheme val="minor"/>
      </rPr>
      <t>00471</t>
    </r>
    <r>
      <rPr>
        <sz val="11"/>
        <color theme="1"/>
        <rFont val="Calibri"/>
        <family val="2"/>
        <scheme val="minor"/>
      </rPr>
      <t xml:space="preserve"> - Recorder or amanuensis
</t>
    </r>
    <r>
      <rPr>
        <b/>
        <sz val="11"/>
        <color theme="1"/>
        <rFont val="Calibri"/>
        <family val="2"/>
        <scheme val="minor"/>
      </rPr>
      <t>13801</t>
    </r>
    <r>
      <rPr>
        <sz val="11"/>
        <color theme="1"/>
        <rFont val="Calibri"/>
        <family val="2"/>
        <scheme val="minor"/>
      </rPr>
      <t xml:space="preserve"> - Reduced answer choices
</t>
    </r>
    <r>
      <rPr>
        <b/>
        <sz val="11"/>
        <color theme="1"/>
        <rFont val="Calibri"/>
        <family val="2"/>
        <scheme val="minor"/>
      </rPr>
      <t>03549</t>
    </r>
    <r>
      <rPr>
        <sz val="11"/>
        <color theme="1"/>
        <rFont val="Calibri"/>
        <family val="2"/>
        <scheme val="minor"/>
      </rPr>
      <t xml:space="preserve"> - Response dictated in American Sign Language
</t>
    </r>
    <r>
      <rPr>
        <b/>
        <sz val="11"/>
        <color theme="1"/>
        <rFont val="Calibri"/>
        <family val="2"/>
        <scheme val="minor"/>
      </rPr>
      <t>03550</t>
    </r>
    <r>
      <rPr>
        <sz val="11"/>
        <color theme="1"/>
        <rFont val="Calibri"/>
        <family val="2"/>
        <scheme val="minor"/>
      </rPr>
      <t xml:space="preserve"> - Response in native language
</t>
    </r>
    <r>
      <rPr>
        <b/>
        <sz val="11"/>
        <color theme="1"/>
        <rFont val="Calibri"/>
        <family val="2"/>
        <scheme val="minor"/>
      </rPr>
      <t>13788</t>
    </r>
    <r>
      <rPr>
        <sz val="11"/>
        <color theme="1"/>
        <rFont val="Calibri"/>
        <family val="2"/>
        <scheme val="minor"/>
      </rPr>
      <t xml:space="preserve"> - Reverse contrast
</t>
    </r>
    <r>
      <rPr>
        <b/>
        <sz val="11"/>
        <color theme="1"/>
        <rFont val="Calibri"/>
        <family val="2"/>
        <scheme val="minor"/>
      </rPr>
      <t>13799</t>
    </r>
    <r>
      <rPr>
        <sz val="11"/>
        <color theme="1"/>
        <rFont val="Calibri"/>
        <family val="2"/>
        <scheme val="minor"/>
      </rPr>
      <t xml:space="preserve"> - Scaffolding
</t>
    </r>
    <r>
      <rPr>
        <b/>
        <sz val="11"/>
        <color theme="1"/>
        <rFont val="Calibri"/>
        <family val="2"/>
        <scheme val="minor"/>
      </rPr>
      <t>03551</t>
    </r>
    <r>
      <rPr>
        <sz val="11"/>
        <color theme="1"/>
        <rFont val="Calibri"/>
        <family val="2"/>
        <scheme val="minor"/>
      </rPr>
      <t xml:space="preserve"> - Scheduled extended time
</t>
    </r>
    <r>
      <rPr>
        <b/>
        <sz val="11"/>
        <color theme="1"/>
        <rFont val="Calibri"/>
        <family val="2"/>
        <scheme val="minor"/>
      </rPr>
      <t>00473</t>
    </r>
    <r>
      <rPr>
        <sz val="11"/>
        <color theme="1"/>
        <rFont val="Calibri"/>
        <family val="2"/>
        <scheme val="minor"/>
      </rPr>
      <t xml:space="preserve"> - Separate room
</t>
    </r>
    <r>
      <rPr>
        <b/>
        <sz val="11"/>
        <color theme="1"/>
        <rFont val="Calibri"/>
        <family val="2"/>
        <scheme val="minor"/>
      </rPr>
      <t>03552</t>
    </r>
    <r>
      <rPr>
        <sz val="11"/>
        <color theme="1"/>
        <rFont val="Calibri"/>
        <family val="2"/>
        <scheme val="minor"/>
      </rPr>
      <t xml:space="preserve"> - Separate room with other English Learners under supervision of district employee
</t>
    </r>
    <r>
      <rPr>
        <b/>
        <sz val="11"/>
        <color theme="1"/>
        <rFont val="Calibri"/>
        <family val="2"/>
        <scheme val="minor"/>
      </rPr>
      <t>73070</t>
    </r>
    <r>
      <rPr>
        <sz val="11"/>
        <color theme="1"/>
        <rFont val="Calibri"/>
        <family val="2"/>
        <scheme val="minor"/>
      </rPr>
      <t xml:space="preserve"> - Sign Language Video
</t>
    </r>
    <r>
      <rPr>
        <b/>
        <sz val="11"/>
        <color theme="1"/>
        <rFont val="Calibri"/>
        <family val="2"/>
        <scheme val="minor"/>
      </rPr>
      <t>03553</t>
    </r>
    <r>
      <rPr>
        <sz val="11"/>
        <color theme="1"/>
        <rFont val="Calibri"/>
        <family val="2"/>
        <scheme val="minor"/>
      </rPr>
      <t xml:space="preserve"> - Signer/sign language for instructions, ask questions
</t>
    </r>
    <r>
      <rPr>
        <b/>
        <sz val="11"/>
        <color theme="1"/>
        <rFont val="Calibri"/>
        <family val="2"/>
        <scheme val="minor"/>
      </rPr>
      <t>00474</t>
    </r>
    <r>
      <rPr>
        <sz val="11"/>
        <color theme="1"/>
        <rFont val="Calibri"/>
        <family val="2"/>
        <scheme val="minor"/>
      </rPr>
      <t xml:space="preserve"> - Signer/sign language interpreter
</t>
    </r>
    <r>
      <rPr>
        <b/>
        <sz val="11"/>
        <color theme="1"/>
        <rFont val="Calibri"/>
        <family val="2"/>
        <scheme val="minor"/>
      </rPr>
      <t>03554</t>
    </r>
    <r>
      <rPr>
        <sz val="11"/>
        <color theme="1"/>
        <rFont val="Calibri"/>
        <family val="2"/>
        <scheme val="minor"/>
      </rPr>
      <t xml:space="preserve"> - Simplified language
</t>
    </r>
    <r>
      <rPr>
        <b/>
        <sz val="11"/>
        <color theme="1"/>
        <rFont val="Calibri"/>
        <family val="2"/>
        <scheme val="minor"/>
      </rPr>
      <t>03555</t>
    </r>
    <r>
      <rPr>
        <sz val="11"/>
        <color theme="1"/>
        <rFont val="Calibri"/>
        <family val="2"/>
        <scheme val="minor"/>
      </rPr>
      <t xml:space="preserve"> - Small-group or individual administration
</t>
    </r>
    <r>
      <rPr>
        <b/>
        <sz val="11"/>
        <color theme="1"/>
        <rFont val="Calibri"/>
        <family val="2"/>
        <scheme val="minor"/>
      </rPr>
      <t>00475</t>
    </r>
    <r>
      <rPr>
        <sz val="11"/>
        <color theme="1"/>
        <rFont val="Calibri"/>
        <family val="2"/>
        <scheme val="minor"/>
      </rPr>
      <t xml:space="preserve"> - Special furniture
</t>
    </r>
    <r>
      <rPr>
        <b/>
        <sz val="11"/>
        <color theme="1"/>
        <rFont val="Calibri"/>
        <family val="2"/>
        <scheme val="minor"/>
      </rPr>
      <t>00476</t>
    </r>
    <r>
      <rPr>
        <sz val="11"/>
        <color theme="1"/>
        <rFont val="Calibri"/>
        <family val="2"/>
        <scheme val="minor"/>
      </rPr>
      <t xml:space="preserve"> - Special lighting
</t>
    </r>
    <r>
      <rPr>
        <b/>
        <sz val="11"/>
        <color theme="1"/>
        <rFont val="Calibri"/>
        <family val="2"/>
        <scheme val="minor"/>
      </rPr>
      <t>03558</t>
    </r>
    <r>
      <rPr>
        <sz val="11"/>
        <color theme="1"/>
        <rFont val="Calibri"/>
        <family val="2"/>
        <scheme val="minor"/>
      </rPr>
      <t xml:space="preserve"> - Specialized setting
</t>
    </r>
    <r>
      <rPr>
        <b/>
        <sz val="11"/>
        <color theme="1"/>
        <rFont val="Calibri"/>
        <family val="2"/>
        <scheme val="minor"/>
      </rPr>
      <t>03556</t>
    </r>
    <r>
      <rPr>
        <sz val="11"/>
        <color theme="1"/>
        <rFont val="Calibri"/>
        <family val="2"/>
        <scheme val="minor"/>
      </rPr>
      <t xml:space="preserve"> - Speech recognition system
</t>
    </r>
    <r>
      <rPr>
        <b/>
        <sz val="11"/>
        <color theme="1"/>
        <rFont val="Calibri"/>
        <family val="2"/>
        <scheme val="minor"/>
      </rPr>
      <t>03557</t>
    </r>
    <r>
      <rPr>
        <sz val="11"/>
        <color theme="1"/>
        <rFont val="Calibri"/>
        <family val="2"/>
        <scheme val="minor"/>
      </rPr>
      <t xml:space="preserve"> - Spell-checker
</t>
    </r>
    <r>
      <rPr>
        <b/>
        <sz val="11"/>
        <color theme="1"/>
        <rFont val="Calibri"/>
        <family val="2"/>
        <scheme val="minor"/>
      </rPr>
      <t>13794</t>
    </r>
    <r>
      <rPr>
        <sz val="11"/>
        <color theme="1"/>
        <rFont val="Calibri"/>
        <family val="2"/>
        <scheme val="minor"/>
      </rPr>
      <t xml:space="preserve"> - Structured masking
</t>
    </r>
    <r>
      <rPr>
        <b/>
        <sz val="11"/>
        <color theme="1"/>
        <rFont val="Calibri"/>
        <family val="2"/>
        <scheme val="minor"/>
      </rPr>
      <t>03559</t>
    </r>
    <r>
      <rPr>
        <sz val="11"/>
        <color theme="1"/>
        <rFont val="Calibri"/>
        <family val="2"/>
        <scheme val="minor"/>
      </rPr>
      <t xml:space="preserve"> - Student read aloud
</t>
    </r>
    <r>
      <rPr>
        <b/>
        <sz val="11"/>
        <color theme="1"/>
        <rFont val="Calibri"/>
        <family val="2"/>
        <scheme val="minor"/>
      </rPr>
      <t>03560</t>
    </r>
    <r>
      <rPr>
        <sz val="11"/>
        <color theme="1"/>
        <rFont val="Calibri"/>
        <family val="2"/>
        <scheme val="minor"/>
      </rPr>
      <t xml:space="preserve"> - Student-requested extended time
</t>
    </r>
    <r>
      <rPr>
        <b/>
        <sz val="11"/>
        <color theme="1"/>
        <rFont val="Calibri"/>
        <family val="2"/>
        <scheme val="minor"/>
      </rPr>
      <t>03561</t>
    </r>
    <r>
      <rPr>
        <sz val="11"/>
        <color theme="1"/>
        <rFont val="Calibri"/>
        <family val="2"/>
        <scheme val="minor"/>
      </rPr>
      <t xml:space="preserve"> - Supervised test breaks
</t>
    </r>
    <r>
      <rPr>
        <b/>
        <sz val="11"/>
        <color theme="1"/>
        <rFont val="Calibri"/>
        <family val="2"/>
        <scheme val="minor"/>
      </rPr>
      <t>13806</t>
    </r>
    <r>
      <rPr>
        <sz val="11"/>
        <color theme="1"/>
        <rFont val="Calibri"/>
        <family val="2"/>
        <scheme val="minor"/>
      </rPr>
      <t xml:space="preserve"> - Tactile
</t>
    </r>
    <r>
      <rPr>
        <b/>
        <sz val="11"/>
        <color theme="1"/>
        <rFont val="Calibri"/>
        <family val="2"/>
        <scheme val="minor"/>
      </rPr>
      <t>03562</t>
    </r>
    <r>
      <rPr>
        <sz val="11"/>
        <color theme="1"/>
        <rFont val="Calibri"/>
        <family val="2"/>
        <scheme val="minor"/>
      </rPr>
      <t xml:space="preserve"> - Technological aid
</t>
    </r>
    <r>
      <rPr>
        <b/>
        <sz val="11"/>
        <color theme="1"/>
        <rFont val="Calibri"/>
        <family val="2"/>
        <scheme val="minor"/>
      </rPr>
      <t>03565</t>
    </r>
    <r>
      <rPr>
        <sz val="11"/>
        <color theme="1"/>
        <rFont val="Calibri"/>
        <family val="2"/>
        <scheme val="minor"/>
      </rPr>
      <t xml:space="preserve"> - Test administered at best time of day for student handwriting issues
</t>
    </r>
    <r>
      <rPr>
        <b/>
        <sz val="11"/>
        <color theme="1"/>
        <rFont val="Calibri"/>
        <family val="2"/>
        <scheme val="minor"/>
      </rPr>
      <t>03563</t>
    </r>
    <r>
      <rPr>
        <sz val="11"/>
        <color theme="1"/>
        <rFont val="Calibri"/>
        <family val="2"/>
        <scheme val="minor"/>
      </rPr>
      <t xml:space="preserve"> - Test administrator marked / wrote test at student's direction
</t>
    </r>
    <r>
      <rPr>
        <b/>
        <sz val="11"/>
        <color theme="1"/>
        <rFont val="Calibri"/>
        <family val="2"/>
        <scheme val="minor"/>
      </rPr>
      <t>03564</t>
    </r>
    <r>
      <rPr>
        <sz val="11"/>
        <color theme="1"/>
        <rFont val="Calibri"/>
        <family val="2"/>
        <scheme val="minor"/>
      </rPr>
      <t xml:space="preserve"> - Test administrator read questions aloud
</t>
    </r>
    <r>
      <rPr>
        <b/>
        <sz val="11"/>
        <color theme="1"/>
        <rFont val="Calibri"/>
        <family val="2"/>
        <scheme val="minor"/>
      </rPr>
      <t>03566</t>
    </r>
    <r>
      <rPr>
        <sz val="11"/>
        <color theme="1"/>
        <rFont val="Calibri"/>
        <family val="2"/>
        <scheme val="minor"/>
      </rPr>
      <t xml:space="preserve"> - Text changes in vocabulary
</t>
    </r>
    <r>
      <rPr>
        <b/>
        <sz val="11"/>
        <color theme="1"/>
        <rFont val="Calibri"/>
        <family val="2"/>
        <scheme val="minor"/>
      </rPr>
      <t>00477</t>
    </r>
    <r>
      <rPr>
        <sz val="11"/>
        <color theme="1"/>
        <rFont val="Calibri"/>
        <family val="2"/>
        <scheme val="minor"/>
      </rPr>
      <t xml:space="preserve"> - Track ball
</t>
    </r>
    <r>
      <rPr>
        <b/>
        <sz val="11"/>
        <color theme="1"/>
        <rFont val="Calibri"/>
        <family val="2"/>
        <scheme val="minor"/>
      </rPr>
      <t>03567</t>
    </r>
    <r>
      <rPr>
        <sz val="11"/>
        <color theme="1"/>
        <rFont val="Calibri"/>
        <family val="2"/>
        <scheme val="minor"/>
      </rPr>
      <t xml:space="preserve"> - Translation dictionary
</t>
    </r>
    <r>
      <rPr>
        <b/>
        <sz val="11"/>
        <color theme="1"/>
        <rFont val="Calibri"/>
        <family val="2"/>
        <scheme val="minor"/>
      </rPr>
      <t>09997</t>
    </r>
    <r>
      <rPr>
        <sz val="11"/>
        <color theme="1"/>
        <rFont val="Calibri"/>
        <family val="2"/>
        <scheme val="minor"/>
      </rPr>
      <t xml:space="preserve"> - Unknown
</t>
    </r>
    <r>
      <rPr>
        <b/>
        <sz val="11"/>
        <color theme="1"/>
        <rFont val="Calibri"/>
        <family val="2"/>
        <scheme val="minor"/>
      </rPr>
      <t>00479</t>
    </r>
    <r>
      <rPr>
        <sz val="11"/>
        <color theme="1"/>
        <rFont val="Calibri"/>
        <family val="2"/>
        <scheme val="minor"/>
      </rPr>
      <t xml:space="preserve"> - Untimed
</t>
    </r>
    <r>
      <rPr>
        <b/>
        <sz val="11"/>
        <color theme="1"/>
        <rFont val="Calibri"/>
        <family val="2"/>
        <scheme val="minor"/>
      </rPr>
      <t>03568</t>
    </r>
    <r>
      <rPr>
        <sz val="11"/>
        <color theme="1"/>
        <rFont val="Calibri"/>
        <family val="2"/>
        <scheme val="minor"/>
      </rPr>
      <t xml:space="preserve"> - Verbalized problem-solving
</t>
    </r>
    <r>
      <rPr>
        <b/>
        <sz val="11"/>
        <color theme="1"/>
        <rFont val="Calibri"/>
        <family val="2"/>
        <scheme val="minor"/>
      </rPr>
      <t>03569</t>
    </r>
    <r>
      <rPr>
        <sz val="11"/>
        <color theme="1"/>
        <rFont val="Calibri"/>
        <family val="2"/>
        <scheme val="minor"/>
      </rPr>
      <t xml:space="preserve"> - Video cassette
</t>
    </r>
    <r>
      <rPr>
        <b/>
        <sz val="11"/>
        <color theme="1"/>
        <rFont val="Calibri"/>
        <family val="2"/>
        <scheme val="minor"/>
      </rPr>
      <t>03570</t>
    </r>
    <r>
      <rPr>
        <sz val="11"/>
        <color theme="1"/>
        <rFont val="Calibri"/>
        <family val="2"/>
        <scheme val="minor"/>
      </rPr>
      <t xml:space="preserve"> - Visual cues
</t>
    </r>
    <r>
      <rPr>
        <b/>
        <sz val="11"/>
        <color theme="1"/>
        <rFont val="Calibri"/>
        <family val="2"/>
        <scheme val="minor"/>
      </rPr>
      <t>03571</t>
    </r>
    <r>
      <rPr>
        <sz val="11"/>
        <color theme="1"/>
        <rFont val="Calibri"/>
        <family val="2"/>
        <scheme val="minor"/>
      </rPr>
      <t xml:space="preserve"> - Word processor
</t>
    </r>
    <r>
      <rPr>
        <b/>
        <sz val="11"/>
        <color theme="1"/>
        <rFont val="Calibri"/>
        <family val="2"/>
        <scheme val="minor"/>
      </rPr>
      <t>03572</t>
    </r>
    <r>
      <rPr>
        <sz val="11"/>
        <color theme="1"/>
        <rFont val="Calibri"/>
        <family val="2"/>
        <scheme val="minor"/>
      </rPr>
      <t xml:space="preserve"> - Word processor - grammar-checker turned off
</t>
    </r>
    <r>
      <rPr>
        <b/>
        <sz val="11"/>
        <color theme="1"/>
        <rFont val="Calibri"/>
        <family val="2"/>
        <scheme val="minor"/>
      </rPr>
      <t>03573</t>
    </r>
    <r>
      <rPr>
        <sz val="11"/>
        <color theme="1"/>
        <rFont val="Calibri"/>
        <family val="2"/>
        <scheme val="minor"/>
      </rPr>
      <t xml:space="preserve"> - Word processor - grammar-checker enabled on essay response portion of test
</t>
    </r>
  </si>
  <si>
    <r>
      <t>Client</t>
    </r>
    <r>
      <rPr>
        <sz val="11"/>
        <color theme="1"/>
        <rFont val="Calibri"/>
        <family val="2"/>
        <scheme val="minor"/>
      </rPr>
      <t xml:space="preserve"> - Assigned by the client
</t>
    </r>
    <r>
      <rPr>
        <b/>
        <sz val="11"/>
        <color theme="1"/>
        <rFont val="Calibri"/>
        <family val="2"/>
        <scheme val="minor"/>
      </rPr>
      <t>Publisher</t>
    </r>
    <r>
      <rPr>
        <sz val="11"/>
        <color theme="1"/>
        <rFont val="Calibri"/>
        <family val="2"/>
        <scheme val="minor"/>
      </rPr>
      <t xml:space="preserve"> - Assigned by the asset owner
</t>
    </r>
    <r>
      <rPr>
        <b/>
        <sz val="11"/>
        <color theme="1"/>
        <rFont val="Calibri"/>
        <family val="2"/>
        <scheme val="minor"/>
      </rPr>
      <t>Internal</t>
    </r>
    <r>
      <rPr>
        <sz val="11"/>
        <color theme="1"/>
        <rFont val="Calibri"/>
        <family val="2"/>
        <scheme val="minor"/>
      </rPr>
      <t xml:space="preserve"> - Provided by an internal assessment service
</t>
    </r>
    <r>
      <rPr>
        <b/>
        <sz val="11"/>
        <color theme="1"/>
        <rFont val="Calibri"/>
        <family val="2"/>
        <scheme val="minor"/>
      </rPr>
      <t>Other</t>
    </r>
    <r>
      <rPr>
        <sz val="11"/>
        <color theme="1"/>
        <rFont val="Calibri"/>
        <family val="2"/>
        <scheme val="minor"/>
      </rPr>
      <t xml:space="preserve"> - Custom identifier
</t>
    </r>
  </si>
  <si>
    <r>
      <t>ReadingPassage</t>
    </r>
    <r>
      <rPr>
        <sz val="11"/>
        <color theme="1"/>
        <rFont val="Calibri"/>
        <family val="2"/>
        <scheme val="minor"/>
      </rPr>
      <t xml:space="preserve"> - Reading passage
</t>
    </r>
    <r>
      <rPr>
        <b/>
        <sz val="11"/>
        <color theme="1"/>
        <rFont val="Calibri"/>
        <family val="2"/>
        <scheme val="minor"/>
      </rPr>
      <t>GraphicArt</t>
    </r>
    <r>
      <rPr>
        <sz val="11"/>
        <color theme="1"/>
        <rFont val="Calibri"/>
        <family val="2"/>
        <scheme val="minor"/>
      </rPr>
      <t xml:space="preserve"> - Graphic art
</t>
    </r>
    <r>
      <rPr>
        <b/>
        <sz val="11"/>
        <color theme="1"/>
        <rFont val="Calibri"/>
        <family val="2"/>
        <scheme val="minor"/>
      </rPr>
      <t>Map</t>
    </r>
    <r>
      <rPr>
        <sz val="11"/>
        <color theme="1"/>
        <rFont val="Calibri"/>
        <family val="2"/>
        <scheme val="minor"/>
      </rPr>
      <t xml:space="preserve"> - Map
</t>
    </r>
    <r>
      <rPr>
        <b/>
        <sz val="11"/>
        <color theme="1"/>
        <rFont val="Calibri"/>
        <family val="2"/>
        <scheme val="minor"/>
      </rPr>
      <t>FormulaSheet</t>
    </r>
    <r>
      <rPr>
        <sz val="11"/>
        <color theme="1"/>
        <rFont val="Calibri"/>
        <family val="2"/>
        <scheme val="minor"/>
      </rPr>
      <t xml:space="preserve"> - Formula sheet
</t>
    </r>
    <r>
      <rPr>
        <b/>
        <sz val="11"/>
        <color theme="1"/>
        <rFont val="Calibri"/>
        <family val="2"/>
        <scheme val="minor"/>
      </rPr>
      <t>Table</t>
    </r>
    <r>
      <rPr>
        <sz val="11"/>
        <color theme="1"/>
        <rFont val="Calibri"/>
        <family val="2"/>
        <scheme val="minor"/>
      </rPr>
      <t xml:space="preserve"> - Table
</t>
    </r>
    <r>
      <rPr>
        <b/>
        <sz val="11"/>
        <color theme="1"/>
        <rFont val="Calibri"/>
        <family val="2"/>
        <scheme val="minor"/>
      </rPr>
      <t>Chart</t>
    </r>
    <r>
      <rPr>
        <sz val="11"/>
        <color theme="1"/>
        <rFont val="Calibri"/>
        <family val="2"/>
        <scheme val="minor"/>
      </rPr>
      <t xml:space="preserve"> - Chart
</t>
    </r>
    <r>
      <rPr>
        <b/>
        <sz val="11"/>
        <color theme="1"/>
        <rFont val="Calibri"/>
        <family val="2"/>
        <scheme val="minor"/>
      </rPr>
      <t>Audio</t>
    </r>
    <r>
      <rPr>
        <sz val="11"/>
        <color theme="1"/>
        <rFont val="Calibri"/>
        <family val="2"/>
        <scheme val="minor"/>
      </rPr>
      <t xml:space="preserve"> - Audio
</t>
    </r>
    <r>
      <rPr>
        <b/>
        <sz val="11"/>
        <color theme="1"/>
        <rFont val="Calibri"/>
        <family val="2"/>
        <scheme val="minor"/>
      </rPr>
      <t>Video</t>
    </r>
    <r>
      <rPr>
        <sz val="11"/>
        <color theme="1"/>
        <rFont val="Calibri"/>
        <family val="2"/>
        <scheme val="minor"/>
      </rPr>
      <t xml:space="preserve"> - Video
</t>
    </r>
    <r>
      <rPr>
        <b/>
        <sz val="11"/>
        <color theme="1"/>
        <rFont val="Calibri"/>
        <family val="2"/>
        <scheme val="minor"/>
      </rPr>
      <t>Scenario</t>
    </r>
    <r>
      <rPr>
        <sz val="11"/>
        <color theme="1"/>
        <rFont val="Calibri"/>
        <family val="2"/>
        <scheme val="minor"/>
      </rPr>
      <t xml:space="preserve"> - Scenario
</t>
    </r>
    <r>
      <rPr>
        <b/>
        <sz val="11"/>
        <color theme="1"/>
        <rFont val="Calibri"/>
        <family val="2"/>
        <scheme val="minor"/>
      </rPr>
      <t>Simulation</t>
    </r>
    <r>
      <rPr>
        <sz val="11"/>
        <color theme="1"/>
        <rFont val="Calibri"/>
        <family val="2"/>
        <scheme val="minor"/>
      </rPr>
      <t xml:space="preserve"> - Simulation
</t>
    </r>
    <r>
      <rPr>
        <b/>
        <sz val="11"/>
        <color theme="1"/>
        <rFont val="Calibri"/>
        <family val="2"/>
        <scheme val="minor"/>
      </rPr>
      <t>StoryBoard</t>
    </r>
    <r>
      <rPr>
        <sz val="11"/>
        <color theme="1"/>
        <rFont val="Calibri"/>
        <family val="2"/>
        <scheme val="minor"/>
      </rPr>
      <t xml:space="preserve"> - Story board
</t>
    </r>
    <r>
      <rPr>
        <b/>
        <sz val="11"/>
        <color theme="1"/>
        <rFont val="Calibri"/>
        <family val="2"/>
        <scheme val="minor"/>
      </rPr>
      <t>LabSet</t>
    </r>
    <r>
      <rPr>
        <sz val="11"/>
        <color theme="1"/>
        <rFont val="Calibri"/>
        <family val="2"/>
        <scheme val="minor"/>
      </rPr>
      <t xml:space="preserve"> - Lab set
</t>
    </r>
    <r>
      <rPr>
        <b/>
        <sz val="11"/>
        <color theme="1"/>
        <rFont val="Calibri"/>
        <family val="2"/>
        <scheme val="minor"/>
      </rPr>
      <t>PeriodicTable</t>
    </r>
    <r>
      <rPr>
        <sz val="11"/>
        <color theme="1"/>
        <rFont val="Calibri"/>
        <family val="2"/>
        <scheme val="minor"/>
      </rPr>
      <t xml:space="preserve"> - Periodic table
</t>
    </r>
    <r>
      <rPr>
        <b/>
        <sz val="11"/>
        <color theme="1"/>
        <rFont val="Calibri"/>
        <family val="2"/>
        <scheme val="minor"/>
      </rPr>
      <t>TranslationDictionary</t>
    </r>
    <r>
      <rPr>
        <sz val="11"/>
        <color theme="1"/>
        <rFont val="Calibri"/>
        <family val="2"/>
        <scheme val="minor"/>
      </rPr>
      <t xml:space="preserve"> - Translation dictionary
</t>
    </r>
    <r>
      <rPr>
        <b/>
        <sz val="11"/>
        <color theme="1"/>
        <rFont val="Calibri"/>
        <family val="2"/>
        <scheme val="minor"/>
      </rPr>
      <t>BasicCalculator</t>
    </r>
    <r>
      <rPr>
        <sz val="11"/>
        <color theme="1"/>
        <rFont val="Calibri"/>
        <family val="2"/>
        <scheme val="minor"/>
      </rPr>
      <t xml:space="preserve"> - Basic calculator
</t>
    </r>
    <r>
      <rPr>
        <b/>
        <sz val="11"/>
        <color theme="1"/>
        <rFont val="Calibri"/>
        <family val="2"/>
        <scheme val="minor"/>
      </rPr>
      <t>StandardCalculator</t>
    </r>
    <r>
      <rPr>
        <sz val="11"/>
        <color theme="1"/>
        <rFont val="Calibri"/>
        <family val="2"/>
        <scheme val="minor"/>
      </rPr>
      <t xml:space="preserve"> - Standard calculator
</t>
    </r>
    <r>
      <rPr>
        <b/>
        <sz val="11"/>
        <color theme="1"/>
        <rFont val="Calibri"/>
        <family val="2"/>
        <scheme val="minor"/>
      </rPr>
      <t>ScientificCalculator</t>
    </r>
    <r>
      <rPr>
        <sz val="11"/>
        <color theme="1"/>
        <rFont val="Calibri"/>
        <family val="2"/>
        <scheme val="minor"/>
      </rPr>
      <t xml:space="preserve"> - Scientific calculator
</t>
    </r>
    <r>
      <rPr>
        <b/>
        <sz val="11"/>
        <color theme="1"/>
        <rFont val="Calibri"/>
        <family val="2"/>
        <scheme val="minor"/>
      </rPr>
      <t>GraphingCalculator</t>
    </r>
    <r>
      <rPr>
        <sz val="11"/>
        <color theme="1"/>
        <rFont val="Calibri"/>
        <family val="2"/>
        <scheme val="minor"/>
      </rPr>
      <t xml:space="preserve"> - Graphing calculator
</t>
    </r>
    <r>
      <rPr>
        <b/>
        <sz val="11"/>
        <color theme="1"/>
        <rFont val="Calibri"/>
        <family val="2"/>
        <scheme val="minor"/>
      </rPr>
      <t>Protractor</t>
    </r>
    <r>
      <rPr>
        <sz val="11"/>
        <color theme="1"/>
        <rFont val="Calibri"/>
        <family val="2"/>
        <scheme val="minor"/>
      </rPr>
      <t xml:space="preserve"> - Protractor
</t>
    </r>
    <r>
      <rPr>
        <b/>
        <sz val="11"/>
        <color theme="1"/>
        <rFont val="Calibri"/>
        <family val="2"/>
        <scheme val="minor"/>
      </rPr>
      <t>MetricRuler</t>
    </r>
    <r>
      <rPr>
        <sz val="11"/>
        <color theme="1"/>
        <rFont val="Calibri"/>
        <family val="2"/>
        <scheme val="minor"/>
      </rPr>
      <t xml:space="preserve"> - Metric ruler
</t>
    </r>
    <r>
      <rPr>
        <b/>
        <sz val="11"/>
        <color theme="1"/>
        <rFont val="Calibri"/>
        <family val="2"/>
        <scheme val="minor"/>
      </rPr>
      <t>EnglishRuler</t>
    </r>
    <r>
      <rPr>
        <sz val="11"/>
        <color theme="1"/>
        <rFont val="Calibri"/>
        <family val="2"/>
        <scheme val="minor"/>
      </rPr>
      <t xml:space="preserve"> - English ruler
</t>
    </r>
    <r>
      <rPr>
        <b/>
        <sz val="11"/>
        <color theme="1"/>
        <rFont val="Calibri"/>
        <family val="2"/>
        <scheme val="minor"/>
      </rPr>
      <t>UnitsRuler</t>
    </r>
    <r>
      <rPr>
        <sz val="11"/>
        <color theme="1"/>
        <rFont val="Calibri"/>
        <family val="2"/>
        <scheme val="minor"/>
      </rPr>
      <t xml:space="preserve"> - Units ruler
</t>
    </r>
    <r>
      <rPr>
        <b/>
        <sz val="11"/>
        <color theme="1"/>
        <rFont val="Calibri"/>
        <family val="2"/>
        <scheme val="minor"/>
      </rPr>
      <t>ReadingLine</t>
    </r>
    <r>
      <rPr>
        <sz val="11"/>
        <color theme="1"/>
        <rFont val="Calibri"/>
        <family val="2"/>
        <scheme val="minor"/>
      </rPr>
      <t xml:space="preserve"> - Reading line
</t>
    </r>
    <r>
      <rPr>
        <b/>
        <sz val="11"/>
        <color theme="1"/>
        <rFont val="Calibri"/>
        <family val="2"/>
        <scheme val="minor"/>
      </rPr>
      <t>LineDraw</t>
    </r>
    <r>
      <rPr>
        <sz val="11"/>
        <color theme="1"/>
        <rFont val="Calibri"/>
        <family val="2"/>
        <scheme val="minor"/>
      </rPr>
      <t xml:space="preserve"> - Line draw
</t>
    </r>
    <r>
      <rPr>
        <b/>
        <sz val="11"/>
        <color theme="1"/>
        <rFont val="Calibri"/>
        <family val="2"/>
        <scheme val="minor"/>
      </rPr>
      <t>Highlighter</t>
    </r>
    <r>
      <rPr>
        <sz val="11"/>
        <color theme="1"/>
        <rFont val="Calibri"/>
        <family val="2"/>
        <scheme val="minor"/>
      </rPr>
      <t xml:space="preserve"> - Highlighter
</t>
    </r>
    <r>
      <rPr>
        <b/>
        <sz val="11"/>
        <color theme="1"/>
        <rFont val="Calibri"/>
        <family val="2"/>
        <scheme val="minor"/>
      </rPr>
      <t>OtherInteractive</t>
    </r>
    <r>
      <rPr>
        <sz val="11"/>
        <color theme="1"/>
        <rFont val="Calibri"/>
        <family val="2"/>
        <scheme val="minor"/>
      </rPr>
      <t xml:space="preserve"> - Other interactive
</t>
    </r>
    <r>
      <rPr>
        <b/>
        <sz val="11"/>
        <color theme="1"/>
        <rFont val="Calibri"/>
        <family val="2"/>
        <scheme val="minor"/>
      </rPr>
      <t>OtherNonInteractive</t>
    </r>
    <r>
      <rPr>
        <sz val="11"/>
        <color theme="1"/>
        <rFont val="Calibri"/>
        <family val="2"/>
        <scheme val="minor"/>
      </rPr>
      <t xml:space="preserve"> - Other non-interactive
</t>
    </r>
    <r>
      <rPr>
        <b/>
        <sz val="11"/>
        <color theme="1"/>
        <rFont val="Calibri"/>
        <family val="2"/>
        <scheme val="minor"/>
      </rPr>
      <t>Other</t>
    </r>
    <r>
      <rPr>
        <sz val="11"/>
        <color theme="1"/>
        <rFont val="Calibri"/>
        <family val="2"/>
        <scheme val="minor"/>
      </rPr>
      <t xml:space="preserve"> - Other
</t>
    </r>
  </si>
  <si>
    <r>
      <t>AssociationStandard</t>
    </r>
    <r>
      <rPr>
        <sz val="11"/>
        <color theme="1"/>
        <rFont val="Calibri"/>
        <family val="2"/>
        <scheme val="minor"/>
      </rPr>
      <t xml:space="preserve"> - Association standard
</t>
    </r>
    <r>
      <rPr>
        <b/>
        <sz val="11"/>
        <color theme="1"/>
        <rFont val="Calibri"/>
        <family val="2"/>
        <scheme val="minor"/>
      </rPr>
      <t>LocalStandard</t>
    </r>
    <r>
      <rPr>
        <sz val="11"/>
        <color theme="1"/>
        <rFont val="Calibri"/>
        <family val="2"/>
        <scheme val="minor"/>
      </rPr>
      <t xml:space="preserve"> - Local standard
</t>
    </r>
    <r>
      <rPr>
        <b/>
        <sz val="11"/>
        <color theme="1"/>
        <rFont val="Calibri"/>
        <family val="2"/>
        <scheme val="minor"/>
      </rPr>
      <t>None</t>
    </r>
    <r>
      <rPr>
        <sz val="11"/>
        <color theme="1"/>
        <rFont val="Calibri"/>
        <family val="2"/>
        <scheme val="minor"/>
      </rPr>
      <t xml:space="preserve"> - None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OtherStandard</t>
    </r>
    <r>
      <rPr>
        <sz val="11"/>
        <color theme="1"/>
        <rFont val="Calibri"/>
        <family val="2"/>
        <scheme val="minor"/>
      </rPr>
      <t xml:space="preserve"> - Other standard
</t>
    </r>
    <r>
      <rPr>
        <b/>
        <sz val="11"/>
        <color theme="1"/>
        <rFont val="Calibri"/>
        <family val="2"/>
        <scheme val="minor"/>
      </rPr>
      <t>RegionalStandard</t>
    </r>
    <r>
      <rPr>
        <sz val="11"/>
        <color theme="1"/>
        <rFont val="Calibri"/>
        <family val="2"/>
        <scheme val="minor"/>
      </rPr>
      <t xml:space="preserve"> - Regional standard
</t>
    </r>
    <r>
      <rPr>
        <b/>
        <sz val="11"/>
        <color theme="1"/>
        <rFont val="Calibri"/>
        <family val="2"/>
        <scheme val="minor"/>
      </rPr>
      <t>SchoolStandard</t>
    </r>
    <r>
      <rPr>
        <sz val="11"/>
        <color theme="1"/>
        <rFont val="Calibri"/>
        <family val="2"/>
        <scheme val="minor"/>
      </rPr>
      <t xml:space="preserve"> - School standard
</t>
    </r>
    <r>
      <rPr>
        <b/>
        <sz val="11"/>
        <color theme="1"/>
        <rFont val="Calibri"/>
        <family val="2"/>
        <scheme val="minor"/>
      </rPr>
      <t>StatewideStandard</t>
    </r>
    <r>
      <rPr>
        <sz val="11"/>
        <color theme="1"/>
        <rFont val="Calibri"/>
        <family val="2"/>
        <scheme val="minor"/>
      </rPr>
      <t xml:space="preserve"> - Statewide standard
</t>
    </r>
  </si>
  <si>
    <r>
      <t>01</t>
    </r>
    <r>
      <rPr>
        <sz val="11"/>
        <color theme="1"/>
        <rFont val="Calibri"/>
        <family val="2"/>
        <scheme val="minor"/>
      </rPr>
      <t xml:space="preserve"> - Language and literacy development
</t>
    </r>
    <r>
      <rPr>
        <b/>
        <sz val="11"/>
        <color theme="1"/>
        <rFont val="Calibri"/>
        <family val="2"/>
        <scheme val="minor"/>
      </rPr>
      <t>02</t>
    </r>
    <r>
      <rPr>
        <sz val="11"/>
        <color theme="1"/>
        <rFont val="Calibri"/>
        <family val="2"/>
        <scheme val="minor"/>
      </rPr>
      <t xml:space="preserve"> - Cognition and general knowledge (including early mathematics and early scientific development)
</t>
    </r>
    <r>
      <rPr>
        <b/>
        <sz val="11"/>
        <color theme="1"/>
        <rFont val="Calibri"/>
        <family val="2"/>
        <scheme val="minor"/>
      </rPr>
      <t>03</t>
    </r>
    <r>
      <rPr>
        <sz val="11"/>
        <color theme="1"/>
        <rFont val="Calibri"/>
        <family val="2"/>
        <scheme val="minor"/>
      </rPr>
      <t xml:space="preserve"> - Approaches toward learning
</t>
    </r>
    <r>
      <rPr>
        <b/>
        <sz val="11"/>
        <color theme="1"/>
        <rFont val="Calibri"/>
        <family val="2"/>
        <scheme val="minor"/>
      </rPr>
      <t>04</t>
    </r>
    <r>
      <rPr>
        <sz val="11"/>
        <color theme="1"/>
        <rFont val="Calibri"/>
        <family val="2"/>
        <scheme val="minor"/>
      </rPr>
      <t xml:space="preserve"> - Physical well-being and motor development (including adaptive skills)
</t>
    </r>
    <r>
      <rPr>
        <b/>
        <sz val="11"/>
        <color theme="1"/>
        <rFont val="Calibri"/>
        <family val="2"/>
        <scheme val="minor"/>
      </rPr>
      <t>05</t>
    </r>
    <r>
      <rPr>
        <sz val="11"/>
        <color theme="1"/>
        <rFont val="Calibri"/>
        <family val="2"/>
        <scheme val="minor"/>
      </rPr>
      <t xml:space="preserve"> - Social and emotional development
</t>
    </r>
  </si>
  <si>
    <r>
      <t>School</t>
    </r>
    <r>
      <rPr>
        <sz val="11"/>
        <color theme="1"/>
        <rFont val="Calibri"/>
        <family val="2"/>
        <scheme val="minor"/>
      </rPr>
      <t xml:space="preserve"> - School-assigned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TestContractor</t>
    </r>
    <r>
      <rPr>
        <sz val="11"/>
        <color theme="1"/>
        <rFont val="Calibri"/>
        <family val="2"/>
        <scheme val="minor"/>
      </rPr>
      <t xml:space="preserve"> - Test contractor assigned assessment number
</t>
    </r>
    <r>
      <rPr>
        <b/>
        <sz val="11"/>
        <color theme="1"/>
        <rFont val="Calibri"/>
        <family val="2"/>
        <scheme val="minor"/>
      </rPr>
      <t>Other</t>
    </r>
    <r>
      <rPr>
        <sz val="11"/>
        <color theme="1"/>
        <rFont val="Calibri"/>
        <family val="2"/>
        <scheme val="minor"/>
      </rPr>
      <t xml:space="preserve"> - Other
</t>
    </r>
  </si>
  <si>
    <r>
      <t>MeanSquareFit</t>
    </r>
    <r>
      <rPr>
        <sz val="11"/>
        <color theme="1"/>
        <rFont val="Calibri"/>
        <family val="2"/>
        <scheme val="minor"/>
      </rPr>
      <t xml:space="preserve"> - Mean Square Fit
</t>
    </r>
    <r>
      <rPr>
        <b/>
        <sz val="11"/>
        <color theme="1"/>
        <rFont val="Calibri"/>
        <family val="2"/>
        <scheme val="minor"/>
      </rPr>
      <t>WeightedMeanSquareFit</t>
    </r>
    <r>
      <rPr>
        <sz val="11"/>
        <color theme="1"/>
        <rFont val="Calibri"/>
        <family val="2"/>
        <scheme val="minor"/>
      </rPr>
      <t xml:space="preserve"> - Weighted Mean Square Fit
</t>
    </r>
    <r>
      <rPr>
        <b/>
        <sz val="11"/>
        <color theme="1"/>
        <rFont val="Calibri"/>
        <family val="2"/>
        <scheme val="minor"/>
      </rPr>
      <t>RevisedMeanSquareFit</t>
    </r>
    <r>
      <rPr>
        <sz val="11"/>
        <color theme="1"/>
        <rFont val="Calibri"/>
        <family val="2"/>
        <scheme val="minor"/>
      </rPr>
      <t xml:space="preserve"> - Revised Mean Square Fit
</t>
    </r>
    <r>
      <rPr>
        <b/>
        <sz val="11"/>
        <color theme="1"/>
        <rFont val="Calibri"/>
        <family val="2"/>
        <scheme val="minor"/>
      </rPr>
      <t>RevisedPointBiserial</t>
    </r>
    <r>
      <rPr>
        <sz val="11"/>
        <color theme="1"/>
        <rFont val="Calibri"/>
        <family val="2"/>
        <scheme val="minor"/>
      </rPr>
      <t xml:space="preserve"> - Revised Point Biserial Measure
</t>
    </r>
    <r>
      <rPr>
        <b/>
        <sz val="11"/>
        <color theme="1"/>
        <rFont val="Calibri"/>
        <family val="2"/>
        <scheme val="minor"/>
      </rPr>
      <t>RaschItemScore</t>
    </r>
    <r>
      <rPr>
        <sz val="11"/>
        <color theme="1"/>
        <rFont val="Calibri"/>
        <family val="2"/>
        <scheme val="minor"/>
      </rPr>
      <t xml:space="preserve"> - Rasch Item Score
</t>
    </r>
    <r>
      <rPr>
        <b/>
        <sz val="11"/>
        <color theme="1"/>
        <rFont val="Calibri"/>
        <family val="2"/>
        <scheme val="minor"/>
      </rPr>
      <t>ResponseCorrelation</t>
    </r>
    <r>
      <rPr>
        <sz val="11"/>
        <color theme="1"/>
        <rFont val="Calibri"/>
        <family val="2"/>
        <scheme val="minor"/>
      </rPr>
      <t xml:space="preserve"> - Response Correlation
</t>
    </r>
    <r>
      <rPr>
        <b/>
        <sz val="11"/>
        <color theme="1"/>
        <rFont val="Calibri"/>
        <family val="2"/>
        <scheme val="minor"/>
      </rPr>
      <t>ResponseCorrelationSquared</t>
    </r>
    <r>
      <rPr>
        <sz val="11"/>
        <color theme="1"/>
        <rFont val="Calibri"/>
        <family val="2"/>
        <scheme val="minor"/>
      </rPr>
      <t xml:space="preserve"> - Response Correlation Squared
</t>
    </r>
    <r>
      <rPr>
        <b/>
        <sz val="11"/>
        <color theme="1"/>
        <rFont val="Calibri"/>
        <family val="2"/>
        <scheme val="minor"/>
      </rPr>
      <t>ZCHISquare</t>
    </r>
    <r>
      <rPr>
        <sz val="11"/>
        <color theme="1"/>
        <rFont val="Calibri"/>
        <family val="2"/>
        <scheme val="minor"/>
      </rPr>
      <t xml:space="preserve"> - Z CHI Square
</t>
    </r>
    <r>
      <rPr>
        <b/>
        <sz val="11"/>
        <color theme="1"/>
        <rFont val="Calibri"/>
        <family val="2"/>
        <scheme val="minor"/>
      </rPr>
      <t>Pval</t>
    </r>
    <r>
      <rPr>
        <sz val="11"/>
        <color theme="1"/>
        <rFont val="Calibri"/>
        <family val="2"/>
        <scheme val="minor"/>
      </rPr>
      <t xml:space="preserve"> - Pval
</t>
    </r>
    <r>
      <rPr>
        <b/>
        <sz val="11"/>
        <color theme="1"/>
        <rFont val="Calibri"/>
        <family val="2"/>
        <scheme val="minor"/>
      </rPr>
      <t>PointBiserial</t>
    </r>
    <r>
      <rPr>
        <sz val="11"/>
        <color theme="1"/>
        <rFont val="Calibri"/>
        <family val="2"/>
        <scheme val="minor"/>
      </rPr>
      <t xml:space="preserve"> - Point Biserial
</t>
    </r>
    <r>
      <rPr>
        <b/>
        <sz val="11"/>
        <color theme="1"/>
        <rFont val="Calibri"/>
        <family val="2"/>
        <scheme val="minor"/>
      </rPr>
      <t>Biserial</t>
    </r>
    <r>
      <rPr>
        <sz val="11"/>
        <color theme="1"/>
        <rFont val="Calibri"/>
        <family val="2"/>
        <scheme val="minor"/>
      </rPr>
      <t xml:space="preserve"> - Biserial
</t>
    </r>
    <r>
      <rPr>
        <b/>
        <sz val="11"/>
        <color theme="1"/>
        <rFont val="Calibri"/>
        <family val="2"/>
        <scheme val="minor"/>
      </rPr>
      <t>DiscriminationIndex</t>
    </r>
    <r>
      <rPr>
        <sz val="11"/>
        <color theme="1"/>
        <rFont val="Calibri"/>
        <family val="2"/>
        <scheme val="minor"/>
      </rPr>
      <t xml:space="preserve"> - Discrimination Index
</t>
    </r>
    <r>
      <rPr>
        <b/>
        <sz val="11"/>
        <color theme="1"/>
        <rFont val="Calibri"/>
        <family val="2"/>
        <scheme val="minor"/>
      </rPr>
      <t>ReliabilityCoefficient</t>
    </r>
    <r>
      <rPr>
        <sz val="11"/>
        <color theme="1"/>
        <rFont val="Calibri"/>
        <family val="2"/>
        <scheme val="minor"/>
      </rPr>
      <t xml:space="preserve"> - Reliability Coefficient
</t>
    </r>
    <r>
      <rPr>
        <b/>
        <sz val="11"/>
        <color theme="1"/>
        <rFont val="Calibri"/>
        <family val="2"/>
        <scheme val="minor"/>
      </rPr>
      <t>CoefficientAlpha</t>
    </r>
    <r>
      <rPr>
        <sz val="11"/>
        <color theme="1"/>
        <rFont val="Calibri"/>
        <family val="2"/>
        <scheme val="minor"/>
      </rPr>
      <t xml:space="preserve"> - Coefficient Alpha
</t>
    </r>
    <r>
      <rPr>
        <b/>
        <sz val="11"/>
        <color theme="1"/>
        <rFont val="Calibri"/>
        <family val="2"/>
        <scheme val="minor"/>
      </rPr>
      <t>ItemTestCorrelation</t>
    </r>
    <r>
      <rPr>
        <sz val="11"/>
        <color theme="1"/>
        <rFont val="Calibri"/>
        <family val="2"/>
        <scheme val="minor"/>
      </rPr>
      <t xml:space="preserve"> - Item Test Correlation
</t>
    </r>
    <r>
      <rPr>
        <b/>
        <sz val="11"/>
        <color theme="1"/>
        <rFont val="Calibri"/>
        <family val="2"/>
        <scheme val="minor"/>
      </rPr>
      <t>ItemVariance</t>
    </r>
    <r>
      <rPr>
        <sz val="11"/>
        <color theme="1"/>
        <rFont val="Calibri"/>
        <family val="2"/>
        <scheme val="minor"/>
      </rPr>
      <t xml:space="preserve"> - Item Variance
</t>
    </r>
    <r>
      <rPr>
        <b/>
        <sz val="11"/>
        <color theme="1"/>
        <rFont val="Calibri"/>
        <family val="2"/>
        <scheme val="minor"/>
      </rPr>
      <t>ScaleValue</t>
    </r>
    <r>
      <rPr>
        <sz val="11"/>
        <color theme="1"/>
        <rFont val="Calibri"/>
        <family val="2"/>
        <scheme val="minor"/>
      </rPr>
      <t xml:space="preserve"> - Scale Value
</t>
    </r>
  </si>
  <si>
    <r>
      <t>CustomInteraction</t>
    </r>
    <r>
      <rPr>
        <sz val="11"/>
        <color theme="1"/>
        <rFont val="Calibri"/>
        <family val="2"/>
        <scheme val="minor"/>
      </rPr>
      <t xml:space="preserve"> - Custom Interaction
</t>
    </r>
    <r>
      <rPr>
        <b/>
        <sz val="11"/>
        <color theme="1"/>
        <rFont val="Calibri"/>
        <family val="2"/>
        <scheme val="minor"/>
      </rPr>
      <t>DrawingInteraction</t>
    </r>
    <r>
      <rPr>
        <sz val="11"/>
        <color theme="1"/>
        <rFont val="Calibri"/>
        <family val="2"/>
        <scheme val="minor"/>
      </rPr>
      <t xml:space="preserve"> - Drawing Interaction
</t>
    </r>
    <r>
      <rPr>
        <b/>
        <sz val="11"/>
        <color theme="1"/>
        <rFont val="Calibri"/>
        <family val="2"/>
        <scheme val="minor"/>
      </rPr>
      <t>GapMatchInteraction</t>
    </r>
    <r>
      <rPr>
        <sz val="11"/>
        <color theme="1"/>
        <rFont val="Calibri"/>
        <family val="2"/>
        <scheme val="minor"/>
      </rPr>
      <t xml:space="preserve"> - Gap Match Interaction
</t>
    </r>
    <r>
      <rPr>
        <b/>
        <sz val="11"/>
        <color theme="1"/>
        <rFont val="Calibri"/>
        <family val="2"/>
        <scheme val="minor"/>
      </rPr>
      <t>MatchInteraction</t>
    </r>
    <r>
      <rPr>
        <sz val="11"/>
        <color theme="1"/>
        <rFont val="Calibri"/>
        <family val="2"/>
        <scheme val="minor"/>
      </rPr>
      <t xml:space="preserve"> - Match Interaction
</t>
    </r>
    <r>
      <rPr>
        <b/>
        <sz val="11"/>
        <color theme="1"/>
        <rFont val="Calibri"/>
        <family val="2"/>
        <scheme val="minor"/>
      </rPr>
      <t>GraphicGapMatchInteraction</t>
    </r>
    <r>
      <rPr>
        <sz val="11"/>
        <color theme="1"/>
        <rFont val="Calibri"/>
        <family val="2"/>
        <scheme val="minor"/>
      </rPr>
      <t xml:space="preserve"> - Graphic Gap Match Interaction
</t>
    </r>
    <r>
      <rPr>
        <b/>
        <sz val="11"/>
        <color theme="1"/>
        <rFont val="Calibri"/>
        <family val="2"/>
        <scheme val="minor"/>
      </rPr>
      <t>HotspotInteraction</t>
    </r>
    <r>
      <rPr>
        <sz val="11"/>
        <color theme="1"/>
        <rFont val="Calibri"/>
        <family val="2"/>
        <scheme val="minor"/>
      </rPr>
      <t xml:space="preserve"> - Hotspot Interaction
</t>
    </r>
    <r>
      <rPr>
        <b/>
        <sz val="11"/>
        <color theme="1"/>
        <rFont val="Calibri"/>
        <family val="2"/>
        <scheme val="minor"/>
      </rPr>
      <t>GraphicOrderInteraction</t>
    </r>
    <r>
      <rPr>
        <sz val="11"/>
        <color theme="1"/>
        <rFont val="Calibri"/>
        <family val="2"/>
        <scheme val="minor"/>
      </rPr>
      <t xml:space="preserve"> - Graphic Order Interaction
</t>
    </r>
    <r>
      <rPr>
        <b/>
        <sz val="11"/>
        <color theme="1"/>
        <rFont val="Calibri"/>
        <family val="2"/>
        <scheme val="minor"/>
      </rPr>
      <t>GraphicAssociateInteraction</t>
    </r>
    <r>
      <rPr>
        <sz val="11"/>
        <color theme="1"/>
        <rFont val="Calibri"/>
        <family val="2"/>
        <scheme val="minor"/>
      </rPr>
      <t xml:space="preserve"> - Graphic Associate Interaction
</t>
    </r>
    <r>
      <rPr>
        <b/>
        <sz val="11"/>
        <color theme="1"/>
        <rFont val="Calibri"/>
        <family val="2"/>
        <scheme val="minor"/>
      </rPr>
      <t>ChoiceInteraction</t>
    </r>
    <r>
      <rPr>
        <sz val="11"/>
        <color theme="1"/>
        <rFont val="Calibri"/>
        <family val="2"/>
        <scheme val="minor"/>
      </rPr>
      <t xml:space="preserve"> - Choice Interaction
</t>
    </r>
    <r>
      <rPr>
        <b/>
        <sz val="11"/>
        <color theme="1"/>
        <rFont val="Calibri"/>
        <family val="2"/>
        <scheme val="minor"/>
      </rPr>
      <t>InlineChoiceInteraction</t>
    </r>
    <r>
      <rPr>
        <sz val="11"/>
        <color theme="1"/>
        <rFont val="Calibri"/>
        <family val="2"/>
        <scheme val="minor"/>
      </rPr>
      <t xml:space="preserve"> - Inline Choice Interaction
</t>
    </r>
    <r>
      <rPr>
        <b/>
        <sz val="11"/>
        <color theme="1"/>
        <rFont val="Calibri"/>
        <family val="2"/>
        <scheme val="minor"/>
      </rPr>
      <t>MediaInteraction</t>
    </r>
    <r>
      <rPr>
        <sz val="11"/>
        <color theme="1"/>
        <rFont val="Calibri"/>
        <family val="2"/>
        <scheme val="minor"/>
      </rPr>
      <t xml:space="preserve"> - Media Interaction
</t>
    </r>
    <r>
      <rPr>
        <b/>
        <sz val="11"/>
        <color theme="1"/>
        <rFont val="Calibri"/>
        <family val="2"/>
        <scheme val="minor"/>
      </rPr>
      <t>HottextInteraction</t>
    </r>
    <r>
      <rPr>
        <sz val="11"/>
        <color theme="1"/>
        <rFont val="Calibri"/>
        <family val="2"/>
        <scheme val="minor"/>
      </rPr>
      <t xml:space="preserve"> - Hottext Interaction
</t>
    </r>
    <r>
      <rPr>
        <b/>
        <sz val="11"/>
        <color theme="1"/>
        <rFont val="Calibri"/>
        <family val="2"/>
        <scheme val="minor"/>
      </rPr>
      <t>OrderInteraction</t>
    </r>
    <r>
      <rPr>
        <sz val="11"/>
        <color theme="1"/>
        <rFont val="Calibri"/>
        <family val="2"/>
        <scheme val="minor"/>
      </rPr>
      <t xml:space="preserve"> - Order Interaction
</t>
    </r>
    <r>
      <rPr>
        <b/>
        <sz val="11"/>
        <color theme="1"/>
        <rFont val="Calibri"/>
        <family val="2"/>
        <scheme val="minor"/>
      </rPr>
      <t>PositionObjectInteraction</t>
    </r>
    <r>
      <rPr>
        <sz val="11"/>
        <color theme="1"/>
        <rFont val="Calibri"/>
        <family val="2"/>
        <scheme val="minor"/>
      </rPr>
      <t xml:space="preserve"> - Position Object Interaction
</t>
    </r>
    <r>
      <rPr>
        <b/>
        <sz val="11"/>
        <color theme="1"/>
        <rFont val="Calibri"/>
        <family val="2"/>
        <scheme val="minor"/>
      </rPr>
      <t>TextEntryInteraction</t>
    </r>
    <r>
      <rPr>
        <sz val="11"/>
        <color theme="1"/>
        <rFont val="Calibri"/>
        <family val="2"/>
        <scheme val="minor"/>
      </rPr>
      <t xml:space="preserve"> - Text Entry Interaction
</t>
    </r>
    <r>
      <rPr>
        <b/>
        <sz val="11"/>
        <color theme="1"/>
        <rFont val="Calibri"/>
        <family val="2"/>
        <scheme val="minor"/>
      </rPr>
      <t>ExtendedTextInteraction</t>
    </r>
    <r>
      <rPr>
        <sz val="11"/>
        <color theme="1"/>
        <rFont val="Calibri"/>
        <family val="2"/>
        <scheme val="minor"/>
      </rPr>
      <t xml:space="preserve"> - Extended Text Interaction
</t>
    </r>
    <r>
      <rPr>
        <b/>
        <sz val="11"/>
        <color theme="1"/>
        <rFont val="Calibri"/>
        <family val="2"/>
        <scheme val="minor"/>
      </rPr>
      <t>EndAttemptInteraction</t>
    </r>
    <r>
      <rPr>
        <sz val="11"/>
        <color theme="1"/>
        <rFont val="Calibri"/>
        <family val="2"/>
        <scheme val="minor"/>
      </rPr>
      <t xml:space="preserve"> - End Attempt Interaction
</t>
    </r>
    <r>
      <rPr>
        <b/>
        <sz val="11"/>
        <color theme="1"/>
        <rFont val="Calibri"/>
        <family val="2"/>
        <scheme val="minor"/>
      </rPr>
      <t>UploadInteraction</t>
    </r>
    <r>
      <rPr>
        <sz val="11"/>
        <color theme="1"/>
        <rFont val="Calibri"/>
        <family val="2"/>
        <scheme val="minor"/>
      </rPr>
      <t xml:space="preserve"> - Upload Interaction
</t>
    </r>
    <r>
      <rPr>
        <b/>
        <sz val="11"/>
        <color theme="1"/>
        <rFont val="Calibri"/>
        <family val="2"/>
        <scheme val="minor"/>
      </rPr>
      <t>AssociateInteraction</t>
    </r>
    <r>
      <rPr>
        <sz val="11"/>
        <color theme="1"/>
        <rFont val="Calibri"/>
        <family val="2"/>
        <scheme val="minor"/>
      </rPr>
      <t xml:space="preserve"> - Associate Interaction
</t>
    </r>
  </si>
  <si>
    <r>
      <t>Correct</t>
    </r>
    <r>
      <rPr>
        <sz val="11"/>
        <color theme="1"/>
        <rFont val="Calibri"/>
        <family val="2"/>
        <scheme val="minor"/>
      </rPr>
      <t xml:space="preserve"> - Correct
</t>
    </r>
    <r>
      <rPr>
        <b/>
        <sz val="11"/>
        <color theme="1"/>
        <rFont val="Calibri"/>
        <family val="2"/>
        <scheme val="minor"/>
      </rPr>
      <t>Incorrect</t>
    </r>
    <r>
      <rPr>
        <sz val="11"/>
        <color theme="1"/>
        <rFont val="Calibri"/>
        <family val="2"/>
        <scheme val="minor"/>
      </rPr>
      <t xml:space="preserve"> - Incorrect
</t>
    </r>
    <r>
      <rPr>
        <b/>
        <sz val="11"/>
        <color theme="1"/>
        <rFont val="Calibri"/>
        <family val="2"/>
        <scheme val="minor"/>
      </rPr>
      <t>Complete</t>
    </r>
    <r>
      <rPr>
        <sz val="11"/>
        <color theme="1"/>
        <rFont val="Calibri"/>
        <family val="2"/>
        <scheme val="minor"/>
      </rPr>
      <t xml:space="preserve"> - Complete
</t>
    </r>
    <r>
      <rPr>
        <b/>
        <sz val="11"/>
        <color theme="1"/>
        <rFont val="Calibri"/>
        <family val="2"/>
        <scheme val="minor"/>
      </rPr>
      <t>PartialComplete</t>
    </r>
    <r>
      <rPr>
        <sz val="11"/>
        <color theme="1"/>
        <rFont val="Calibri"/>
        <family val="2"/>
        <scheme val="minor"/>
      </rPr>
      <t xml:space="preserve"> - Partial Complete
</t>
    </r>
    <r>
      <rPr>
        <b/>
        <sz val="11"/>
        <color theme="1"/>
        <rFont val="Calibri"/>
        <family val="2"/>
        <scheme val="minor"/>
      </rPr>
      <t>Viewed</t>
    </r>
    <r>
      <rPr>
        <sz val="11"/>
        <color theme="1"/>
        <rFont val="Calibri"/>
        <family val="2"/>
        <scheme val="minor"/>
      </rPr>
      <t xml:space="preserve"> - Viewed
</t>
    </r>
    <r>
      <rPr>
        <b/>
        <sz val="11"/>
        <color theme="1"/>
        <rFont val="Calibri"/>
        <family val="2"/>
        <scheme val="minor"/>
      </rPr>
      <t>NotViewed</t>
    </r>
    <r>
      <rPr>
        <sz val="11"/>
        <color theme="1"/>
        <rFont val="Calibri"/>
        <family val="2"/>
        <scheme val="minor"/>
      </rPr>
      <t xml:space="preserve"> - Not Viewed
</t>
    </r>
    <r>
      <rPr>
        <b/>
        <sz val="11"/>
        <color theme="1"/>
        <rFont val="Calibri"/>
        <family val="2"/>
        <scheme val="minor"/>
      </rPr>
      <t>Attempted</t>
    </r>
    <r>
      <rPr>
        <sz val="11"/>
        <color theme="1"/>
        <rFont val="Calibri"/>
        <family val="2"/>
        <scheme val="minor"/>
      </rPr>
      <t xml:space="preserve"> - Attempted
</t>
    </r>
    <r>
      <rPr>
        <b/>
        <sz val="11"/>
        <color theme="1"/>
        <rFont val="Calibri"/>
        <family val="2"/>
        <scheme val="minor"/>
      </rPr>
      <t>Incomplete</t>
    </r>
    <r>
      <rPr>
        <sz val="11"/>
        <color theme="1"/>
        <rFont val="Calibri"/>
        <family val="2"/>
        <scheme val="minor"/>
      </rPr>
      <t xml:space="preserve"> - Incomplete
</t>
    </r>
    <r>
      <rPr>
        <b/>
        <sz val="11"/>
        <color theme="1"/>
        <rFont val="Calibri"/>
        <family val="2"/>
        <scheme val="minor"/>
      </rPr>
      <t>InProgress</t>
    </r>
    <r>
      <rPr>
        <sz val="11"/>
        <color theme="1"/>
        <rFont val="Calibri"/>
        <family val="2"/>
        <scheme val="minor"/>
      </rPr>
      <t xml:space="preserve"> - In Progress
</t>
    </r>
    <r>
      <rPr>
        <b/>
        <sz val="11"/>
        <color theme="1"/>
        <rFont val="Calibri"/>
        <family val="2"/>
        <scheme val="minor"/>
      </rPr>
      <t>NotProficient</t>
    </r>
    <r>
      <rPr>
        <sz val="11"/>
        <color theme="1"/>
        <rFont val="Calibri"/>
        <family val="2"/>
        <scheme val="minor"/>
      </rPr>
      <t xml:space="preserve"> - Not Yet Proficient
</t>
    </r>
    <r>
      <rPr>
        <b/>
        <sz val="11"/>
        <color theme="1"/>
        <rFont val="Calibri"/>
        <family val="2"/>
        <scheme val="minor"/>
      </rPr>
      <t>Proficient</t>
    </r>
    <r>
      <rPr>
        <sz val="11"/>
        <color theme="1"/>
        <rFont val="Calibri"/>
        <family val="2"/>
        <scheme val="minor"/>
      </rPr>
      <t xml:space="preserve"> - Proficient
</t>
    </r>
  </si>
  <si>
    <r>
      <t>CohenUnweighted</t>
    </r>
    <r>
      <rPr>
        <sz val="11"/>
        <color theme="1"/>
        <rFont val="Calibri"/>
        <family val="2"/>
        <scheme val="minor"/>
      </rPr>
      <t xml:space="preserve"> - Cohen's unweighted algorithm
</t>
    </r>
    <r>
      <rPr>
        <b/>
        <sz val="11"/>
        <color theme="1"/>
        <rFont val="Calibri"/>
        <family val="2"/>
        <scheme val="minor"/>
      </rPr>
      <t>CohenWeighted</t>
    </r>
    <r>
      <rPr>
        <sz val="11"/>
        <color theme="1"/>
        <rFont val="Calibri"/>
        <family val="2"/>
        <scheme val="minor"/>
      </rPr>
      <t xml:space="preserve"> - Cohen's weighted algorithm
</t>
    </r>
    <r>
      <rPr>
        <b/>
        <sz val="11"/>
        <color theme="1"/>
        <rFont val="Calibri"/>
        <family val="2"/>
        <scheme val="minor"/>
      </rPr>
      <t>FleissAlgorithm</t>
    </r>
    <r>
      <rPr>
        <sz val="11"/>
        <color theme="1"/>
        <rFont val="Calibri"/>
        <family val="2"/>
        <scheme val="minor"/>
      </rPr>
      <t xml:space="preserve"> - Fleiss algorithm
</t>
    </r>
  </si>
  <si>
    <r>
      <t>None</t>
    </r>
    <r>
      <rPr>
        <sz val="11"/>
        <color theme="1"/>
        <rFont val="Calibri"/>
        <family val="2"/>
        <scheme val="minor"/>
      </rPr>
      <t xml:space="preserve"> - None: 0
</t>
    </r>
    <r>
      <rPr>
        <b/>
        <sz val="11"/>
        <color theme="1"/>
        <rFont val="Calibri"/>
        <family val="2"/>
        <scheme val="minor"/>
      </rPr>
      <t>VeryLow</t>
    </r>
    <r>
      <rPr>
        <sz val="11"/>
        <color theme="1"/>
        <rFont val="Calibri"/>
        <family val="2"/>
        <scheme val="minor"/>
      </rPr>
      <t xml:space="preserve"> - Very low: 0.01 - 0.34
</t>
    </r>
    <r>
      <rPr>
        <b/>
        <sz val="11"/>
        <color theme="1"/>
        <rFont val="Calibri"/>
        <family val="2"/>
        <scheme val="minor"/>
      </rPr>
      <t>Low</t>
    </r>
    <r>
      <rPr>
        <sz val="11"/>
        <color theme="1"/>
        <rFont val="Calibri"/>
        <family val="2"/>
        <scheme val="minor"/>
      </rPr>
      <t xml:space="preserve"> - Low: 0.35 - 0.64
</t>
    </r>
    <r>
      <rPr>
        <b/>
        <sz val="11"/>
        <color theme="1"/>
        <rFont val="Calibri"/>
        <family val="2"/>
        <scheme val="minor"/>
      </rPr>
      <t>Moderate</t>
    </r>
    <r>
      <rPr>
        <sz val="11"/>
        <color theme="1"/>
        <rFont val="Calibri"/>
        <family val="2"/>
        <scheme val="minor"/>
      </rPr>
      <t xml:space="preserve"> - Moderate: 0.65 - 1.34
</t>
    </r>
    <r>
      <rPr>
        <b/>
        <sz val="11"/>
        <color theme="1"/>
        <rFont val="Calibri"/>
        <family val="2"/>
        <scheme val="minor"/>
      </rPr>
      <t>High</t>
    </r>
    <r>
      <rPr>
        <sz val="11"/>
        <color theme="1"/>
        <rFont val="Calibri"/>
        <family val="2"/>
        <scheme val="minor"/>
      </rPr>
      <t xml:space="preserve"> - High: 1.35 - 1.69
</t>
    </r>
    <r>
      <rPr>
        <b/>
        <sz val="11"/>
        <color theme="1"/>
        <rFont val="Calibri"/>
        <family val="2"/>
        <scheme val="minor"/>
      </rPr>
      <t>VeryHigh</t>
    </r>
    <r>
      <rPr>
        <sz val="11"/>
        <color theme="1"/>
        <rFont val="Calibri"/>
        <family val="2"/>
        <scheme val="minor"/>
      </rPr>
      <t xml:space="preserve"> - Very high: &gt; 1.70
</t>
    </r>
    <r>
      <rPr>
        <b/>
        <sz val="11"/>
        <color theme="1"/>
        <rFont val="Calibri"/>
        <family val="2"/>
        <scheme val="minor"/>
      </rPr>
      <t>Perfect</t>
    </r>
    <r>
      <rPr>
        <sz val="11"/>
        <color theme="1"/>
        <rFont val="Calibri"/>
        <family val="2"/>
        <scheme val="minor"/>
      </rPr>
      <t xml:space="preserve"> - Perfect: + infinity
</t>
    </r>
  </si>
  <si>
    <r>
      <t>01</t>
    </r>
    <r>
      <rPr>
        <sz val="11"/>
        <color theme="1"/>
        <rFont val="Calibri"/>
        <family val="2"/>
        <scheme val="minor"/>
      </rPr>
      <t xml:space="preserve"> - Automated Readability Index
</t>
    </r>
    <r>
      <rPr>
        <b/>
        <sz val="11"/>
        <color theme="1"/>
        <rFont val="Calibri"/>
        <family val="2"/>
        <scheme val="minor"/>
      </rPr>
      <t>02</t>
    </r>
    <r>
      <rPr>
        <sz val="11"/>
        <color theme="1"/>
        <rFont val="Calibri"/>
        <family val="2"/>
        <scheme val="minor"/>
      </rPr>
      <t xml:space="preserve"> - Bormuth Index
</t>
    </r>
    <r>
      <rPr>
        <b/>
        <sz val="11"/>
        <color theme="1"/>
        <rFont val="Calibri"/>
        <family val="2"/>
        <scheme val="minor"/>
      </rPr>
      <t>03</t>
    </r>
    <r>
      <rPr>
        <sz val="11"/>
        <color theme="1"/>
        <rFont val="Calibri"/>
        <family val="2"/>
        <scheme val="minor"/>
      </rPr>
      <t xml:space="preserve"> - Coleman Liau Index
</t>
    </r>
    <r>
      <rPr>
        <b/>
        <sz val="11"/>
        <color theme="1"/>
        <rFont val="Calibri"/>
        <family val="2"/>
        <scheme val="minor"/>
      </rPr>
      <t>04</t>
    </r>
    <r>
      <rPr>
        <sz val="11"/>
        <color theme="1"/>
        <rFont val="Calibri"/>
        <family val="2"/>
        <scheme val="minor"/>
      </rPr>
      <t xml:space="preserve"> - Coh-Metrix Readability
</t>
    </r>
    <r>
      <rPr>
        <b/>
        <sz val="11"/>
        <color theme="1"/>
        <rFont val="Calibri"/>
        <family val="2"/>
        <scheme val="minor"/>
      </rPr>
      <t>05</t>
    </r>
    <r>
      <rPr>
        <sz val="11"/>
        <color theme="1"/>
        <rFont val="Calibri"/>
        <family val="2"/>
        <scheme val="minor"/>
      </rPr>
      <t xml:space="preserve"> - Dale-Chall Readability Formula
</t>
    </r>
    <r>
      <rPr>
        <b/>
        <sz val="11"/>
        <color theme="1"/>
        <rFont val="Calibri"/>
        <family val="2"/>
        <scheme val="minor"/>
      </rPr>
      <t>06</t>
    </r>
    <r>
      <rPr>
        <sz val="11"/>
        <color theme="1"/>
        <rFont val="Calibri"/>
        <family val="2"/>
        <scheme val="minor"/>
      </rPr>
      <t xml:space="preserve"> - Flesch-Kincaid Grade Level
</t>
    </r>
    <r>
      <rPr>
        <b/>
        <sz val="11"/>
        <color theme="1"/>
        <rFont val="Calibri"/>
        <family val="2"/>
        <scheme val="minor"/>
      </rPr>
      <t>07</t>
    </r>
    <r>
      <rPr>
        <sz val="11"/>
        <color theme="1"/>
        <rFont val="Calibri"/>
        <family val="2"/>
        <scheme val="minor"/>
      </rPr>
      <t xml:space="preserve"> - Flesch Reading Ease Formula
</t>
    </r>
    <r>
      <rPr>
        <b/>
        <sz val="11"/>
        <color theme="1"/>
        <rFont val="Calibri"/>
        <family val="2"/>
        <scheme val="minor"/>
      </rPr>
      <t>08</t>
    </r>
    <r>
      <rPr>
        <sz val="11"/>
        <color theme="1"/>
        <rFont val="Calibri"/>
        <family val="2"/>
        <scheme val="minor"/>
      </rPr>
      <t xml:space="preserve"> - FORCAST
</t>
    </r>
    <r>
      <rPr>
        <b/>
        <sz val="11"/>
        <color theme="1"/>
        <rFont val="Calibri"/>
        <family val="2"/>
        <scheme val="minor"/>
      </rPr>
      <t>09</t>
    </r>
    <r>
      <rPr>
        <sz val="11"/>
        <color theme="1"/>
        <rFont val="Calibri"/>
        <family val="2"/>
        <scheme val="minor"/>
      </rPr>
      <t xml:space="preserve"> - Fry Readability Formula
</t>
    </r>
    <r>
      <rPr>
        <b/>
        <sz val="11"/>
        <color theme="1"/>
        <rFont val="Calibri"/>
        <family val="2"/>
        <scheme val="minor"/>
      </rPr>
      <t>10</t>
    </r>
    <r>
      <rPr>
        <sz val="11"/>
        <color theme="1"/>
        <rFont val="Calibri"/>
        <family val="2"/>
        <scheme val="minor"/>
      </rPr>
      <t xml:space="preserve"> - Gunning-Fog Scale
</t>
    </r>
    <r>
      <rPr>
        <b/>
        <sz val="11"/>
        <color theme="1"/>
        <rFont val="Calibri"/>
        <family val="2"/>
        <scheme val="minor"/>
      </rPr>
      <t>11</t>
    </r>
    <r>
      <rPr>
        <sz val="11"/>
        <color theme="1"/>
        <rFont val="Calibri"/>
        <family val="2"/>
        <scheme val="minor"/>
      </rPr>
      <t xml:space="preserve"> - Hull Formula
</t>
    </r>
    <r>
      <rPr>
        <b/>
        <sz val="11"/>
        <color theme="1"/>
        <rFont val="Calibri"/>
        <family val="2"/>
        <scheme val="minor"/>
      </rPr>
      <t>12</t>
    </r>
    <r>
      <rPr>
        <sz val="11"/>
        <color theme="1"/>
        <rFont val="Calibri"/>
        <family val="2"/>
        <scheme val="minor"/>
      </rPr>
      <t xml:space="preserve"> - Lexile
</t>
    </r>
    <r>
      <rPr>
        <b/>
        <sz val="11"/>
        <color theme="1"/>
        <rFont val="Calibri"/>
        <family val="2"/>
        <scheme val="minor"/>
      </rPr>
      <t>13</t>
    </r>
    <r>
      <rPr>
        <sz val="11"/>
        <color theme="1"/>
        <rFont val="Calibri"/>
        <family val="2"/>
        <scheme val="minor"/>
      </rPr>
      <t xml:space="preserve"> - Linsear Write Formula
</t>
    </r>
    <r>
      <rPr>
        <b/>
        <sz val="11"/>
        <color theme="1"/>
        <rFont val="Calibri"/>
        <family val="2"/>
        <scheme val="minor"/>
      </rPr>
      <t>14</t>
    </r>
    <r>
      <rPr>
        <sz val="11"/>
        <color theme="1"/>
        <rFont val="Calibri"/>
        <family val="2"/>
        <scheme val="minor"/>
      </rPr>
      <t xml:space="preserve"> - McAlpine EFLAW
</t>
    </r>
    <r>
      <rPr>
        <b/>
        <sz val="11"/>
        <color theme="1"/>
        <rFont val="Calibri"/>
        <family val="2"/>
        <scheme val="minor"/>
      </rPr>
      <t>15</t>
    </r>
    <r>
      <rPr>
        <sz val="11"/>
        <color theme="1"/>
        <rFont val="Calibri"/>
        <family val="2"/>
        <scheme val="minor"/>
      </rPr>
      <t xml:space="preserve"> - Powers-Sumner-Kearl
</t>
    </r>
    <r>
      <rPr>
        <b/>
        <sz val="11"/>
        <color theme="1"/>
        <rFont val="Calibri"/>
        <family val="2"/>
        <scheme val="minor"/>
      </rPr>
      <t>16</t>
    </r>
    <r>
      <rPr>
        <sz val="11"/>
        <color theme="1"/>
        <rFont val="Calibri"/>
        <family val="2"/>
        <scheme val="minor"/>
      </rPr>
      <t xml:space="preserve"> - Raygor Readability Estimate
</t>
    </r>
    <r>
      <rPr>
        <b/>
        <sz val="11"/>
        <color theme="1"/>
        <rFont val="Calibri"/>
        <family val="2"/>
        <scheme val="minor"/>
      </rPr>
      <t>17</t>
    </r>
    <r>
      <rPr>
        <sz val="11"/>
        <color theme="1"/>
        <rFont val="Calibri"/>
        <family val="2"/>
        <scheme val="minor"/>
      </rPr>
      <t xml:space="preserve"> - SMOG Index
</t>
    </r>
    <r>
      <rPr>
        <b/>
        <sz val="11"/>
        <color theme="1"/>
        <rFont val="Calibri"/>
        <family val="2"/>
        <scheme val="minor"/>
      </rPr>
      <t>18</t>
    </r>
    <r>
      <rPr>
        <sz val="11"/>
        <color theme="1"/>
        <rFont val="Calibri"/>
        <family val="2"/>
        <scheme val="minor"/>
      </rPr>
      <t xml:space="preserve"> - Spache Readability Formula
</t>
    </r>
    <r>
      <rPr>
        <b/>
        <sz val="11"/>
        <color theme="1"/>
        <rFont val="Calibri"/>
        <family val="2"/>
        <scheme val="minor"/>
      </rPr>
      <t>19</t>
    </r>
    <r>
      <rPr>
        <sz val="11"/>
        <color theme="1"/>
        <rFont val="Calibri"/>
        <family val="2"/>
        <scheme val="minor"/>
      </rPr>
      <t xml:space="preserve"> - Strain Index
</t>
    </r>
  </si>
  <si>
    <r>
      <t>MultipleChoice</t>
    </r>
    <r>
      <rPr>
        <sz val="11"/>
        <color theme="1"/>
        <rFont val="Calibri"/>
        <family val="2"/>
        <scheme val="minor"/>
      </rPr>
      <t xml:space="preserve"> - Multiple-choice
</t>
    </r>
    <r>
      <rPr>
        <b/>
        <sz val="11"/>
        <color theme="1"/>
        <rFont val="Calibri"/>
        <family val="2"/>
        <scheme val="minor"/>
      </rPr>
      <t>FillInTheBlank</t>
    </r>
    <r>
      <rPr>
        <sz val="11"/>
        <color theme="1"/>
        <rFont val="Calibri"/>
        <family val="2"/>
        <scheme val="minor"/>
      </rPr>
      <t xml:space="preserve"> - Fill-in-the-blank
</t>
    </r>
    <r>
      <rPr>
        <b/>
        <sz val="11"/>
        <color theme="1"/>
        <rFont val="Calibri"/>
        <family val="2"/>
        <scheme val="minor"/>
      </rPr>
      <t>TrueFalse</t>
    </r>
    <r>
      <rPr>
        <sz val="11"/>
        <color theme="1"/>
        <rFont val="Calibri"/>
        <family val="2"/>
        <scheme val="minor"/>
      </rPr>
      <t xml:space="preserve"> - True/False
</t>
    </r>
    <r>
      <rPr>
        <b/>
        <sz val="11"/>
        <color theme="1"/>
        <rFont val="Calibri"/>
        <family val="2"/>
        <scheme val="minor"/>
      </rPr>
      <t>MultipleResponse</t>
    </r>
    <r>
      <rPr>
        <sz val="11"/>
        <color theme="1"/>
        <rFont val="Calibri"/>
        <family val="2"/>
        <scheme val="minor"/>
      </rPr>
      <t xml:space="preserve"> - Multiple Response
</t>
    </r>
    <r>
      <rPr>
        <b/>
        <sz val="11"/>
        <color theme="1"/>
        <rFont val="Calibri"/>
        <family val="2"/>
        <scheme val="minor"/>
      </rPr>
      <t>Matching</t>
    </r>
    <r>
      <rPr>
        <sz val="11"/>
        <color theme="1"/>
        <rFont val="Calibri"/>
        <family val="2"/>
        <scheme val="minor"/>
      </rPr>
      <t xml:space="preserve"> - Matching
</t>
    </r>
    <r>
      <rPr>
        <b/>
        <sz val="11"/>
        <color theme="1"/>
        <rFont val="Calibri"/>
        <family val="2"/>
        <scheme val="minor"/>
      </rPr>
      <t>ShortAnswer</t>
    </r>
    <r>
      <rPr>
        <sz val="11"/>
        <color theme="1"/>
        <rFont val="Calibri"/>
        <family val="2"/>
        <scheme val="minor"/>
      </rPr>
      <t xml:space="preserve"> - Short answer
</t>
    </r>
    <r>
      <rPr>
        <b/>
        <sz val="11"/>
        <color theme="1"/>
        <rFont val="Calibri"/>
        <family val="2"/>
        <scheme val="minor"/>
      </rPr>
      <t>Labeling</t>
    </r>
    <r>
      <rPr>
        <sz val="11"/>
        <color theme="1"/>
        <rFont val="Calibri"/>
        <family val="2"/>
        <scheme val="minor"/>
      </rPr>
      <t xml:space="preserve"> - Labeling
</t>
    </r>
    <r>
      <rPr>
        <b/>
        <sz val="11"/>
        <color theme="1"/>
        <rFont val="Calibri"/>
        <family val="2"/>
        <scheme val="minor"/>
      </rPr>
      <t>VisualRepresentation</t>
    </r>
    <r>
      <rPr>
        <sz val="11"/>
        <color theme="1"/>
        <rFont val="Calibri"/>
        <family val="2"/>
        <scheme val="minor"/>
      </rPr>
      <t xml:space="preserve"> - Visual representation
</t>
    </r>
    <r>
      <rPr>
        <b/>
        <sz val="11"/>
        <color theme="1"/>
        <rFont val="Calibri"/>
        <family val="2"/>
        <scheme val="minor"/>
      </rPr>
      <t>ShowYourWork</t>
    </r>
    <r>
      <rPr>
        <sz val="11"/>
        <color theme="1"/>
        <rFont val="Calibri"/>
        <family val="2"/>
        <scheme val="minor"/>
      </rPr>
      <t xml:space="preserve"> - Show your work
</t>
    </r>
    <r>
      <rPr>
        <b/>
        <sz val="11"/>
        <color theme="1"/>
        <rFont val="Calibri"/>
        <family val="2"/>
        <scheme val="minor"/>
      </rPr>
      <t>OtherConstructedResponse</t>
    </r>
    <r>
      <rPr>
        <sz val="11"/>
        <color theme="1"/>
        <rFont val="Calibri"/>
        <family val="2"/>
        <scheme val="minor"/>
      </rPr>
      <t xml:space="preserve"> - Other constructed response
</t>
    </r>
    <r>
      <rPr>
        <b/>
        <sz val="11"/>
        <color theme="1"/>
        <rFont val="Calibri"/>
        <family val="2"/>
        <scheme val="minor"/>
      </rPr>
      <t>PerformanceTask</t>
    </r>
    <r>
      <rPr>
        <sz val="11"/>
        <color theme="1"/>
        <rFont val="Calibri"/>
        <family val="2"/>
        <scheme val="minor"/>
      </rPr>
      <t xml:space="preserve"> - Performance task
</t>
    </r>
    <r>
      <rPr>
        <b/>
        <sz val="11"/>
        <color theme="1"/>
        <rFont val="Calibri"/>
        <family val="2"/>
        <scheme val="minor"/>
      </rPr>
      <t>ExtendedResponse</t>
    </r>
    <r>
      <rPr>
        <sz val="11"/>
        <color theme="1"/>
        <rFont val="Calibri"/>
        <family val="2"/>
        <scheme val="minor"/>
      </rPr>
      <t xml:space="preserve"> - Extended Response (Essay)
</t>
    </r>
    <r>
      <rPr>
        <b/>
        <sz val="11"/>
        <color theme="1"/>
        <rFont val="Calibri"/>
        <family val="2"/>
        <scheme val="minor"/>
      </rPr>
      <t>TechnologyEnhancedInteractive</t>
    </r>
    <r>
      <rPr>
        <sz val="11"/>
        <color theme="1"/>
        <rFont val="Calibri"/>
        <family val="2"/>
        <scheme val="minor"/>
      </rPr>
      <t xml:space="preserve"> - Technology Enhanced / Interactive
</t>
    </r>
    <r>
      <rPr>
        <b/>
        <sz val="11"/>
        <color theme="1"/>
        <rFont val="Calibri"/>
        <family val="2"/>
        <scheme val="minor"/>
      </rPr>
      <t>Reordering</t>
    </r>
    <r>
      <rPr>
        <sz val="11"/>
        <color theme="1"/>
        <rFont val="Calibri"/>
        <family val="2"/>
        <scheme val="minor"/>
      </rPr>
      <t xml:space="preserve"> - Reordering
</t>
    </r>
    <r>
      <rPr>
        <b/>
        <sz val="11"/>
        <color theme="1"/>
        <rFont val="Calibri"/>
        <family val="2"/>
        <scheme val="minor"/>
      </rPr>
      <t>Substitution</t>
    </r>
    <r>
      <rPr>
        <sz val="11"/>
        <color theme="1"/>
        <rFont val="Calibri"/>
        <family val="2"/>
        <scheme val="minor"/>
      </rPr>
      <t xml:space="preserve"> - Substitution
</t>
    </r>
    <r>
      <rPr>
        <b/>
        <sz val="11"/>
        <color theme="1"/>
        <rFont val="Calibri"/>
        <family val="2"/>
        <scheme val="minor"/>
      </rPr>
      <t>Other</t>
    </r>
    <r>
      <rPr>
        <sz val="11"/>
        <color theme="1"/>
        <rFont val="Calibri"/>
        <family val="2"/>
        <scheme val="minor"/>
      </rPr>
      <t xml:space="preserve"> - Other
</t>
    </r>
  </si>
  <si>
    <r>
      <t>Birth</t>
    </r>
    <r>
      <rPr>
        <sz val="11"/>
        <color theme="1"/>
        <rFont val="Calibri"/>
        <family val="2"/>
        <scheme val="minor"/>
      </rPr>
      <t xml:space="preserve"> - Birth
</t>
    </r>
    <r>
      <rPr>
        <b/>
        <sz val="11"/>
        <color theme="1"/>
        <rFont val="Calibri"/>
        <family val="2"/>
        <scheme val="minor"/>
      </rPr>
      <t>Prenatal</t>
    </r>
    <r>
      <rPr>
        <sz val="11"/>
        <color theme="1"/>
        <rFont val="Calibri"/>
        <family val="2"/>
        <scheme val="minor"/>
      </rPr>
      <t xml:space="preserve"> - Prenatal
</t>
    </r>
    <r>
      <rPr>
        <b/>
        <sz val="11"/>
        <color theme="1"/>
        <rFont val="Calibri"/>
        <family val="2"/>
        <scheme val="minor"/>
      </rP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</si>
  <si>
    <r>
      <t>Flashing</t>
    </r>
    <r>
      <rPr>
        <sz val="11"/>
        <color theme="1"/>
        <rFont val="Calibri"/>
        <family val="2"/>
        <scheme val="minor"/>
      </rPr>
      <t xml:space="preserve"> - Flashing
</t>
    </r>
    <r>
      <rPr>
        <b/>
        <sz val="11"/>
        <color theme="1"/>
        <rFont val="Calibri"/>
        <family val="2"/>
        <scheme val="minor"/>
      </rPr>
      <t>Sound</t>
    </r>
    <r>
      <rPr>
        <sz val="11"/>
        <color theme="1"/>
        <rFont val="Calibri"/>
        <family val="2"/>
        <scheme val="minor"/>
      </rPr>
      <t xml:space="preserve"> - Sound
</t>
    </r>
    <r>
      <rPr>
        <b/>
        <sz val="11"/>
        <color theme="1"/>
        <rFont val="Calibri"/>
        <family val="2"/>
        <scheme val="minor"/>
      </rPr>
      <t>Olfactory</t>
    </r>
    <r>
      <rPr>
        <sz val="11"/>
        <color theme="1"/>
        <rFont val="Calibri"/>
        <family val="2"/>
        <scheme val="minor"/>
      </rPr>
      <t xml:space="preserve"> - Olfactory
</t>
    </r>
    <r>
      <rPr>
        <b/>
        <sz val="11"/>
        <color theme="1"/>
        <rFont val="Calibri"/>
        <family val="2"/>
        <scheme val="minor"/>
      </rPr>
      <t>MotionSimulation</t>
    </r>
    <r>
      <rPr>
        <sz val="11"/>
        <color theme="1"/>
        <rFont val="Calibri"/>
        <family val="2"/>
        <scheme val="minor"/>
      </rPr>
      <t xml:space="preserve"> - Motion simulation
</t>
    </r>
  </si>
  <si>
    <r>
      <t>SpeakLink</t>
    </r>
    <r>
      <rPr>
        <sz val="11"/>
        <color theme="1"/>
        <rFont val="Calibri"/>
        <family val="2"/>
        <scheme val="minor"/>
      </rPr>
      <t xml:space="preserve"> - Speak link
</t>
    </r>
    <r>
      <rPr>
        <b/>
        <sz val="11"/>
        <color theme="1"/>
        <rFont val="Calibri"/>
        <family val="2"/>
        <scheme val="minor"/>
      </rPr>
      <t>DifferentVoice</t>
    </r>
    <r>
      <rPr>
        <sz val="11"/>
        <color theme="1"/>
        <rFont val="Calibri"/>
        <family val="2"/>
        <scheme val="minor"/>
      </rPr>
      <t xml:space="preserve"> - Different voice
</t>
    </r>
    <r>
      <rPr>
        <b/>
        <sz val="11"/>
        <color theme="1"/>
        <rFont val="Calibri"/>
        <family val="2"/>
        <scheme val="minor"/>
      </rPr>
      <t>SoundEffect</t>
    </r>
    <r>
      <rPr>
        <sz val="11"/>
        <color theme="1"/>
        <rFont val="Calibri"/>
        <family val="2"/>
        <scheme val="minor"/>
      </rPr>
      <t xml:space="preserve"> - Sound effect
</t>
    </r>
    <r>
      <rPr>
        <b/>
        <sz val="11"/>
        <color theme="1"/>
        <rFont val="Calibri"/>
        <family val="2"/>
        <scheme val="minor"/>
      </rPr>
      <t>None</t>
    </r>
    <r>
      <rPr>
        <sz val="11"/>
        <color theme="1"/>
        <rFont val="Calibri"/>
        <family val="2"/>
        <scheme val="minor"/>
      </rPr>
      <t xml:space="preserve"> - None
</t>
    </r>
  </si>
  <si>
    <r>
      <t>CustomMask</t>
    </r>
    <r>
      <rPr>
        <sz val="11"/>
        <color theme="1"/>
        <rFont val="Calibri"/>
        <family val="2"/>
        <scheme val="minor"/>
      </rPr>
      <t xml:space="preserve"> - Custom mask
</t>
    </r>
    <r>
      <rPr>
        <b/>
        <sz val="11"/>
        <color theme="1"/>
        <rFont val="Calibri"/>
        <family val="2"/>
        <scheme val="minor"/>
      </rPr>
      <t>AnswerMask</t>
    </r>
    <r>
      <rPr>
        <sz val="11"/>
        <color theme="1"/>
        <rFont val="Calibri"/>
        <family val="2"/>
        <scheme val="minor"/>
      </rPr>
      <t xml:space="preserve"> - Answer mask
</t>
    </r>
  </si>
  <si>
    <r>
      <t>ASL</t>
    </r>
    <r>
      <rPr>
        <sz val="11"/>
        <color theme="1"/>
        <rFont val="Calibri"/>
        <family val="2"/>
        <scheme val="minor"/>
      </rPr>
      <t xml:space="preserve"> - American Sign Language
</t>
    </r>
    <r>
      <rPr>
        <b/>
        <sz val="11"/>
        <color theme="1"/>
        <rFont val="Calibri"/>
        <family val="2"/>
        <scheme val="minor"/>
      </rPr>
      <t>SignedEnglish</t>
    </r>
    <r>
      <rPr>
        <sz val="11"/>
        <color theme="1"/>
        <rFont val="Calibri"/>
        <family val="2"/>
        <scheme val="minor"/>
      </rPr>
      <t xml:space="preserve"> - Signed English
</t>
    </r>
  </si>
  <si>
    <r>
      <t>Dictionary</t>
    </r>
    <r>
      <rPr>
        <sz val="11"/>
        <color theme="1"/>
        <rFont val="Calibri"/>
        <family val="2"/>
        <scheme val="minor"/>
      </rPr>
      <t xml:space="preserve"> - Dictionary
</t>
    </r>
    <r>
      <rPr>
        <b/>
        <sz val="11"/>
        <color theme="1"/>
        <rFont val="Calibri"/>
        <family val="2"/>
        <scheme val="minor"/>
      </rPr>
      <t>Calculator</t>
    </r>
    <r>
      <rPr>
        <sz val="11"/>
        <color theme="1"/>
        <rFont val="Calibri"/>
        <family val="2"/>
        <scheme val="minor"/>
      </rPr>
      <t xml:space="preserve"> - Calculator
</t>
    </r>
    <r>
      <rPr>
        <b/>
        <sz val="11"/>
        <color theme="1"/>
        <rFont val="Calibri"/>
        <family val="2"/>
        <scheme val="minor"/>
      </rPr>
      <t>NoteTaking</t>
    </r>
    <r>
      <rPr>
        <sz val="11"/>
        <color theme="1"/>
        <rFont val="Calibri"/>
        <family val="2"/>
        <scheme val="minor"/>
      </rPr>
      <t xml:space="preserve"> - Note taking
</t>
    </r>
    <r>
      <rPr>
        <b/>
        <sz val="11"/>
        <color theme="1"/>
        <rFont val="Calibri"/>
        <family val="2"/>
        <scheme val="minor"/>
      </rPr>
      <t>PeerInteraction</t>
    </r>
    <r>
      <rPr>
        <sz val="11"/>
        <color theme="1"/>
        <rFont val="Calibri"/>
        <family val="2"/>
        <scheme val="minor"/>
      </rPr>
      <t xml:space="preserve"> - Peer interaction
</t>
    </r>
    <r>
      <rPr>
        <b/>
        <sz val="11"/>
        <color theme="1"/>
        <rFont val="Calibri"/>
        <family val="2"/>
        <scheme val="minor"/>
      </rPr>
      <t>Thesaurus</t>
    </r>
    <r>
      <rPr>
        <sz val="11"/>
        <color theme="1"/>
        <rFont val="Calibri"/>
        <family val="2"/>
        <scheme val="minor"/>
      </rPr>
      <t xml:space="preserve"> - Thesaurus
</t>
    </r>
    <r>
      <rPr>
        <b/>
        <sz val="11"/>
        <color theme="1"/>
        <rFont val="Calibri"/>
        <family val="2"/>
        <scheme val="minor"/>
      </rPr>
      <t>Abacus</t>
    </r>
    <r>
      <rPr>
        <sz val="11"/>
        <color theme="1"/>
        <rFont val="Calibri"/>
        <family val="2"/>
        <scheme val="minor"/>
      </rPr>
      <t xml:space="preserve"> - Abacus
</t>
    </r>
    <r>
      <rPr>
        <b/>
        <sz val="11"/>
        <color theme="1"/>
        <rFont val="Calibri"/>
        <family val="2"/>
        <scheme val="minor"/>
      </rPr>
      <t>SpellChecker</t>
    </r>
    <r>
      <rPr>
        <sz val="11"/>
        <color theme="1"/>
        <rFont val="Calibri"/>
        <family val="2"/>
        <scheme val="minor"/>
      </rPr>
      <t xml:space="preserve"> - Spell checker
</t>
    </r>
    <r>
      <rPr>
        <b/>
        <sz val="11"/>
        <color theme="1"/>
        <rFont val="Calibri"/>
        <family val="2"/>
        <scheme val="minor"/>
      </rPr>
      <t>Homophone</t>
    </r>
    <r>
      <rPr>
        <sz val="11"/>
        <color theme="1"/>
        <rFont val="Calibri"/>
        <family val="2"/>
        <scheme val="minor"/>
      </rPr>
      <t xml:space="preserve"> - Homophone checker
</t>
    </r>
    <r>
      <rPr>
        <b/>
        <sz val="11"/>
        <color theme="1"/>
        <rFont val="Calibri"/>
        <family val="2"/>
        <scheme val="minor"/>
      </rPr>
      <t>MindMapping</t>
    </r>
    <r>
      <rPr>
        <sz val="11"/>
        <color theme="1"/>
        <rFont val="Calibri"/>
        <family val="2"/>
        <scheme val="minor"/>
      </rPr>
      <t xml:space="preserve"> - Mind mapping software
</t>
    </r>
    <r>
      <rPr>
        <b/>
        <sz val="11"/>
        <color theme="1"/>
        <rFont val="Calibri"/>
        <family val="2"/>
        <scheme val="minor"/>
      </rPr>
      <t>OutlineTool</t>
    </r>
    <r>
      <rPr>
        <sz val="11"/>
        <color theme="1"/>
        <rFont val="Calibri"/>
        <family val="2"/>
        <scheme val="minor"/>
      </rPr>
      <t xml:space="preserve"> - Outline tool
</t>
    </r>
  </si>
  <si>
    <r>
      <t>Required</t>
    </r>
    <r>
      <rPr>
        <sz val="11"/>
        <color theme="1"/>
        <rFont val="Calibri"/>
        <family val="2"/>
        <scheme val="minor"/>
      </rPr>
      <t xml:space="preserve"> - Required
</t>
    </r>
    <r>
      <rPr>
        <b/>
        <sz val="11"/>
        <color theme="1"/>
        <rFont val="Calibri"/>
        <family val="2"/>
        <scheme val="minor"/>
      </rPr>
      <t>Preferred</t>
    </r>
    <r>
      <rPr>
        <sz val="11"/>
        <color theme="1"/>
        <rFont val="Calibri"/>
        <family val="2"/>
        <scheme val="minor"/>
      </rPr>
      <t xml:space="preserve"> - Preferred
</t>
    </r>
    <r>
      <rPr>
        <b/>
        <sz val="11"/>
        <color theme="1"/>
        <rFont val="Calibri"/>
        <family val="2"/>
        <scheme val="minor"/>
      </rPr>
      <t>OptionallyUse</t>
    </r>
    <r>
      <rPr>
        <sz val="11"/>
        <color theme="1"/>
        <rFont val="Calibri"/>
        <family val="2"/>
        <scheme val="minor"/>
      </rPr>
      <t xml:space="preserve"> - Optionally use
</t>
    </r>
    <r>
      <rPr>
        <b/>
        <sz val="11"/>
        <color theme="1"/>
        <rFont val="Calibri"/>
        <family val="2"/>
        <scheme val="minor"/>
      </rPr>
      <t>Prohibited</t>
    </r>
    <r>
      <rPr>
        <sz val="11"/>
        <color theme="1"/>
        <rFont val="Calibri"/>
        <family val="2"/>
        <scheme val="minor"/>
      </rPr>
      <t xml:space="preserve"> - Prohibited
</t>
    </r>
  </si>
  <si>
    <r>
      <t>TextOnly</t>
    </r>
    <r>
      <rPr>
        <sz val="11"/>
        <color theme="1"/>
        <rFont val="Calibri"/>
        <family val="2"/>
        <scheme val="minor"/>
      </rPr>
      <t xml:space="preserve"> - Text only
</t>
    </r>
    <r>
      <rPr>
        <b/>
        <sz val="11"/>
        <color theme="1"/>
        <rFont val="Calibri"/>
        <family val="2"/>
        <scheme val="minor"/>
      </rPr>
      <t>TextGraphics</t>
    </r>
    <r>
      <rPr>
        <sz val="11"/>
        <color theme="1"/>
        <rFont val="Calibri"/>
        <family val="2"/>
        <scheme val="minor"/>
      </rPr>
      <t xml:space="preserve"> - Text and graphics
</t>
    </r>
    <r>
      <rPr>
        <b/>
        <sz val="11"/>
        <color theme="1"/>
        <rFont val="Calibri"/>
        <family val="2"/>
        <scheme val="minor"/>
      </rPr>
      <t>GraphicsOnly</t>
    </r>
    <r>
      <rPr>
        <sz val="11"/>
        <color theme="1"/>
        <rFont val="Calibri"/>
        <family val="2"/>
        <scheme val="minor"/>
      </rPr>
      <t xml:space="preserve"> - Graphics only
</t>
    </r>
    <r>
      <rPr>
        <b/>
        <sz val="11"/>
        <color theme="1"/>
        <rFont val="Calibri"/>
        <family val="2"/>
        <scheme val="minor"/>
      </rPr>
      <t>NonVisual</t>
    </r>
    <r>
      <rPr>
        <sz val="11"/>
        <color theme="1"/>
        <rFont val="Calibri"/>
        <family val="2"/>
        <scheme val="minor"/>
      </rPr>
      <t xml:space="preserve"> - Non-visual
</t>
    </r>
  </si>
  <si>
    <r>
      <t>00512</t>
    </r>
    <r>
      <rPr>
        <sz val="11"/>
        <color theme="1"/>
        <rFont val="Calibri"/>
        <family val="2"/>
        <scheme val="minor"/>
      </rPr>
      <t xml:space="preserve"> - Achievement/proficiency level
</t>
    </r>
    <r>
      <rPr>
        <b/>
        <sz val="11"/>
        <color theme="1"/>
        <rFont val="Calibri"/>
        <family val="2"/>
        <scheme val="minor"/>
      </rPr>
      <t>00494</t>
    </r>
    <r>
      <rPr>
        <sz val="11"/>
        <color theme="1"/>
        <rFont val="Calibri"/>
        <family val="2"/>
        <scheme val="minor"/>
      </rPr>
      <t xml:space="preserve"> - ACT score
</t>
    </r>
    <r>
      <rPr>
        <b/>
        <sz val="11"/>
        <color theme="1"/>
        <rFont val="Calibri"/>
        <family val="2"/>
        <scheme val="minor"/>
      </rPr>
      <t>00490</t>
    </r>
    <r>
      <rPr>
        <sz val="11"/>
        <color theme="1"/>
        <rFont val="Calibri"/>
        <family val="2"/>
        <scheme val="minor"/>
      </rPr>
      <t xml:space="preserve"> - Age score
</t>
    </r>
    <r>
      <rPr>
        <b/>
        <sz val="11"/>
        <color theme="1"/>
        <rFont val="Calibri"/>
        <family val="2"/>
        <scheme val="minor"/>
      </rPr>
      <t>00491</t>
    </r>
    <r>
      <rPr>
        <sz val="11"/>
        <color theme="1"/>
        <rFont val="Calibri"/>
        <family val="2"/>
        <scheme val="minor"/>
      </rPr>
      <t xml:space="preserve"> - C-scaled scores
</t>
    </r>
    <r>
      <rPr>
        <b/>
        <sz val="11"/>
        <color theme="1"/>
        <rFont val="Calibri"/>
        <family val="2"/>
        <scheme val="minor"/>
      </rPr>
      <t>00492</t>
    </r>
    <r>
      <rPr>
        <sz val="11"/>
        <color theme="1"/>
        <rFont val="Calibri"/>
        <family val="2"/>
        <scheme val="minor"/>
      </rPr>
      <t xml:space="preserve"> - College Board examination scores
</t>
    </r>
    <r>
      <rPr>
        <b/>
        <sz val="11"/>
        <color theme="1"/>
        <rFont val="Calibri"/>
        <family val="2"/>
        <scheme val="minor"/>
      </rPr>
      <t>00493</t>
    </r>
    <r>
      <rPr>
        <sz val="11"/>
        <color theme="1"/>
        <rFont val="Calibri"/>
        <family val="2"/>
        <scheme val="minor"/>
      </rPr>
      <t xml:space="preserve"> - Grade equivalent or grade-level indicator
</t>
    </r>
    <r>
      <rPr>
        <b/>
        <sz val="11"/>
        <color theme="1"/>
        <rFont val="Calibri"/>
        <family val="2"/>
        <scheme val="minor"/>
      </rPr>
      <t>03473</t>
    </r>
    <r>
      <rPr>
        <sz val="11"/>
        <color theme="1"/>
        <rFont val="Calibri"/>
        <family val="2"/>
        <scheme val="minor"/>
      </rPr>
      <t xml:space="preserve"> - Graduation score
</t>
    </r>
    <r>
      <rPr>
        <b/>
        <sz val="11"/>
        <color theme="1"/>
        <rFont val="Calibri"/>
        <family val="2"/>
        <scheme val="minor"/>
      </rPr>
      <t>03474</t>
    </r>
    <r>
      <rPr>
        <sz val="11"/>
        <color theme="1"/>
        <rFont val="Calibri"/>
        <family val="2"/>
        <scheme val="minor"/>
      </rPr>
      <t xml:space="preserve"> - Growth/value-added/indexing
</t>
    </r>
    <r>
      <rPr>
        <b/>
        <sz val="11"/>
        <color theme="1"/>
        <rFont val="Calibri"/>
        <family val="2"/>
        <scheme val="minor"/>
      </rPr>
      <t>03475</t>
    </r>
    <r>
      <rPr>
        <sz val="11"/>
        <color theme="1"/>
        <rFont val="Calibri"/>
        <family val="2"/>
        <scheme val="minor"/>
      </rPr>
      <t xml:space="preserve"> - International Baccalaureate score
</t>
    </r>
    <r>
      <rPr>
        <b/>
        <sz val="11"/>
        <color theme="1"/>
        <rFont val="Calibri"/>
        <family val="2"/>
        <scheme val="minor"/>
      </rPr>
      <t>00144</t>
    </r>
    <r>
      <rPr>
        <sz val="11"/>
        <color theme="1"/>
        <rFont val="Calibri"/>
        <family val="2"/>
        <scheme val="minor"/>
      </rPr>
      <t xml:space="preserve"> - Letter grade/mark
</t>
    </r>
    <r>
      <rPr>
        <b/>
        <sz val="11"/>
        <color theme="1"/>
        <rFont val="Calibri"/>
        <family val="2"/>
        <scheme val="minor"/>
      </rPr>
      <t>00513</t>
    </r>
    <r>
      <rPr>
        <sz val="11"/>
        <color theme="1"/>
        <rFont val="Calibri"/>
        <family val="2"/>
        <scheme val="minor"/>
      </rPr>
      <t xml:space="preserve"> - Mastery level
</t>
    </r>
    <r>
      <rPr>
        <b/>
        <sz val="11"/>
        <color theme="1"/>
        <rFont val="Calibri"/>
        <family val="2"/>
        <scheme val="minor"/>
      </rPr>
      <t>00497</t>
    </r>
    <r>
      <rPr>
        <sz val="11"/>
        <color theme="1"/>
        <rFont val="Calibri"/>
        <family val="2"/>
        <scheme val="minor"/>
      </rPr>
      <t xml:space="preserve"> - Normal curve equivalent
</t>
    </r>
    <r>
      <rPr>
        <b/>
        <sz val="11"/>
        <color theme="1"/>
        <rFont val="Calibri"/>
        <family val="2"/>
        <scheme val="minor"/>
      </rPr>
      <t>00498</t>
    </r>
    <r>
      <rPr>
        <sz val="11"/>
        <color theme="1"/>
        <rFont val="Calibri"/>
        <family val="2"/>
        <scheme val="minor"/>
      </rPr>
      <t xml:space="preserve"> - Normalized standard score
</t>
    </r>
    <r>
      <rPr>
        <b/>
        <sz val="11"/>
        <color theme="1"/>
        <rFont val="Calibri"/>
        <family val="2"/>
        <scheme val="minor"/>
      </rPr>
      <t>00499</t>
    </r>
    <r>
      <rPr>
        <sz val="11"/>
        <color theme="1"/>
        <rFont val="Calibri"/>
        <family val="2"/>
        <scheme val="minor"/>
      </rPr>
      <t xml:space="preserve"> - Number score
</t>
    </r>
    <r>
      <rPr>
        <b/>
        <sz val="11"/>
        <color theme="1"/>
        <rFont val="Calibri"/>
        <family val="2"/>
        <scheme val="minor"/>
      </rPr>
      <t>00500</t>
    </r>
    <r>
      <rPr>
        <sz val="11"/>
        <color theme="1"/>
        <rFont val="Calibri"/>
        <family val="2"/>
        <scheme val="minor"/>
      </rPr>
      <t xml:space="preserve"> - Pass-fail
</t>
    </r>
    <r>
      <rPr>
        <b/>
        <sz val="11"/>
        <color theme="1"/>
        <rFont val="Calibri"/>
        <family val="2"/>
        <scheme val="minor"/>
      </rPr>
      <t>03476</t>
    </r>
    <r>
      <rPr>
        <sz val="11"/>
        <color theme="1"/>
        <rFont val="Calibri"/>
        <family val="2"/>
        <scheme val="minor"/>
      </rPr>
      <t xml:space="preserve"> - Percentile
</t>
    </r>
    <r>
      <rPr>
        <b/>
        <sz val="11"/>
        <color theme="1"/>
        <rFont val="Calibri"/>
        <family val="2"/>
        <scheme val="minor"/>
      </rPr>
      <t>00502</t>
    </r>
    <r>
      <rPr>
        <sz val="11"/>
        <color theme="1"/>
        <rFont val="Calibri"/>
        <family val="2"/>
        <scheme val="minor"/>
      </rPr>
      <t xml:space="preserve"> - Percentile rank
</t>
    </r>
    <r>
      <rPr>
        <b/>
        <sz val="11"/>
        <color theme="1"/>
        <rFont val="Calibri"/>
        <family val="2"/>
        <scheme val="minor"/>
      </rPr>
      <t>00503</t>
    </r>
    <r>
      <rPr>
        <sz val="11"/>
        <color theme="1"/>
        <rFont val="Calibri"/>
        <family val="2"/>
        <scheme val="minor"/>
      </rPr>
      <t xml:space="preserve"> - Proficiency level
</t>
    </r>
    <r>
      <rPr>
        <b/>
        <sz val="11"/>
        <color theme="1"/>
        <rFont val="Calibri"/>
        <family val="2"/>
        <scheme val="minor"/>
      </rPr>
      <t>03477</t>
    </r>
    <r>
      <rPr>
        <sz val="11"/>
        <color theme="1"/>
        <rFont val="Calibri"/>
        <family val="2"/>
        <scheme val="minor"/>
      </rPr>
      <t xml:space="preserve"> - Promotion score
</t>
    </r>
    <r>
      <rPr>
        <b/>
        <sz val="11"/>
        <color theme="1"/>
        <rFont val="Calibri"/>
        <family val="2"/>
        <scheme val="minor"/>
      </rPr>
      <t>00504</t>
    </r>
    <r>
      <rPr>
        <sz val="11"/>
        <color theme="1"/>
        <rFont val="Calibri"/>
        <family val="2"/>
        <scheme val="minor"/>
      </rPr>
      <t xml:space="preserve"> - Ranking
</t>
    </r>
    <r>
      <rPr>
        <b/>
        <sz val="11"/>
        <color theme="1"/>
        <rFont val="Calibri"/>
        <family val="2"/>
        <scheme val="minor"/>
      </rPr>
      <t>00505</t>
    </r>
    <r>
      <rPr>
        <sz val="11"/>
        <color theme="1"/>
        <rFont val="Calibri"/>
        <family val="2"/>
        <scheme val="minor"/>
      </rPr>
      <t xml:space="preserve"> - Ratio IQ's
</t>
    </r>
    <r>
      <rPr>
        <b/>
        <sz val="11"/>
        <color theme="1"/>
        <rFont val="Calibri"/>
        <family val="2"/>
        <scheme val="minor"/>
      </rPr>
      <t>03478</t>
    </r>
    <r>
      <rPr>
        <sz val="11"/>
        <color theme="1"/>
        <rFont val="Calibri"/>
        <family val="2"/>
        <scheme val="minor"/>
      </rPr>
      <t xml:space="preserve"> - Raw score
</t>
    </r>
    <r>
      <rPr>
        <b/>
        <sz val="11"/>
        <color theme="1"/>
        <rFont val="Calibri"/>
        <family val="2"/>
        <scheme val="minor"/>
      </rPr>
      <t>03479</t>
    </r>
    <r>
      <rPr>
        <sz val="11"/>
        <color theme="1"/>
        <rFont val="Calibri"/>
        <family val="2"/>
        <scheme val="minor"/>
      </rPr>
      <t xml:space="preserve"> - Scale score
</t>
    </r>
    <r>
      <rPr>
        <b/>
        <sz val="11"/>
        <color theme="1"/>
        <rFont val="Calibri"/>
        <family val="2"/>
        <scheme val="minor"/>
      </rPr>
      <t>00506</t>
    </r>
    <r>
      <rPr>
        <sz val="11"/>
        <color theme="1"/>
        <rFont val="Calibri"/>
        <family val="2"/>
        <scheme val="minor"/>
      </rPr>
      <t xml:space="preserve"> - Standard age score
</t>
    </r>
    <r>
      <rPr>
        <b/>
        <sz val="11"/>
        <color theme="1"/>
        <rFont val="Calibri"/>
        <family val="2"/>
        <scheme val="minor"/>
      </rPr>
      <t>00508</t>
    </r>
    <r>
      <rPr>
        <sz val="11"/>
        <color theme="1"/>
        <rFont val="Calibri"/>
        <family val="2"/>
        <scheme val="minor"/>
      </rPr>
      <t xml:space="preserve"> - Stanine score
</t>
    </r>
    <r>
      <rPr>
        <b/>
        <sz val="11"/>
        <color theme="1"/>
        <rFont val="Calibri"/>
        <family val="2"/>
        <scheme val="minor"/>
      </rPr>
      <t>00509</t>
    </r>
    <r>
      <rPr>
        <sz val="11"/>
        <color theme="1"/>
        <rFont val="Calibri"/>
        <family val="2"/>
        <scheme val="minor"/>
      </rPr>
      <t xml:space="preserve"> - Sten score
</t>
    </r>
    <r>
      <rPr>
        <b/>
        <sz val="11"/>
        <color theme="1"/>
        <rFont val="Calibri"/>
        <family val="2"/>
        <scheme val="minor"/>
      </rPr>
      <t>00510</t>
    </r>
    <r>
      <rPr>
        <sz val="11"/>
        <color theme="1"/>
        <rFont val="Calibri"/>
        <family val="2"/>
        <scheme val="minor"/>
      </rPr>
      <t xml:space="preserve"> - T-score
</t>
    </r>
    <r>
      <rPr>
        <b/>
        <sz val="11"/>
        <color theme="1"/>
        <rFont val="Calibri"/>
        <family val="2"/>
        <scheme val="minor"/>
      </rPr>
      <t>03480</t>
    </r>
    <r>
      <rPr>
        <sz val="11"/>
        <color theme="1"/>
        <rFont val="Calibri"/>
        <family val="2"/>
        <scheme val="minor"/>
      </rPr>
      <t xml:space="preserve"> - Workplace readiness score
</t>
    </r>
    <r>
      <rPr>
        <b/>
        <sz val="11"/>
        <color theme="1"/>
        <rFont val="Calibri"/>
        <family val="2"/>
        <scheme val="minor"/>
      </rPr>
      <t>00511</t>
    </r>
    <r>
      <rPr>
        <sz val="11"/>
        <color theme="1"/>
        <rFont val="Calibri"/>
        <family val="2"/>
        <scheme val="minor"/>
      </rPr>
      <t xml:space="preserve"> - Z-score
</t>
    </r>
    <r>
      <rPr>
        <b/>
        <sz val="11"/>
        <color theme="1"/>
        <rFont val="Calibri"/>
        <family val="2"/>
        <scheme val="minor"/>
      </rPr>
      <t>09999</t>
    </r>
    <r>
      <rPr>
        <sz val="11"/>
        <color theme="1"/>
        <rFont val="Calibri"/>
        <family val="2"/>
        <scheme val="minor"/>
      </rPr>
      <t xml:space="preserve"> - Other
</t>
    </r>
  </si>
  <si>
    <r>
      <t>00050</t>
    </r>
    <r>
      <rPr>
        <sz val="11"/>
        <color theme="1"/>
        <rFont val="Calibri"/>
        <family val="2"/>
        <scheme val="minor"/>
      </rPr>
      <t xml:space="preserve"> - Admission
</t>
    </r>
    <r>
      <rPr>
        <b/>
        <sz val="11"/>
        <color theme="1"/>
        <rFont val="Calibri"/>
        <family val="2"/>
        <scheme val="minor"/>
      </rPr>
      <t>00051</t>
    </r>
    <r>
      <rPr>
        <sz val="11"/>
        <color theme="1"/>
        <rFont val="Calibri"/>
        <family val="2"/>
        <scheme val="minor"/>
      </rPr>
      <t xml:space="preserve"> - Assessment of student's progress
</t>
    </r>
    <r>
      <rPr>
        <b/>
        <sz val="11"/>
        <color theme="1"/>
        <rFont val="Calibri"/>
        <family val="2"/>
        <scheme val="minor"/>
      </rPr>
      <t>73055</t>
    </r>
    <r>
      <rPr>
        <sz val="11"/>
        <color theme="1"/>
        <rFont val="Calibri"/>
        <family val="2"/>
        <scheme val="minor"/>
      </rPr>
      <t xml:space="preserve"> - College Readiness
</t>
    </r>
    <r>
      <rPr>
        <b/>
        <sz val="11"/>
        <color theme="1"/>
        <rFont val="Calibri"/>
        <family val="2"/>
        <scheme val="minor"/>
      </rPr>
      <t>00063</t>
    </r>
    <r>
      <rPr>
        <sz val="11"/>
        <color theme="1"/>
        <rFont val="Calibri"/>
        <family val="2"/>
        <scheme val="minor"/>
      </rPr>
      <t xml:space="preserve"> - Course credit
</t>
    </r>
    <r>
      <rPr>
        <b/>
        <sz val="11"/>
        <color theme="1"/>
        <rFont val="Calibri"/>
        <family val="2"/>
        <scheme val="minor"/>
      </rPr>
      <t>00064</t>
    </r>
    <r>
      <rPr>
        <sz val="11"/>
        <color theme="1"/>
        <rFont val="Calibri"/>
        <family val="2"/>
        <scheme val="minor"/>
      </rPr>
      <t xml:space="preserve"> - Course requirement
</t>
    </r>
    <r>
      <rPr>
        <b/>
        <sz val="11"/>
        <color theme="1"/>
        <rFont val="Calibri"/>
        <family val="2"/>
        <scheme val="minor"/>
      </rPr>
      <t>73069</t>
    </r>
    <r>
      <rPr>
        <sz val="11"/>
        <color theme="1"/>
        <rFont val="Calibri"/>
        <family val="2"/>
        <scheme val="minor"/>
      </rPr>
      <t xml:space="preserve"> - Diagnosis
</t>
    </r>
    <r>
      <rPr>
        <b/>
        <sz val="11"/>
        <color theme="1"/>
        <rFont val="Calibri"/>
        <family val="2"/>
        <scheme val="minor"/>
      </rPr>
      <t>03459</t>
    </r>
    <r>
      <rPr>
        <sz val="11"/>
        <color theme="1"/>
        <rFont val="Calibri"/>
        <family val="2"/>
        <scheme val="minor"/>
      </rPr>
      <t xml:space="preserve"> - Federal accountability
</t>
    </r>
    <r>
      <rPr>
        <b/>
        <sz val="11"/>
        <color theme="1"/>
        <rFont val="Calibri"/>
        <family val="2"/>
        <scheme val="minor"/>
      </rPr>
      <t>73068</t>
    </r>
    <r>
      <rPr>
        <sz val="11"/>
        <color theme="1"/>
        <rFont val="Calibri"/>
        <family val="2"/>
        <scheme val="minor"/>
      </rPr>
      <t xml:space="preserve"> - Inform local or state policy
</t>
    </r>
    <r>
      <rPr>
        <b/>
        <sz val="11"/>
        <color theme="1"/>
        <rFont val="Calibri"/>
        <family val="2"/>
        <scheme val="minor"/>
      </rPr>
      <t>00055</t>
    </r>
    <r>
      <rPr>
        <sz val="11"/>
        <color theme="1"/>
        <rFont val="Calibri"/>
        <family val="2"/>
        <scheme val="minor"/>
      </rPr>
      <t xml:space="preserve"> - Instructional decision
</t>
    </r>
    <r>
      <rPr>
        <b/>
        <sz val="11"/>
        <color theme="1"/>
        <rFont val="Calibri"/>
        <family val="2"/>
        <scheme val="minor"/>
      </rPr>
      <t>03457</t>
    </r>
    <r>
      <rPr>
        <sz val="11"/>
        <color theme="1"/>
        <rFont val="Calibri"/>
        <family val="2"/>
        <scheme val="minor"/>
      </rPr>
      <t xml:space="preserve"> - Local accountability
</t>
    </r>
    <r>
      <rPr>
        <b/>
        <sz val="11"/>
        <color theme="1"/>
        <rFont val="Calibri"/>
        <family val="2"/>
        <scheme val="minor"/>
      </rPr>
      <t>02404</t>
    </r>
    <r>
      <rPr>
        <sz val="11"/>
        <color theme="1"/>
        <rFont val="Calibri"/>
        <family val="2"/>
        <scheme val="minor"/>
      </rPr>
      <t xml:space="preserve"> - Local graduation requirement
</t>
    </r>
    <r>
      <rPr>
        <b/>
        <sz val="11"/>
        <color theme="1"/>
        <rFont val="Calibri"/>
        <family val="2"/>
        <scheme val="minor"/>
      </rPr>
      <t>73042</t>
    </r>
    <r>
      <rPr>
        <sz val="11"/>
        <color theme="1"/>
        <rFont val="Calibri"/>
        <family val="2"/>
        <scheme val="minor"/>
      </rPr>
      <t xml:space="preserve"> - Obtain a state- or industry-recognized certificate or license
</t>
    </r>
    <r>
      <rPr>
        <b/>
        <sz val="11"/>
        <color theme="1"/>
        <rFont val="Calibri"/>
        <family val="2"/>
        <scheme val="minor"/>
      </rPr>
      <t>73043</t>
    </r>
    <r>
      <rPr>
        <sz val="11"/>
        <color theme="1"/>
        <rFont val="Calibri"/>
        <family val="2"/>
        <scheme val="minor"/>
      </rPr>
      <t xml:space="preserve"> - Obtain postsecondary credit for the course
</t>
    </r>
    <r>
      <rPr>
        <b/>
        <sz val="11"/>
        <color theme="1"/>
        <rFont val="Calibri"/>
        <family val="2"/>
        <scheme val="minor"/>
      </rPr>
      <t>73067</t>
    </r>
    <r>
      <rPr>
        <sz val="11"/>
        <color theme="1"/>
        <rFont val="Calibri"/>
        <family val="2"/>
        <scheme val="minor"/>
      </rPr>
      <t xml:space="preserve"> - Program eligibility
</t>
    </r>
    <r>
      <rPr>
        <b/>
        <sz val="11"/>
        <color theme="1"/>
        <rFont val="Calibri"/>
        <family val="2"/>
        <scheme val="minor"/>
      </rPr>
      <t>00057</t>
    </r>
    <r>
      <rPr>
        <sz val="11"/>
        <color theme="1"/>
        <rFont val="Calibri"/>
        <family val="2"/>
        <scheme val="minor"/>
      </rPr>
      <t xml:space="preserve"> - Program evaluation
</t>
    </r>
    <r>
      <rPr>
        <b/>
        <sz val="11"/>
        <color theme="1"/>
        <rFont val="Calibri"/>
        <family val="2"/>
        <scheme val="minor"/>
      </rPr>
      <t>00058</t>
    </r>
    <r>
      <rPr>
        <sz val="11"/>
        <color theme="1"/>
        <rFont val="Calibri"/>
        <family val="2"/>
        <scheme val="minor"/>
      </rPr>
      <t xml:space="preserve"> - Program placement
</t>
    </r>
    <r>
      <rPr>
        <b/>
        <sz val="11"/>
        <color theme="1"/>
        <rFont val="Calibri"/>
        <family val="2"/>
        <scheme val="minor"/>
      </rPr>
      <t>00062</t>
    </r>
    <r>
      <rPr>
        <sz val="11"/>
        <color theme="1"/>
        <rFont val="Calibri"/>
        <family val="2"/>
        <scheme val="minor"/>
      </rPr>
      <t xml:space="preserve"> - Promotion to or retention in a grade or program
</t>
    </r>
    <r>
      <rPr>
        <b/>
        <sz val="11"/>
        <color theme="1"/>
        <rFont val="Calibri"/>
        <family val="2"/>
        <scheme val="minor"/>
      </rPr>
      <t>00061</t>
    </r>
    <r>
      <rPr>
        <sz val="11"/>
        <color theme="1"/>
        <rFont val="Calibri"/>
        <family val="2"/>
        <scheme val="minor"/>
      </rPr>
      <t xml:space="preserve"> - Screening
</t>
    </r>
    <r>
      <rPr>
        <b/>
        <sz val="11"/>
        <color theme="1"/>
        <rFont val="Calibri"/>
        <family val="2"/>
        <scheme val="minor"/>
      </rPr>
      <t>03458</t>
    </r>
    <r>
      <rPr>
        <sz val="11"/>
        <color theme="1"/>
        <rFont val="Calibri"/>
        <family val="2"/>
        <scheme val="minor"/>
      </rPr>
      <t xml:space="preserve"> - State accountability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00054</t>
    </r>
    <r>
      <rPr>
        <sz val="11"/>
        <color theme="1"/>
        <rFont val="Calibri"/>
        <family val="2"/>
        <scheme val="minor"/>
      </rPr>
      <t xml:space="preserve"> - State graduation requirement
</t>
    </r>
  </si>
  <si>
    <r>
      <t>73080</t>
    </r>
    <r>
      <rPr>
        <sz val="11"/>
        <color theme="1"/>
        <rFont val="Calibri"/>
        <family val="2"/>
        <scheme val="minor"/>
      </rPr>
      <t xml:space="preserve"> - Birth to Three
</t>
    </r>
    <r>
      <rPr>
        <b/>
        <sz val="11"/>
        <color theme="1"/>
        <rFont val="Calibri"/>
        <family val="2"/>
        <scheme val="minor"/>
      </rPr>
      <t>01043</t>
    </r>
    <r>
      <rPr>
        <sz val="11"/>
        <color theme="1"/>
        <rFont val="Calibri"/>
        <family val="2"/>
        <scheme val="minor"/>
      </rPr>
      <t xml:space="preserve"> - No school completed 
</t>
    </r>
    <r>
      <rPr>
        <b/>
        <sz val="11"/>
        <color theme="1"/>
        <rFont val="Calibri"/>
        <family val="2"/>
        <scheme val="minor"/>
      </rPr>
      <t>00788</t>
    </r>
    <r>
      <rPr>
        <sz val="11"/>
        <color theme="1"/>
        <rFont val="Calibri"/>
        <family val="2"/>
        <scheme val="minor"/>
      </rPr>
      <t xml:space="preserve"> - Preschool 
</t>
    </r>
    <r>
      <rPr>
        <b/>
        <sz val="11"/>
        <color theme="1"/>
        <rFont val="Calibri"/>
        <family val="2"/>
        <scheme val="minor"/>
      </rPr>
      <t>00805</t>
    </r>
    <r>
      <rPr>
        <sz val="11"/>
        <color theme="1"/>
        <rFont val="Calibri"/>
        <family val="2"/>
        <scheme val="minor"/>
      </rPr>
      <t xml:space="preserve"> - Kindergarten 
</t>
    </r>
    <r>
      <rPr>
        <b/>
        <sz val="11"/>
        <color theme="1"/>
        <rFont val="Calibri"/>
        <family val="2"/>
        <scheme val="minor"/>
      </rPr>
      <t>00790</t>
    </r>
    <r>
      <rPr>
        <sz val="11"/>
        <color theme="1"/>
        <rFont val="Calibri"/>
        <family val="2"/>
        <scheme val="minor"/>
      </rPr>
      <t xml:space="preserve"> - First grade 
</t>
    </r>
    <r>
      <rPr>
        <b/>
        <sz val="11"/>
        <color theme="1"/>
        <rFont val="Calibri"/>
        <family val="2"/>
        <scheme val="minor"/>
      </rPr>
      <t>00791</t>
    </r>
    <r>
      <rPr>
        <sz val="11"/>
        <color theme="1"/>
        <rFont val="Calibri"/>
        <family val="2"/>
        <scheme val="minor"/>
      </rPr>
      <t xml:space="preserve"> - Second grade 
</t>
    </r>
    <r>
      <rPr>
        <b/>
        <sz val="11"/>
        <color theme="1"/>
        <rFont val="Calibri"/>
        <family val="2"/>
        <scheme val="minor"/>
      </rPr>
      <t>00792</t>
    </r>
    <r>
      <rPr>
        <sz val="11"/>
        <color theme="1"/>
        <rFont val="Calibri"/>
        <family val="2"/>
        <scheme val="minor"/>
      </rPr>
      <t xml:space="preserve"> - Third grade 
</t>
    </r>
    <r>
      <rPr>
        <b/>
        <sz val="11"/>
        <color theme="1"/>
        <rFont val="Calibri"/>
        <family val="2"/>
        <scheme val="minor"/>
      </rPr>
      <t>00793</t>
    </r>
    <r>
      <rPr>
        <sz val="11"/>
        <color theme="1"/>
        <rFont val="Calibri"/>
        <family val="2"/>
        <scheme val="minor"/>
      </rPr>
      <t xml:space="preserve"> - Fourth grade 
</t>
    </r>
    <r>
      <rPr>
        <b/>
        <sz val="11"/>
        <color theme="1"/>
        <rFont val="Calibri"/>
        <family val="2"/>
        <scheme val="minor"/>
      </rPr>
      <t>00794</t>
    </r>
    <r>
      <rPr>
        <sz val="11"/>
        <color theme="1"/>
        <rFont val="Calibri"/>
        <family val="2"/>
        <scheme val="minor"/>
      </rPr>
      <t xml:space="preserve"> - Fifth grade 
</t>
    </r>
    <r>
      <rPr>
        <b/>
        <sz val="11"/>
        <color theme="1"/>
        <rFont val="Calibri"/>
        <family val="2"/>
        <scheme val="minor"/>
      </rPr>
      <t>00795</t>
    </r>
    <r>
      <rPr>
        <sz val="11"/>
        <color theme="1"/>
        <rFont val="Calibri"/>
        <family val="2"/>
        <scheme val="minor"/>
      </rPr>
      <t xml:space="preserve"> - Sixth grade 
</t>
    </r>
    <r>
      <rPr>
        <b/>
        <sz val="11"/>
        <color theme="1"/>
        <rFont val="Calibri"/>
        <family val="2"/>
        <scheme val="minor"/>
      </rPr>
      <t>00796</t>
    </r>
    <r>
      <rPr>
        <sz val="11"/>
        <color theme="1"/>
        <rFont val="Calibri"/>
        <family val="2"/>
        <scheme val="minor"/>
      </rPr>
      <t xml:space="preserve"> - Seventh grade 
</t>
    </r>
    <r>
      <rPr>
        <b/>
        <sz val="11"/>
        <color theme="1"/>
        <rFont val="Calibri"/>
        <family val="2"/>
        <scheme val="minor"/>
      </rPr>
      <t>00798</t>
    </r>
    <r>
      <rPr>
        <sz val="11"/>
        <color theme="1"/>
        <rFont val="Calibri"/>
        <family val="2"/>
        <scheme val="minor"/>
      </rPr>
      <t xml:space="preserve"> - Eighth grade 
</t>
    </r>
    <r>
      <rPr>
        <b/>
        <sz val="11"/>
        <color theme="1"/>
        <rFont val="Calibri"/>
        <family val="2"/>
        <scheme val="minor"/>
      </rPr>
      <t>00799</t>
    </r>
    <r>
      <rPr>
        <sz val="11"/>
        <color theme="1"/>
        <rFont val="Calibri"/>
        <family val="2"/>
        <scheme val="minor"/>
      </rPr>
      <t xml:space="preserve"> - Ninth grade 
</t>
    </r>
    <r>
      <rPr>
        <b/>
        <sz val="11"/>
        <color theme="1"/>
        <rFont val="Calibri"/>
        <family val="2"/>
        <scheme val="minor"/>
      </rPr>
      <t>00800</t>
    </r>
    <r>
      <rPr>
        <sz val="11"/>
        <color theme="1"/>
        <rFont val="Calibri"/>
        <family val="2"/>
        <scheme val="minor"/>
      </rPr>
      <t xml:space="preserve"> - Tenth grade 
</t>
    </r>
    <r>
      <rPr>
        <b/>
        <sz val="11"/>
        <color theme="1"/>
        <rFont val="Calibri"/>
        <family val="2"/>
        <scheme val="minor"/>
      </rPr>
      <t>00801</t>
    </r>
    <r>
      <rPr>
        <sz val="11"/>
        <color theme="1"/>
        <rFont val="Calibri"/>
        <family val="2"/>
        <scheme val="minor"/>
      </rPr>
      <t xml:space="preserve"> - Eleventh Grade 
</t>
    </r>
    <r>
      <rPr>
        <b/>
        <sz val="11"/>
        <color theme="1"/>
        <rFont val="Calibri"/>
        <family val="2"/>
        <scheme val="minor"/>
      </rPr>
      <t>01809</t>
    </r>
    <r>
      <rPr>
        <sz val="11"/>
        <color theme="1"/>
        <rFont val="Calibri"/>
        <family val="2"/>
        <scheme val="minor"/>
      </rPr>
      <t xml:space="preserve"> - 12th grade, no diploma 
</t>
    </r>
    <r>
      <rPr>
        <b/>
        <sz val="11"/>
        <color theme="1"/>
        <rFont val="Calibri"/>
        <family val="2"/>
        <scheme val="minor"/>
      </rPr>
      <t>01044</t>
    </r>
    <r>
      <rPr>
        <sz val="11"/>
        <color theme="1"/>
        <rFont val="Calibri"/>
        <family val="2"/>
        <scheme val="minor"/>
      </rPr>
      <t xml:space="preserve"> - High school diploma 
</t>
    </r>
    <r>
      <rPr>
        <b/>
        <sz val="11"/>
        <color theme="1"/>
        <rFont val="Calibri"/>
        <family val="2"/>
        <scheme val="minor"/>
      </rPr>
      <t>02408</t>
    </r>
    <r>
      <rPr>
        <sz val="11"/>
        <color theme="1"/>
        <rFont val="Calibri"/>
        <family val="2"/>
        <scheme val="minor"/>
      </rPr>
      <t xml:space="preserve"> - High school completers (e.g., certificate of attendance) 
</t>
    </r>
    <r>
      <rPr>
        <b/>
        <sz val="11"/>
        <color theme="1"/>
        <rFont val="Calibri"/>
        <family val="2"/>
        <scheme val="minor"/>
      </rPr>
      <t>02409</t>
    </r>
    <r>
      <rPr>
        <sz val="11"/>
        <color theme="1"/>
        <rFont val="Calibri"/>
        <family val="2"/>
        <scheme val="minor"/>
      </rPr>
      <t xml:space="preserve"> - High school equivalency (e.g., GED)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01049</t>
    </r>
    <r>
      <rPr>
        <sz val="11"/>
        <color theme="1"/>
        <rFont val="Calibri"/>
        <family val="2"/>
        <scheme val="minor"/>
      </rPr>
      <t xml:space="preserve"> - Some college but no degree 
</t>
    </r>
    <r>
      <rPr>
        <b/>
        <sz val="11"/>
        <color theme="1"/>
        <rFont val="Calibri"/>
        <family val="2"/>
        <scheme val="minor"/>
      </rPr>
      <t>01047</t>
    </r>
    <r>
      <rPr>
        <sz val="11"/>
        <color theme="1"/>
        <rFont val="Calibri"/>
        <family val="2"/>
        <scheme val="minor"/>
      </rPr>
      <t xml:space="preserve"> - Formal award, certificate or diploma (less than one year) 
</t>
    </r>
    <r>
      <rPr>
        <b/>
        <sz val="11"/>
        <color theme="1"/>
        <rFont val="Calibri"/>
        <family val="2"/>
        <scheme val="minor"/>
      </rPr>
      <t>01048</t>
    </r>
    <r>
      <rPr>
        <sz val="11"/>
        <color theme="1"/>
        <rFont val="Calibri"/>
        <family val="2"/>
        <scheme val="minor"/>
      </rPr>
      <t xml:space="preserve"> - Formal award, certificate or diploma (more than or equal to one year) 
</t>
    </r>
    <r>
      <rPr>
        <b/>
        <sz val="11"/>
        <color theme="1"/>
        <rFont val="Calibri"/>
        <family val="2"/>
        <scheme val="minor"/>
      </rPr>
      <t>01050</t>
    </r>
    <r>
      <rPr>
        <sz val="11"/>
        <color theme="1"/>
        <rFont val="Calibri"/>
        <family val="2"/>
        <scheme val="minor"/>
      </rPr>
      <t xml:space="preserve"> - Associate's degree (two years or more) 
</t>
    </r>
    <r>
      <rPr>
        <b/>
        <sz val="11"/>
        <color theme="1"/>
        <rFont val="Calibri"/>
        <family val="2"/>
        <scheme val="minor"/>
      </rPr>
      <t>73063</t>
    </r>
    <r>
      <rPr>
        <sz val="11"/>
        <color theme="1"/>
        <rFont val="Calibri"/>
        <family val="2"/>
        <scheme val="minor"/>
      </rPr>
      <t xml:space="preserve"> - Adult education certification, endorsement, or degree
</t>
    </r>
    <r>
      <rPr>
        <b/>
        <sz val="11"/>
        <color theme="1"/>
        <rFont val="Calibri"/>
        <family val="2"/>
        <scheme val="minor"/>
      </rPr>
      <t>01051</t>
    </r>
    <r>
      <rPr>
        <sz val="11"/>
        <color theme="1"/>
        <rFont val="Calibri"/>
        <family val="2"/>
        <scheme val="minor"/>
      </rPr>
      <t xml:space="preserve"> - Bachelor's (Baccalaureate) degree 
</t>
    </r>
    <r>
      <rPr>
        <b/>
        <sz val="11"/>
        <color theme="1"/>
        <rFont val="Calibri"/>
        <family val="2"/>
        <scheme val="minor"/>
      </rPr>
      <t>01054</t>
    </r>
    <r>
      <rPr>
        <sz val="11"/>
        <color theme="1"/>
        <rFont val="Calibri"/>
        <family val="2"/>
        <scheme val="minor"/>
      </rPr>
      <t xml:space="preserve"> - Master's degree (e.g., M.A., M.S., M. Eng., M.Ed., M.S.W., M.B.A., M.L.S.) 
</t>
    </r>
    <r>
      <rPr>
        <b/>
        <sz val="11"/>
        <color theme="1"/>
        <rFont val="Calibri"/>
        <family val="2"/>
        <scheme val="minor"/>
      </rPr>
      <t>01055</t>
    </r>
    <r>
      <rPr>
        <sz val="11"/>
        <color theme="1"/>
        <rFont val="Calibri"/>
        <family val="2"/>
        <scheme val="minor"/>
      </rPr>
      <t xml:space="preserve"> - Specialist's degree (e.g., Ed.S.) 
</t>
    </r>
    <r>
      <rPr>
        <b/>
        <sz val="11"/>
        <color theme="1"/>
        <rFont val="Calibri"/>
        <family val="2"/>
        <scheme val="minor"/>
      </rPr>
      <t>73081</t>
    </r>
    <r>
      <rPr>
        <sz val="11"/>
        <color theme="1"/>
        <rFont val="Calibri"/>
        <family val="2"/>
        <scheme val="minor"/>
      </rPr>
      <t xml:space="preserve"> - Post-master’s certificate
</t>
    </r>
    <r>
      <rPr>
        <b/>
        <sz val="11"/>
        <color theme="1"/>
        <rFont val="Calibri"/>
        <family val="2"/>
        <scheme val="minor"/>
      </rPr>
      <t>01052</t>
    </r>
    <r>
      <rPr>
        <sz val="11"/>
        <color theme="1"/>
        <rFont val="Calibri"/>
        <family val="2"/>
        <scheme val="minor"/>
      </rPr>
      <t xml:space="preserve"> - Graduate certificate 
</t>
    </r>
    <r>
      <rPr>
        <b/>
        <sz val="11"/>
        <color theme="1"/>
        <rFont val="Calibri"/>
        <family val="2"/>
        <scheme val="minor"/>
      </rPr>
      <t>01057</t>
    </r>
    <r>
      <rPr>
        <sz val="11"/>
        <color theme="1"/>
        <rFont val="Calibri"/>
        <family val="2"/>
        <scheme val="minor"/>
      </rPr>
      <t xml:space="preserve"> - Doctoral (Doctor's) degree 
</t>
    </r>
    <r>
      <rPr>
        <b/>
        <sz val="11"/>
        <color theme="1"/>
        <rFont val="Calibri"/>
        <family val="2"/>
        <scheme val="minor"/>
      </rPr>
      <t>01053</t>
    </r>
    <r>
      <rPr>
        <sz val="11"/>
        <color theme="1"/>
        <rFont val="Calibri"/>
        <family val="2"/>
        <scheme val="minor"/>
      </rPr>
      <t xml:space="preserve"> - First-professional degree 
</t>
    </r>
    <r>
      <rPr>
        <b/>
        <sz val="11"/>
        <color theme="1"/>
        <rFont val="Calibri"/>
        <family val="2"/>
        <scheme val="minor"/>
      </rPr>
      <t>01056</t>
    </r>
    <r>
      <rPr>
        <sz val="11"/>
        <color theme="1"/>
        <rFont val="Calibri"/>
        <family val="2"/>
        <scheme val="minor"/>
      </rPr>
      <t xml:space="preserve"> - Post-professional degree 
</t>
    </r>
    <r>
      <rPr>
        <b/>
        <sz val="11"/>
        <color theme="1"/>
        <rFont val="Calibri"/>
        <family val="2"/>
        <scheme val="minor"/>
      </rPr>
      <t>73082</t>
    </r>
    <r>
      <rPr>
        <sz val="11"/>
        <color theme="1"/>
        <rFont val="Calibri"/>
        <family val="2"/>
        <scheme val="minor"/>
      </rPr>
      <t xml:space="preserve"> - Doctor’s degree-research/scholarship
</t>
    </r>
    <r>
      <rPr>
        <b/>
        <sz val="11"/>
        <color theme="1"/>
        <rFont val="Calibri"/>
        <family val="2"/>
        <scheme val="minor"/>
      </rPr>
      <t>73083</t>
    </r>
    <r>
      <rPr>
        <sz val="11"/>
        <color theme="1"/>
        <rFont val="Calibri"/>
        <family val="2"/>
        <scheme val="minor"/>
      </rPr>
      <t xml:space="preserve"> - Doctor’s degree-professional practice
</t>
    </r>
    <r>
      <rPr>
        <b/>
        <sz val="11"/>
        <color theme="1"/>
        <rFont val="Calibri"/>
        <family val="2"/>
        <scheme val="minor"/>
      </rPr>
      <t>73084</t>
    </r>
    <r>
      <rPr>
        <sz val="11"/>
        <color theme="1"/>
        <rFont val="Calibri"/>
        <family val="2"/>
        <scheme val="minor"/>
      </rPr>
      <t xml:space="preserve"> - Doctor’s degree-other
</t>
    </r>
    <r>
      <rPr>
        <b/>
        <sz val="11"/>
        <color theme="1"/>
        <rFont val="Calibri"/>
        <family val="2"/>
        <scheme val="minor"/>
      </rPr>
      <t>73085</t>
    </r>
    <r>
      <rPr>
        <sz val="11"/>
        <color theme="1"/>
        <rFont val="Calibri"/>
        <family val="2"/>
        <scheme val="minor"/>
      </rPr>
      <t xml:space="preserve"> - Doctor’s degree-research/scholarship
</t>
    </r>
    <r>
      <rPr>
        <b/>
        <sz val="11"/>
        <color theme="1"/>
        <rFont val="Calibri"/>
        <family val="2"/>
        <scheme val="minor"/>
      </rPr>
      <t>09999</t>
    </r>
    <r>
      <rPr>
        <sz val="11"/>
        <color theme="1"/>
        <rFont val="Calibri"/>
        <family val="2"/>
        <scheme val="minor"/>
      </rPr>
      <t xml:space="preserve"> - Other
</t>
    </r>
  </si>
  <si>
    <r>
      <t>Participated</t>
    </r>
    <r>
      <rPr>
        <sz val="11"/>
        <color theme="1"/>
        <rFont val="Calibri"/>
        <family val="2"/>
        <scheme val="minor"/>
      </rPr>
      <t xml:space="preserve"> - Participated
</t>
    </r>
    <r>
      <rPr>
        <b/>
        <sz val="11"/>
        <color theme="1"/>
        <rFont val="Calibri"/>
        <family val="2"/>
        <scheme val="minor"/>
      </rPr>
      <t>DidNotParticipate</t>
    </r>
    <r>
      <rPr>
        <sz val="11"/>
        <color theme="1"/>
        <rFont val="Calibri"/>
        <family val="2"/>
        <scheme val="minor"/>
      </rPr>
      <t xml:space="preserve"> - Did Not Participate
</t>
    </r>
  </si>
  <si>
    <r>
      <t>ParentsOptOut</t>
    </r>
    <r>
      <rPr>
        <sz val="11"/>
        <color theme="1"/>
        <rFont val="Calibri"/>
        <family val="2"/>
        <scheme val="minor"/>
      </rPr>
      <t xml:space="preserve"> - Parents opt out
</t>
    </r>
    <r>
      <rPr>
        <b/>
        <sz val="11"/>
        <color theme="1"/>
        <rFont val="Calibri"/>
        <family val="2"/>
        <scheme val="minor"/>
      </rPr>
      <t>Absent</t>
    </r>
    <r>
      <rPr>
        <sz val="11"/>
        <color theme="1"/>
        <rFont val="Calibri"/>
        <family val="2"/>
        <scheme val="minor"/>
      </rPr>
      <t xml:space="preserve"> - Absent during
</t>
    </r>
    <r>
      <rPr>
        <b/>
        <sz val="11"/>
        <color theme="1"/>
        <rFont val="Calibri"/>
        <family val="2"/>
        <scheme val="minor"/>
      </rPr>
      <t>Other</t>
    </r>
    <r>
      <rPr>
        <sz val="11"/>
        <color theme="1"/>
        <rFont val="Calibri"/>
        <family val="2"/>
        <scheme val="minor"/>
      </rPr>
      <t xml:space="preserve"> - Did not participate for other reason
</t>
    </r>
    <r>
      <rPr>
        <b/>
        <sz val="11"/>
        <color theme="1"/>
        <rFont val="Calibri"/>
        <family val="2"/>
        <scheme val="minor"/>
      </rPr>
      <t>OutOfLevelTest</t>
    </r>
    <r>
      <rPr>
        <sz val="11"/>
        <color theme="1"/>
        <rFont val="Calibri"/>
        <family val="2"/>
        <scheme val="minor"/>
      </rPr>
      <t xml:space="preserve"> - Students who participated in an out of level test (not in accordance with ESEA as amended)
</t>
    </r>
    <r>
      <rPr>
        <b/>
        <sz val="11"/>
        <color theme="1"/>
        <rFont val="Calibri"/>
        <family val="2"/>
        <scheme val="minor"/>
      </rPr>
      <t>NoValidScore</t>
    </r>
    <r>
      <rPr>
        <sz val="11"/>
        <color theme="1"/>
        <rFont val="Calibri"/>
        <family val="2"/>
        <scheme val="minor"/>
      </rPr>
      <t xml:space="preserve"> - No valid score
</t>
    </r>
    <r>
      <rPr>
        <b/>
        <sz val="11"/>
        <color theme="1"/>
        <rFont val="Calibri"/>
        <family val="2"/>
        <scheme val="minor"/>
      </rPr>
      <t>Medical</t>
    </r>
    <r>
      <rPr>
        <sz val="11"/>
        <color theme="1"/>
        <rFont val="Calibri"/>
        <family val="2"/>
        <scheme val="minor"/>
      </rPr>
      <t xml:space="preserve"> - Medical emergency
</t>
    </r>
    <r>
      <rPr>
        <b/>
        <sz val="11"/>
        <color theme="1"/>
        <rFont val="Calibri"/>
        <family val="2"/>
        <scheme val="minor"/>
      </rPr>
      <t>Moved</t>
    </r>
    <r>
      <rPr>
        <sz val="11"/>
        <color theme="1"/>
        <rFont val="Calibri"/>
        <family val="2"/>
        <scheme val="minor"/>
      </rPr>
      <t xml:space="preserve"> - Moved
</t>
    </r>
    <r>
      <rPr>
        <b/>
        <sz val="11"/>
        <color theme="1"/>
        <rFont val="Calibri"/>
        <family val="2"/>
        <scheme val="minor"/>
      </rPr>
      <t>LeftProgram</t>
    </r>
    <r>
      <rPr>
        <sz val="11"/>
        <color theme="1"/>
        <rFont val="Calibri"/>
        <family val="2"/>
        <scheme val="minor"/>
      </rPr>
      <t xml:space="preserve"> - Person left program - unable to locate
</t>
    </r>
  </si>
  <si>
    <r>
      <t>13807</t>
    </r>
    <r>
      <rPr>
        <sz val="11"/>
        <color theme="1"/>
        <rFont val="Calibri"/>
        <family val="2"/>
        <scheme val="minor"/>
      </rPr>
      <t xml:space="preserve"> - Long-term suspension - non-special education
</t>
    </r>
    <r>
      <rPr>
        <b/>
        <sz val="11"/>
        <color theme="1"/>
        <rFont val="Calibri"/>
        <family val="2"/>
        <scheme val="minor"/>
      </rPr>
      <t>13808</t>
    </r>
    <r>
      <rPr>
        <sz val="11"/>
        <color theme="1"/>
        <rFont val="Calibri"/>
        <family val="2"/>
        <scheme val="minor"/>
      </rPr>
      <t xml:space="preserve"> - Short-term suspension - non-special education
</t>
    </r>
    <r>
      <rPr>
        <b/>
        <sz val="11"/>
        <color theme="1"/>
        <rFont val="Calibri"/>
        <family val="2"/>
        <scheme val="minor"/>
      </rPr>
      <t>13809</t>
    </r>
    <r>
      <rPr>
        <sz val="11"/>
        <color theme="1"/>
        <rFont val="Calibri"/>
        <family val="2"/>
        <scheme val="minor"/>
      </rPr>
      <t xml:space="preserve"> - Suspension - special education
</t>
    </r>
    <r>
      <rPr>
        <b/>
        <sz val="11"/>
        <color theme="1"/>
        <rFont val="Calibri"/>
        <family val="2"/>
        <scheme val="minor"/>
      </rPr>
      <t>13810</t>
    </r>
    <r>
      <rPr>
        <sz val="11"/>
        <color theme="1"/>
        <rFont val="Calibri"/>
        <family val="2"/>
        <scheme val="minor"/>
      </rPr>
      <t xml:space="preserve"> - Truancy - paperwork filed
</t>
    </r>
    <r>
      <rPr>
        <b/>
        <sz val="11"/>
        <color theme="1"/>
        <rFont val="Calibri"/>
        <family val="2"/>
        <scheme val="minor"/>
      </rPr>
      <t>13811</t>
    </r>
    <r>
      <rPr>
        <sz val="11"/>
        <color theme="1"/>
        <rFont val="Calibri"/>
        <family val="2"/>
        <scheme val="minor"/>
      </rPr>
      <t xml:space="preserve"> - Truancy - no paperwork filed
</t>
    </r>
    <r>
      <rPr>
        <b/>
        <sz val="11"/>
        <color theme="1"/>
        <rFont val="Calibri"/>
        <family val="2"/>
        <scheme val="minor"/>
      </rPr>
      <t>13812</t>
    </r>
    <r>
      <rPr>
        <sz val="11"/>
        <color theme="1"/>
        <rFont val="Calibri"/>
        <family val="2"/>
        <scheme val="minor"/>
      </rPr>
      <t xml:space="preserve"> - Earlier truancy
</t>
    </r>
    <r>
      <rPr>
        <b/>
        <sz val="11"/>
        <color theme="1"/>
        <rFont val="Calibri"/>
        <family val="2"/>
        <scheme val="minor"/>
      </rPr>
      <t>13813</t>
    </r>
    <r>
      <rPr>
        <sz val="11"/>
        <color theme="1"/>
        <rFont val="Calibri"/>
        <family val="2"/>
        <scheme val="minor"/>
      </rPr>
      <t xml:space="preserve"> - Chronic absences
</t>
    </r>
    <r>
      <rPr>
        <b/>
        <sz val="11"/>
        <color theme="1"/>
        <rFont val="Calibri"/>
        <family val="2"/>
        <scheme val="minor"/>
      </rPr>
      <t>13814</t>
    </r>
    <r>
      <rPr>
        <sz val="11"/>
        <color theme="1"/>
        <rFont val="Calibri"/>
        <family val="2"/>
        <scheme val="minor"/>
      </rPr>
      <t xml:space="preserve"> - Catastrophic illness or accident
</t>
    </r>
    <r>
      <rPr>
        <b/>
        <sz val="11"/>
        <color theme="1"/>
        <rFont val="Calibri"/>
        <family val="2"/>
        <scheme val="minor"/>
      </rPr>
      <t>13815</t>
    </r>
    <r>
      <rPr>
        <sz val="11"/>
        <color theme="1"/>
        <rFont val="Calibri"/>
        <family val="2"/>
        <scheme val="minor"/>
      </rPr>
      <t xml:space="preserve"> - Home schooled for assessed subjects
</t>
    </r>
    <r>
      <rPr>
        <b/>
        <sz val="11"/>
        <color theme="1"/>
        <rFont val="Calibri"/>
        <family val="2"/>
        <scheme val="minor"/>
      </rPr>
      <t>13816</t>
    </r>
    <r>
      <rPr>
        <sz val="11"/>
        <color theme="1"/>
        <rFont val="Calibri"/>
        <family val="2"/>
        <scheme val="minor"/>
      </rPr>
      <t xml:space="preserve"> - Student took this grade level assessment last year
</t>
    </r>
    <r>
      <rPr>
        <b/>
        <sz val="11"/>
        <color theme="1"/>
        <rFont val="Calibri"/>
        <family val="2"/>
        <scheme val="minor"/>
      </rPr>
      <t>13817</t>
    </r>
    <r>
      <rPr>
        <sz val="11"/>
        <color theme="1"/>
        <rFont val="Calibri"/>
        <family val="2"/>
        <scheme val="minor"/>
      </rPr>
      <t xml:space="preserve"> - Incarcerated at adult facility
</t>
    </r>
    <r>
      <rPr>
        <b/>
        <sz val="11"/>
        <color theme="1"/>
        <rFont val="Calibri"/>
        <family val="2"/>
        <scheme val="minor"/>
      </rPr>
      <t>13818</t>
    </r>
    <r>
      <rPr>
        <sz val="11"/>
        <color theme="1"/>
        <rFont val="Calibri"/>
        <family val="2"/>
        <scheme val="minor"/>
      </rPr>
      <t xml:space="preserve"> - Special treatment center
</t>
    </r>
    <r>
      <rPr>
        <b/>
        <sz val="11"/>
        <color theme="1"/>
        <rFont val="Calibri"/>
        <family val="2"/>
        <scheme val="minor"/>
      </rPr>
      <t>13819</t>
    </r>
    <r>
      <rPr>
        <sz val="11"/>
        <color theme="1"/>
        <rFont val="Calibri"/>
        <family val="2"/>
        <scheme val="minor"/>
      </rPr>
      <t xml:space="preserve"> - Special detention center
</t>
    </r>
    <r>
      <rPr>
        <b/>
        <sz val="11"/>
        <color theme="1"/>
        <rFont val="Calibri"/>
        <family val="2"/>
        <scheme val="minor"/>
      </rPr>
      <t>13820</t>
    </r>
    <r>
      <rPr>
        <sz val="11"/>
        <color theme="1"/>
        <rFont val="Calibri"/>
        <family val="2"/>
        <scheme val="minor"/>
      </rPr>
      <t xml:space="preserve"> - Parent refusal
</t>
    </r>
    <r>
      <rPr>
        <b/>
        <sz val="11"/>
        <color theme="1"/>
        <rFont val="Calibri"/>
        <family val="2"/>
        <scheme val="minor"/>
      </rPr>
      <t>13821</t>
    </r>
    <r>
      <rPr>
        <sz val="11"/>
        <color theme="1"/>
        <rFont val="Calibri"/>
        <family val="2"/>
        <scheme val="minor"/>
      </rPr>
      <t xml:space="preserve"> - Cheating
</t>
    </r>
    <r>
      <rPr>
        <b/>
        <sz val="11"/>
        <color theme="1"/>
        <rFont val="Calibri"/>
        <family val="2"/>
        <scheme val="minor"/>
      </rPr>
      <t>13822</t>
    </r>
    <r>
      <rPr>
        <sz val="11"/>
        <color theme="1"/>
        <rFont val="Calibri"/>
        <family val="2"/>
        <scheme val="minor"/>
      </rPr>
      <t xml:space="preserve"> - Psychological factors of emotional trauma
</t>
    </r>
    <r>
      <rPr>
        <b/>
        <sz val="11"/>
        <color theme="1"/>
        <rFont val="Calibri"/>
        <family val="2"/>
        <scheme val="minor"/>
      </rPr>
      <t>13823</t>
    </r>
    <r>
      <rPr>
        <sz val="11"/>
        <color theme="1"/>
        <rFont val="Calibri"/>
        <family val="2"/>
        <scheme val="minor"/>
      </rPr>
      <t xml:space="preserve"> - Student not showing adequate effort
</t>
    </r>
    <r>
      <rPr>
        <b/>
        <sz val="11"/>
        <color theme="1"/>
        <rFont val="Calibri"/>
        <family val="2"/>
        <scheme val="minor"/>
      </rPr>
      <t>13824</t>
    </r>
    <r>
      <rPr>
        <sz val="11"/>
        <color theme="1"/>
        <rFont val="Calibri"/>
        <family val="2"/>
        <scheme val="minor"/>
      </rPr>
      <t xml:space="preserve"> - Homebound
</t>
    </r>
    <r>
      <rPr>
        <b/>
        <sz val="11"/>
        <color theme="1"/>
        <rFont val="Calibri"/>
        <family val="2"/>
        <scheme val="minor"/>
      </rPr>
      <t>13825</t>
    </r>
    <r>
      <rPr>
        <sz val="11"/>
        <color theme="1"/>
        <rFont val="Calibri"/>
        <family val="2"/>
        <scheme val="minor"/>
      </rPr>
      <t xml:space="preserve"> - Foreign exchange student
</t>
    </r>
    <r>
      <rPr>
        <b/>
        <sz val="11"/>
        <color theme="1"/>
        <rFont val="Calibri"/>
        <family val="2"/>
        <scheme val="minor"/>
      </rPr>
      <t>13826</t>
    </r>
    <r>
      <rPr>
        <sz val="11"/>
        <color theme="1"/>
        <rFont val="Calibri"/>
        <family val="2"/>
        <scheme val="minor"/>
      </rPr>
      <t xml:space="preserve"> - Student refusal
</t>
    </r>
    <r>
      <rPr>
        <b/>
        <sz val="11"/>
        <color theme="1"/>
        <rFont val="Calibri"/>
        <family val="2"/>
        <scheme val="minor"/>
      </rPr>
      <t>13827</t>
    </r>
    <r>
      <rPr>
        <sz val="11"/>
        <color theme="1"/>
        <rFont val="Calibri"/>
        <family val="2"/>
        <scheme val="minor"/>
      </rPr>
      <t xml:space="preserve"> - Reading passage read to student (IEP)
</t>
    </r>
    <r>
      <rPr>
        <b/>
        <sz val="11"/>
        <color theme="1"/>
        <rFont val="Calibri"/>
        <family val="2"/>
        <scheme val="minor"/>
      </rPr>
      <t>13828</t>
    </r>
    <r>
      <rPr>
        <sz val="11"/>
        <color theme="1"/>
        <rFont val="Calibri"/>
        <family val="2"/>
        <scheme val="minor"/>
      </rPr>
      <t xml:space="preserve"> - Non-special education student used calculator on non-calculator items
</t>
    </r>
    <r>
      <rPr>
        <b/>
        <sz val="11"/>
        <color theme="1"/>
        <rFont val="Calibri"/>
        <family val="2"/>
        <scheme val="minor"/>
      </rPr>
      <t>13829</t>
    </r>
    <r>
      <rPr>
        <sz val="11"/>
        <color theme="1"/>
        <rFont val="Calibri"/>
        <family val="2"/>
        <scheme val="minor"/>
      </rPr>
      <t xml:space="preserve"> - Student used math journal (non-IEP)
</t>
    </r>
    <r>
      <rPr>
        <b/>
        <sz val="11"/>
        <color theme="1"/>
        <rFont val="Calibri"/>
        <family val="2"/>
        <scheme val="minor"/>
      </rPr>
      <t>13830</t>
    </r>
    <r>
      <rPr>
        <sz val="11"/>
        <color theme="1"/>
        <rFont val="Calibri"/>
        <family val="2"/>
        <scheme val="minor"/>
      </rPr>
      <t xml:space="preserve"> - Other reason for ineligibility
</t>
    </r>
    <r>
      <rPr>
        <b/>
        <sz val="11"/>
        <color theme="1"/>
        <rFont val="Calibri"/>
        <family val="2"/>
        <scheme val="minor"/>
      </rPr>
      <t>13831</t>
    </r>
    <r>
      <rPr>
        <sz val="11"/>
        <color theme="1"/>
        <rFont val="Calibri"/>
        <family val="2"/>
        <scheme val="minor"/>
      </rPr>
      <t xml:space="preserve"> - Other reason for nonparticipation
</t>
    </r>
    <r>
      <rPr>
        <b/>
        <sz val="11"/>
        <color theme="1"/>
        <rFont val="Calibri"/>
        <family val="2"/>
        <scheme val="minor"/>
      </rPr>
      <t>13832</t>
    </r>
    <r>
      <rPr>
        <sz val="11"/>
        <color theme="1"/>
        <rFont val="Calibri"/>
        <family val="2"/>
        <scheme val="minor"/>
      </rPr>
      <t xml:space="preserve"> - Left testing
</t>
    </r>
    <r>
      <rPr>
        <b/>
        <sz val="11"/>
        <color theme="1"/>
        <rFont val="Calibri"/>
        <family val="2"/>
        <scheme val="minor"/>
      </rPr>
      <t>13833</t>
    </r>
    <r>
      <rPr>
        <sz val="11"/>
        <color theme="1"/>
        <rFont val="Calibri"/>
        <family val="2"/>
        <scheme val="minor"/>
      </rPr>
      <t xml:space="preserve"> - Cross-enrolled
</t>
    </r>
    <r>
      <rPr>
        <b/>
        <sz val="11"/>
        <color theme="1"/>
        <rFont val="Calibri"/>
        <family val="2"/>
        <scheme val="minor"/>
      </rPr>
      <t>13834</t>
    </r>
    <r>
      <rPr>
        <sz val="11"/>
        <color theme="1"/>
        <rFont val="Calibri"/>
        <family val="2"/>
        <scheme val="minor"/>
      </rPr>
      <t xml:space="preserve"> - Only for writing
</t>
    </r>
    <r>
      <rPr>
        <b/>
        <sz val="11"/>
        <color theme="1"/>
        <rFont val="Calibri"/>
        <family val="2"/>
        <scheme val="minor"/>
      </rPr>
      <t>13835</t>
    </r>
    <r>
      <rPr>
        <sz val="11"/>
        <color theme="1"/>
        <rFont val="Calibri"/>
        <family val="2"/>
        <scheme val="minor"/>
      </rPr>
      <t xml:space="preserve"> - Administration or system failure
</t>
    </r>
    <r>
      <rPr>
        <b/>
        <sz val="11"/>
        <color theme="1"/>
        <rFont val="Calibri"/>
        <family val="2"/>
        <scheme val="minor"/>
      </rPr>
      <t>13836</t>
    </r>
    <r>
      <rPr>
        <sz val="11"/>
        <color theme="1"/>
        <rFont val="Calibri"/>
        <family val="2"/>
        <scheme val="minor"/>
      </rPr>
      <t xml:space="preserve"> - Teacher cheating or mis-admin
</t>
    </r>
    <r>
      <rPr>
        <b/>
        <sz val="11"/>
        <color theme="1"/>
        <rFont val="Calibri"/>
        <family val="2"/>
        <scheme val="minor"/>
      </rPr>
      <t>13837</t>
    </r>
    <r>
      <rPr>
        <sz val="11"/>
        <color theme="1"/>
        <rFont val="Calibri"/>
        <family val="2"/>
        <scheme val="minor"/>
      </rPr>
      <t xml:space="preserve"> - Fire alarm
</t>
    </r>
    <r>
      <rPr>
        <b/>
        <sz val="11"/>
        <color theme="1"/>
        <rFont val="Calibri"/>
        <family val="2"/>
        <scheme val="minor"/>
      </rPr>
      <t>09999</t>
    </r>
    <r>
      <rPr>
        <sz val="11"/>
        <color theme="1"/>
        <rFont val="Calibri"/>
        <family val="2"/>
        <scheme val="minor"/>
      </rPr>
      <t xml:space="preserve"> - Other
</t>
    </r>
  </si>
  <si>
    <r>
      <t>GradeLevel</t>
    </r>
    <r>
      <rPr>
        <sz val="11"/>
        <color theme="1"/>
        <rFont val="Calibri"/>
        <family val="2"/>
        <scheme val="minor"/>
      </rPr>
      <t xml:space="preserve"> - At or above Grade Level
</t>
    </r>
    <r>
      <rPr>
        <b/>
        <sz val="11"/>
        <color theme="1"/>
        <rFont val="Calibri"/>
        <family val="2"/>
        <scheme val="minor"/>
      </rPr>
      <t>BelowGradeLevel</t>
    </r>
    <r>
      <rPr>
        <sz val="11"/>
        <color theme="1"/>
        <rFont val="Calibri"/>
        <family val="2"/>
        <scheme val="minor"/>
      </rPr>
      <t xml:space="preserve"> - Below Grade Level
</t>
    </r>
    <r>
      <rPr>
        <b/>
        <sz val="11"/>
        <color theme="1"/>
        <rFont val="Calibri"/>
        <family val="2"/>
        <scheme val="minor"/>
      </rPr>
      <t>NA</t>
    </r>
    <r>
      <rPr>
        <sz val="11"/>
        <color theme="1"/>
        <rFont val="Calibri"/>
        <family val="2"/>
        <scheme val="minor"/>
      </rPr>
      <t xml:space="preserve"> - Not applicable
</t>
    </r>
  </si>
  <si>
    <r>
      <t>AchievementTest</t>
    </r>
    <r>
      <rPr>
        <sz val="11"/>
        <color theme="1"/>
        <rFont val="Calibri"/>
        <family val="2"/>
        <scheme val="minor"/>
      </rPr>
      <t xml:space="preserve"> - Achievement test
</t>
    </r>
    <r>
      <rPr>
        <b/>
        <sz val="11"/>
        <color theme="1"/>
        <rFont val="Calibri"/>
        <family val="2"/>
        <scheme val="minor"/>
      </rPr>
      <t>AdvancedPlacementTest</t>
    </r>
    <r>
      <rPr>
        <sz val="11"/>
        <color theme="1"/>
        <rFont val="Calibri"/>
        <family val="2"/>
        <scheme val="minor"/>
      </rPr>
      <t xml:space="preserve"> - Advanced placement test
</t>
    </r>
    <r>
      <rPr>
        <b/>
        <sz val="11"/>
        <color theme="1"/>
        <rFont val="Calibri"/>
        <family val="2"/>
        <scheme val="minor"/>
      </rPr>
      <t>AlternateAssessmentELL</t>
    </r>
    <r>
      <rPr>
        <sz val="11"/>
        <color theme="1"/>
        <rFont val="Calibri"/>
        <family val="2"/>
        <scheme val="minor"/>
      </rPr>
      <t xml:space="preserve"> - Alternate assessment/ELL
</t>
    </r>
    <r>
      <rPr>
        <b/>
        <sz val="11"/>
        <color theme="1"/>
        <rFont val="Calibri"/>
        <family val="2"/>
        <scheme val="minor"/>
      </rPr>
      <t>AlternateAssessmentGradeLevelStandards</t>
    </r>
    <r>
      <rPr>
        <sz val="11"/>
        <color theme="1"/>
        <rFont val="Calibri"/>
        <family val="2"/>
        <scheme val="minor"/>
      </rPr>
      <t xml:space="preserve"> - Alternate assessment/grade-level standards
</t>
    </r>
    <r>
      <rPr>
        <b/>
        <sz val="11"/>
        <color theme="1"/>
        <rFont val="Calibri"/>
        <family val="2"/>
        <scheme val="minor"/>
      </rPr>
      <t>AlternativeAssessmentModifiedStandards</t>
    </r>
    <r>
      <rPr>
        <sz val="11"/>
        <color theme="1"/>
        <rFont val="Calibri"/>
        <family val="2"/>
        <scheme val="minor"/>
      </rPr>
      <t xml:space="preserve"> - Alternative assessment/modified standards
</t>
    </r>
    <r>
      <rPr>
        <b/>
        <sz val="11"/>
        <color theme="1"/>
        <rFont val="Calibri"/>
        <family val="2"/>
        <scheme val="minor"/>
      </rPr>
      <t>AptitudeTest</t>
    </r>
    <r>
      <rPr>
        <sz val="11"/>
        <color theme="1"/>
        <rFont val="Calibri"/>
        <family val="2"/>
        <scheme val="minor"/>
      </rPr>
      <t xml:space="preserve"> - Aptitude Test
</t>
    </r>
    <r>
      <rPr>
        <b/>
        <sz val="11"/>
        <color theme="1"/>
        <rFont val="Calibri"/>
        <family val="2"/>
        <scheme val="minor"/>
      </rPr>
      <t>Benchmark</t>
    </r>
    <r>
      <rPr>
        <sz val="11"/>
        <color theme="1"/>
        <rFont val="Calibri"/>
        <family val="2"/>
        <scheme val="minor"/>
      </rPr>
      <t xml:space="preserve"> - Benchmark
</t>
    </r>
    <r>
      <rPr>
        <b/>
        <sz val="11"/>
        <color theme="1"/>
        <rFont val="Calibri"/>
        <family val="2"/>
        <scheme val="minor"/>
      </rPr>
      <t>CognitiveAndPerceptualSkills</t>
    </r>
    <r>
      <rPr>
        <sz val="11"/>
        <color theme="1"/>
        <rFont val="Calibri"/>
        <family val="2"/>
        <scheme val="minor"/>
      </rPr>
      <t xml:space="preserve"> - Cognitive and perceptual skills test
</t>
    </r>
    <r>
      <rPr>
        <b/>
        <sz val="11"/>
        <color theme="1"/>
        <rFont val="Calibri"/>
        <family val="2"/>
        <scheme val="minor"/>
      </rPr>
      <t>ComputerAdaptiveTest</t>
    </r>
    <r>
      <rPr>
        <sz val="11"/>
        <color theme="1"/>
        <rFont val="Calibri"/>
        <family val="2"/>
        <scheme val="minor"/>
      </rPr>
      <t xml:space="preserve"> - Computer Adaptive Test
</t>
    </r>
    <r>
      <rPr>
        <b/>
        <sz val="11"/>
        <color theme="1"/>
        <rFont val="Calibri"/>
        <family val="2"/>
        <scheme val="minor"/>
      </rPr>
      <t>DevelopmentalObservation</t>
    </r>
    <r>
      <rPr>
        <sz val="11"/>
        <color theme="1"/>
        <rFont val="Calibri"/>
        <family val="2"/>
        <scheme val="minor"/>
      </rPr>
      <t xml:space="preserve"> - Developmental observation
</t>
    </r>
    <r>
      <rPr>
        <b/>
        <sz val="11"/>
        <color theme="1"/>
        <rFont val="Calibri"/>
        <family val="2"/>
        <scheme val="minor"/>
      </rPr>
      <t>Diagnostic</t>
    </r>
    <r>
      <rPr>
        <sz val="11"/>
        <color theme="1"/>
        <rFont val="Calibri"/>
        <family val="2"/>
        <scheme val="minor"/>
      </rPr>
      <t xml:space="preserve"> - Diagnostic
</t>
    </r>
    <r>
      <rPr>
        <b/>
        <sz val="11"/>
        <color theme="1"/>
        <rFont val="Calibri"/>
        <family val="2"/>
        <scheme val="minor"/>
      </rPr>
      <t>DirectAssessment</t>
    </r>
    <r>
      <rPr>
        <sz val="11"/>
        <color theme="1"/>
        <rFont val="Calibri"/>
        <family val="2"/>
        <scheme val="minor"/>
      </rPr>
      <t xml:space="preserve"> - Direct Assessment
</t>
    </r>
    <r>
      <rPr>
        <b/>
        <sz val="11"/>
        <color theme="1"/>
        <rFont val="Calibri"/>
        <family val="2"/>
        <scheme val="minor"/>
      </rPr>
      <t>Formative</t>
    </r>
    <r>
      <rPr>
        <sz val="11"/>
        <color theme="1"/>
        <rFont val="Calibri"/>
        <family val="2"/>
        <scheme val="minor"/>
      </rPr>
      <t xml:space="preserve"> - Formative
</t>
    </r>
    <r>
      <rPr>
        <b/>
        <sz val="11"/>
        <color theme="1"/>
        <rFont val="Calibri"/>
        <family val="2"/>
        <scheme val="minor"/>
      </rPr>
      <t>GrowthMeasure</t>
    </r>
    <r>
      <rPr>
        <sz val="11"/>
        <color theme="1"/>
        <rFont val="Calibri"/>
        <family val="2"/>
        <scheme val="minor"/>
      </rPr>
      <t xml:space="preserve"> - Growth Measure
</t>
    </r>
    <r>
      <rPr>
        <b/>
        <sz val="11"/>
        <color theme="1"/>
        <rFont val="Calibri"/>
        <family val="2"/>
        <scheme val="minor"/>
      </rPr>
      <t>Interim</t>
    </r>
    <r>
      <rPr>
        <sz val="11"/>
        <color theme="1"/>
        <rFont val="Calibri"/>
        <family val="2"/>
        <scheme val="minor"/>
      </rPr>
      <t xml:space="preserve"> - Interim
</t>
    </r>
    <r>
      <rPr>
        <b/>
        <sz val="11"/>
        <color theme="1"/>
        <rFont val="Calibri"/>
        <family val="2"/>
        <scheme val="minor"/>
      </rPr>
      <t>KindergartenReadiness</t>
    </r>
    <r>
      <rPr>
        <sz val="11"/>
        <color theme="1"/>
        <rFont val="Calibri"/>
        <family val="2"/>
        <scheme val="minor"/>
      </rPr>
      <t xml:space="preserve"> - Kindergarten Readiness
</t>
    </r>
    <r>
      <rPr>
        <b/>
        <sz val="11"/>
        <color theme="1"/>
        <rFont val="Calibri"/>
        <family val="2"/>
        <scheme val="minor"/>
      </rPr>
      <t>LanguageProficiency</t>
    </r>
    <r>
      <rPr>
        <sz val="11"/>
        <color theme="1"/>
        <rFont val="Calibri"/>
        <family val="2"/>
        <scheme val="minor"/>
      </rPr>
      <t xml:space="preserve"> - Language proficiency test
</t>
    </r>
    <r>
      <rPr>
        <b/>
        <sz val="11"/>
        <color theme="1"/>
        <rFont val="Calibri"/>
        <family val="2"/>
        <scheme val="minor"/>
      </rPr>
      <t>MentalAbility</t>
    </r>
    <r>
      <rPr>
        <sz val="11"/>
        <color theme="1"/>
        <rFont val="Calibri"/>
        <family val="2"/>
        <scheme val="minor"/>
      </rPr>
      <t xml:space="preserve"> - Mental ability (intelligence) test
</t>
    </r>
    <r>
      <rPr>
        <b/>
        <sz val="11"/>
        <color theme="1"/>
        <rFont val="Calibri"/>
        <family val="2"/>
        <scheme val="minor"/>
      </rPr>
      <t>Observation</t>
    </r>
    <r>
      <rPr>
        <sz val="11"/>
        <color theme="1"/>
        <rFont val="Calibri"/>
        <family val="2"/>
        <scheme val="minor"/>
      </rPr>
      <t xml:space="preserve"> - Observation
</t>
    </r>
    <r>
      <rPr>
        <b/>
        <sz val="11"/>
        <color theme="1"/>
        <rFont val="Calibri"/>
        <family val="2"/>
        <scheme val="minor"/>
      </rPr>
      <t>ParentReport</t>
    </r>
    <r>
      <rPr>
        <sz val="11"/>
        <color theme="1"/>
        <rFont val="Calibri"/>
        <family val="2"/>
        <scheme val="minor"/>
      </rPr>
      <t xml:space="preserve"> - Parent Report
</t>
    </r>
    <r>
      <rPr>
        <b/>
        <sz val="11"/>
        <color theme="1"/>
        <rFont val="Calibri"/>
        <family val="2"/>
        <scheme val="minor"/>
      </rPr>
      <t>PerformanceAssessment</t>
    </r>
    <r>
      <rPr>
        <sz val="11"/>
        <color theme="1"/>
        <rFont val="Calibri"/>
        <family val="2"/>
        <scheme val="minor"/>
      </rPr>
      <t xml:space="preserve"> - Performance assessment
</t>
    </r>
    <r>
      <rPr>
        <b/>
        <sz val="11"/>
        <color theme="1"/>
        <rFont val="Calibri"/>
        <family val="2"/>
        <scheme val="minor"/>
      </rPr>
      <t>PortfolioAssessment</t>
    </r>
    <r>
      <rPr>
        <sz val="11"/>
        <color theme="1"/>
        <rFont val="Calibri"/>
        <family val="2"/>
        <scheme val="minor"/>
      </rPr>
      <t xml:space="preserve"> - Portfolio assessment
</t>
    </r>
    <r>
      <rPr>
        <b/>
        <sz val="11"/>
        <color theme="1"/>
        <rFont val="Calibri"/>
        <family val="2"/>
        <scheme val="minor"/>
      </rPr>
      <t>PrekindergartenReadiness</t>
    </r>
    <r>
      <rPr>
        <sz val="11"/>
        <color theme="1"/>
        <rFont val="Calibri"/>
        <family val="2"/>
        <scheme val="minor"/>
      </rPr>
      <t xml:space="preserve"> - Prekindergarten Readiness
</t>
    </r>
    <r>
      <rPr>
        <b/>
        <sz val="11"/>
        <color theme="1"/>
        <rFont val="Calibri"/>
        <family val="2"/>
        <scheme val="minor"/>
      </rPr>
      <t>ReadingReadiness</t>
    </r>
    <r>
      <rPr>
        <sz val="11"/>
        <color theme="1"/>
        <rFont val="Calibri"/>
        <family val="2"/>
        <scheme val="minor"/>
      </rPr>
      <t xml:space="preserve"> - Reading readiness test
</t>
    </r>
    <r>
      <rPr>
        <b/>
        <sz val="11"/>
        <color theme="1"/>
        <rFont val="Calibri"/>
        <family val="2"/>
        <scheme val="minor"/>
      </rPr>
      <t>Screening</t>
    </r>
    <r>
      <rPr>
        <sz val="11"/>
        <color theme="1"/>
        <rFont val="Calibri"/>
        <family val="2"/>
        <scheme val="minor"/>
      </rPr>
      <t xml:space="preserve"> - Screening
</t>
    </r>
    <r>
      <rPr>
        <b/>
        <sz val="11"/>
        <color theme="1"/>
        <rFont val="Calibri"/>
        <family val="2"/>
        <scheme val="minor"/>
      </rPr>
      <t>TeacherReport</t>
    </r>
    <r>
      <rPr>
        <sz val="11"/>
        <color theme="1"/>
        <rFont val="Calibri"/>
        <family val="2"/>
        <scheme val="minor"/>
      </rPr>
      <t xml:space="preserve"> - Teacher Report
</t>
    </r>
    <r>
      <rPr>
        <b/>
        <sz val="11"/>
        <color theme="1"/>
        <rFont val="Calibri"/>
        <family val="2"/>
        <scheme val="minor"/>
      </rPr>
      <t>Other</t>
    </r>
    <r>
      <rPr>
        <sz val="11"/>
        <color theme="1"/>
        <rFont val="Calibri"/>
        <family val="2"/>
        <scheme val="minor"/>
      </rPr>
      <t xml:space="preserve"> - Other
</t>
    </r>
  </si>
  <si>
    <r>
      <t>REGASSWOACC</t>
    </r>
    <r>
      <rPr>
        <sz val="11"/>
        <color theme="1"/>
        <rFont val="Calibri"/>
        <family val="2"/>
        <scheme val="minor"/>
      </rPr>
      <t xml:space="preserve"> - Regular assessments based on grade-level achievement standards without accommodations
</t>
    </r>
    <r>
      <rPr>
        <b/>
        <sz val="11"/>
        <color theme="1"/>
        <rFont val="Calibri"/>
        <family val="2"/>
        <scheme val="minor"/>
      </rPr>
      <t>REGASSWACC</t>
    </r>
    <r>
      <rPr>
        <sz val="11"/>
        <color theme="1"/>
        <rFont val="Calibri"/>
        <family val="2"/>
        <scheme val="minor"/>
      </rPr>
      <t xml:space="preserve"> - Regular assessments based on grade-level achievement standards with accommodations
</t>
    </r>
    <r>
      <rPr>
        <b/>
        <sz val="11"/>
        <color theme="1"/>
        <rFont val="Calibri"/>
        <family val="2"/>
        <scheme val="minor"/>
      </rPr>
      <t>ALTASSGRADELVL</t>
    </r>
    <r>
      <rPr>
        <sz val="11"/>
        <color theme="1"/>
        <rFont val="Calibri"/>
        <family val="2"/>
        <scheme val="minor"/>
      </rPr>
      <t xml:space="preserve"> - Alternate assessments based on grade-level achievement standards
</t>
    </r>
    <r>
      <rPr>
        <b/>
        <sz val="11"/>
        <color theme="1"/>
        <rFont val="Calibri"/>
        <family val="2"/>
        <scheme val="minor"/>
      </rPr>
      <t>ALTASSMODACH</t>
    </r>
    <r>
      <rPr>
        <sz val="11"/>
        <color theme="1"/>
        <rFont val="Calibri"/>
        <family val="2"/>
        <scheme val="minor"/>
      </rPr>
      <t xml:space="preserve"> - Alternate assessments based on modified achievement standards
</t>
    </r>
    <r>
      <rPr>
        <b/>
        <sz val="11"/>
        <color theme="1"/>
        <rFont val="Calibri"/>
        <family val="2"/>
        <scheme val="minor"/>
      </rPr>
      <t>ALTASSALTACH</t>
    </r>
    <r>
      <rPr>
        <sz val="11"/>
        <color theme="1"/>
        <rFont val="Calibri"/>
        <family val="2"/>
        <scheme val="minor"/>
      </rPr>
      <t xml:space="preserve"> - Alternate assessments based on alternate achievement standards
</t>
    </r>
    <r>
      <rPr>
        <b/>
        <sz val="11"/>
        <color theme="1"/>
        <rFont val="Calibri"/>
        <family val="2"/>
        <scheme val="minor"/>
      </rPr>
      <t>AgeLevelWithoutAccommodations</t>
    </r>
    <r>
      <rPr>
        <sz val="11"/>
        <color theme="1"/>
        <rFont val="Calibri"/>
        <family val="2"/>
        <scheme val="minor"/>
      </rPr>
      <t xml:space="preserve"> - Assessment based on age level standards without accommodations
</t>
    </r>
    <r>
      <rPr>
        <b/>
        <sz val="11"/>
        <color theme="1"/>
        <rFont val="Calibri"/>
        <family val="2"/>
        <scheme val="minor"/>
      </rPr>
      <t>AgeLevelWithAccommodations</t>
    </r>
    <r>
      <rPr>
        <sz val="11"/>
        <color theme="1"/>
        <rFont val="Calibri"/>
        <family val="2"/>
        <scheme val="minor"/>
      </rPr>
      <t xml:space="preserve"> - Assessment based on age level standards with accommodations
</t>
    </r>
    <r>
      <rPr>
        <b/>
        <sz val="11"/>
        <color theme="1"/>
        <rFont val="Calibri"/>
        <family val="2"/>
        <scheme val="minor"/>
      </rPr>
      <t>BelowAgeLevelWithoutAccommodations</t>
    </r>
    <r>
      <rPr>
        <sz val="11"/>
        <color theme="1"/>
        <rFont val="Calibri"/>
        <family val="2"/>
        <scheme val="minor"/>
      </rPr>
      <t xml:space="preserve"> - Assessment based on standards below age level without accommodations
</t>
    </r>
    <r>
      <rPr>
        <b/>
        <sz val="11"/>
        <color theme="1"/>
        <rFont val="Calibri"/>
        <family val="2"/>
        <scheme val="minor"/>
      </rPr>
      <t>BelowAgeLevelWithAccommodations</t>
    </r>
    <r>
      <rPr>
        <sz val="11"/>
        <color theme="1"/>
        <rFont val="Calibri"/>
        <family val="2"/>
        <scheme val="minor"/>
      </rPr>
      <t xml:space="preserve"> - Assessment based on standards below age level with accommodations
</t>
    </r>
  </si>
  <si>
    <r>
      <t>DailyAttendance</t>
    </r>
    <r>
      <rPr>
        <sz val="11"/>
        <color theme="1"/>
        <rFont val="Calibri"/>
        <family val="2"/>
        <scheme val="minor"/>
      </rPr>
      <t xml:space="preserve"> - Daily attendance
</t>
    </r>
    <r>
      <rPr>
        <b/>
        <sz val="11"/>
        <color theme="1"/>
        <rFont val="Calibri"/>
        <family val="2"/>
        <scheme val="minor"/>
      </rPr>
      <t>ClassSectionAttendance</t>
    </r>
    <r>
      <rPr>
        <sz val="11"/>
        <color theme="1"/>
        <rFont val="Calibri"/>
        <family val="2"/>
        <scheme val="minor"/>
      </rPr>
      <t xml:space="preserve"> - Class/section attendance
</t>
    </r>
    <r>
      <rPr>
        <b/>
        <sz val="11"/>
        <color theme="1"/>
        <rFont val="Calibri"/>
        <family val="2"/>
        <scheme val="minor"/>
      </rPr>
      <t>ProgramAttendance</t>
    </r>
    <r>
      <rPr>
        <sz val="11"/>
        <color theme="1"/>
        <rFont val="Calibri"/>
        <family val="2"/>
        <scheme val="minor"/>
      </rPr>
      <t xml:space="preserve"> - Program attendance
</t>
    </r>
    <r>
      <rPr>
        <b/>
        <sz val="11"/>
        <color theme="1"/>
        <rFont val="Calibri"/>
        <family val="2"/>
        <scheme val="minor"/>
      </rPr>
      <t>ExtracurricularAttendance</t>
    </r>
    <r>
      <rPr>
        <sz val="11"/>
        <color theme="1"/>
        <rFont val="Calibri"/>
        <family val="2"/>
        <scheme val="minor"/>
      </rPr>
      <t xml:space="preserve"> - Extracurricular attendance
</t>
    </r>
  </si>
  <si>
    <r>
      <t>Present</t>
    </r>
    <r>
      <rPr>
        <sz val="11"/>
        <color theme="1"/>
        <rFont val="Calibri"/>
        <family val="2"/>
        <scheme val="minor"/>
      </rPr>
      <t xml:space="preserve"> - Present
</t>
    </r>
    <r>
      <rPr>
        <b/>
        <sz val="11"/>
        <color theme="1"/>
        <rFont val="Calibri"/>
        <family val="2"/>
        <scheme val="minor"/>
      </rPr>
      <t>ExcusedAbsence</t>
    </r>
    <r>
      <rPr>
        <sz val="11"/>
        <color theme="1"/>
        <rFont val="Calibri"/>
        <family val="2"/>
        <scheme val="minor"/>
      </rPr>
      <t xml:space="preserve"> - Excused Absence
</t>
    </r>
    <r>
      <rPr>
        <b/>
        <sz val="11"/>
        <color theme="1"/>
        <rFont val="Calibri"/>
        <family val="2"/>
        <scheme val="minor"/>
      </rPr>
      <t>UnexcusedAbsence</t>
    </r>
    <r>
      <rPr>
        <sz val="11"/>
        <color theme="1"/>
        <rFont val="Calibri"/>
        <family val="2"/>
        <scheme val="minor"/>
      </rPr>
      <t xml:space="preserve"> - Unexcused Absence
</t>
    </r>
    <r>
      <rPr>
        <b/>
        <sz val="11"/>
        <color theme="1"/>
        <rFont val="Calibri"/>
        <family val="2"/>
        <scheme val="minor"/>
      </rPr>
      <t>Tardy</t>
    </r>
    <r>
      <rPr>
        <sz val="11"/>
        <color theme="1"/>
        <rFont val="Calibri"/>
        <family val="2"/>
        <scheme val="minor"/>
      </rPr>
      <t xml:space="preserve"> - Tardy
</t>
    </r>
    <r>
      <rPr>
        <b/>
        <sz val="11"/>
        <color theme="1"/>
        <rFont val="Calibri"/>
        <family val="2"/>
        <scheme val="minor"/>
      </rPr>
      <t>EarlyDeparture</t>
    </r>
    <r>
      <rPr>
        <sz val="11"/>
        <color theme="1"/>
        <rFont val="Calibri"/>
        <family val="2"/>
        <scheme val="minor"/>
      </rPr>
      <t xml:space="preserve"> - Early Departure
</t>
    </r>
  </si>
  <si>
    <r>
      <t>Eligibility</t>
    </r>
    <r>
      <rPr>
        <sz val="11"/>
        <color theme="1"/>
        <rFont val="Calibri"/>
        <family val="2"/>
        <scheme val="minor"/>
      </rPr>
      <t xml:space="preserve"> - Eligibility for homeless services
</t>
    </r>
    <r>
      <rPr>
        <b/>
        <sz val="11"/>
        <color theme="1"/>
        <rFont val="Calibri"/>
        <family val="2"/>
        <scheme val="minor"/>
      </rPr>
      <t>SchoolSelection</t>
    </r>
    <r>
      <rPr>
        <sz val="11"/>
        <color theme="1"/>
        <rFont val="Calibri"/>
        <family val="2"/>
        <scheme val="minor"/>
      </rPr>
      <t xml:space="preserve"> - School selection
</t>
    </r>
    <r>
      <rPr>
        <b/>
        <sz val="11"/>
        <color theme="1"/>
        <rFont val="Calibri"/>
        <family val="2"/>
        <scheme val="minor"/>
      </rPr>
      <t>Transportation</t>
    </r>
    <r>
      <rPr>
        <sz val="11"/>
        <color theme="1"/>
        <rFont val="Calibri"/>
        <family val="2"/>
        <scheme val="minor"/>
      </rPr>
      <t xml:space="preserve"> - Transportation
</t>
    </r>
    <r>
      <rPr>
        <b/>
        <sz val="11"/>
        <color theme="1"/>
        <rFont val="Calibri"/>
        <family val="2"/>
        <scheme val="minor"/>
      </rPr>
      <t>SchoolRecords</t>
    </r>
    <r>
      <rPr>
        <sz val="11"/>
        <color theme="1"/>
        <rFont val="Calibri"/>
        <family val="2"/>
        <scheme val="minor"/>
      </rPr>
      <t xml:space="preserve"> - School records
</t>
    </r>
    <r>
      <rPr>
        <b/>
        <sz val="11"/>
        <color theme="1"/>
        <rFont val="Calibri"/>
        <family val="2"/>
        <scheme val="minor"/>
      </rPr>
      <t>Immunizations</t>
    </r>
    <r>
      <rPr>
        <sz val="11"/>
        <color theme="1"/>
        <rFont val="Calibri"/>
        <family val="2"/>
        <scheme val="minor"/>
      </rPr>
      <t xml:space="preserve"> - Immunizations
</t>
    </r>
    <r>
      <rPr>
        <b/>
        <sz val="11"/>
        <color theme="1"/>
        <rFont val="Calibri"/>
        <family val="2"/>
        <scheme val="minor"/>
      </rPr>
      <t>OtherMedicalRecords</t>
    </r>
    <r>
      <rPr>
        <sz val="11"/>
        <color theme="1"/>
        <rFont val="Calibri"/>
        <family val="2"/>
        <scheme val="minor"/>
      </rPr>
      <t xml:space="preserve"> - Other medical records
</t>
    </r>
    <r>
      <rPr>
        <b/>
        <sz val="11"/>
        <color theme="1"/>
        <rFont val="Calibri"/>
        <family val="2"/>
        <scheme val="minor"/>
      </rPr>
      <t>OtherBarriers</t>
    </r>
    <r>
      <rPr>
        <sz val="11"/>
        <color theme="1"/>
        <rFont val="Calibri"/>
        <family val="2"/>
        <scheme val="minor"/>
      </rPr>
      <t xml:space="preserve"> - Other barriers
</t>
    </r>
  </si>
  <si>
    <r>
      <t>Rotation</t>
    </r>
    <r>
      <rPr>
        <sz val="11"/>
        <color theme="1"/>
        <rFont val="Calibri"/>
        <family val="2"/>
        <scheme val="minor"/>
      </rPr>
      <t xml:space="preserve"> - Rotation model
</t>
    </r>
    <r>
      <rPr>
        <b/>
        <sz val="11"/>
        <color theme="1"/>
        <rFont val="Calibri"/>
        <family val="2"/>
        <scheme val="minor"/>
      </rPr>
      <t>FlexModel</t>
    </r>
    <r>
      <rPr>
        <sz val="11"/>
        <color theme="1"/>
        <rFont val="Calibri"/>
        <family val="2"/>
        <scheme val="minor"/>
      </rPr>
      <t xml:space="preserve"> - Flex model
</t>
    </r>
    <r>
      <rPr>
        <b/>
        <sz val="11"/>
        <color theme="1"/>
        <rFont val="Calibri"/>
        <family val="2"/>
        <scheme val="minor"/>
      </rPr>
      <t>ALaCarte</t>
    </r>
    <r>
      <rPr>
        <sz val="11"/>
        <color theme="1"/>
        <rFont val="Calibri"/>
        <family val="2"/>
        <scheme val="minor"/>
      </rPr>
      <t xml:space="preserve"> - A La Carte model
</t>
    </r>
    <r>
      <rPr>
        <b/>
        <sz val="11"/>
        <color theme="1"/>
        <rFont val="Calibri"/>
        <family val="2"/>
        <scheme val="minor"/>
      </rPr>
      <t>EnrichedVirtual</t>
    </r>
    <r>
      <rPr>
        <sz val="11"/>
        <color theme="1"/>
        <rFont val="Calibri"/>
        <family val="2"/>
        <scheme val="minor"/>
      </rPr>
      <t xml:space="preserve"> - Enriched Virtual model
</t>
    </r>
  </si>
  <si>
    <r>
      <t>13700</t>
    </r>
    <r>
      <rPr>
        <sz val="11"/>
        <color theme="1"/>
        <rFont val="Calibri"/>
        <family val="2"/>
        <scheme val="minor"/>
      </rPr>
      <t xml:space="preserve"> - Administrative building
</t>
    </r>
    <r>
      <rPr>
        <b/>
        <sz val="11"/>
        <color theme="1"/>
        <rFont val="Calibri"/>
        <family val="2"/>
        <scheme val="minor"/>
      </rPr>
      <t>13699</t>
    </r>
    <r>
      <rPr>
        <sz val="11"/>
        <color theme="1"/>
        <rFont val="Calibri"/>
        <family val="2"/>
        <scheme val="minor"/>
      </rPr>
      <t xml:space="preserve"> - Alternative school
</t>
    </r>
    <r>
      <rPr>
        <b/>
        <sz val="11"/>
        <color theme="1"/>
        <rFont val="Calibri"/>
        <family val="2"/>
        <scheme val="minor"/>
      </rPr>
      <t>02621</t>
    </r>
    <r>
      <rPr>
        <sz val="11"/>
        <color theme="1"/>
        <rFont val="Calibri"/>
        <family val="2"/>
        <scheme val="minor"/>
      </rPr>
      <t xml:space="preserve"> - Assembly building
</t>
    </r>
    <r>
      <rPr>
        <b/>
        <sz val="11"/>
        <color theme="1"/>
        <rFont val="Calibri"/>
        <family val="2"/>
        <scheme val="minor"/>
      </rPr>
      <t>02614</t>
    </r>
    <r>
      <rPr>
        <sz val="11"/>
        <color theme="1"/>
        <rFont val="Calibri"/>
        <family val="2"/>
        <scheme val="minor"/>
      </rPr>
      <t xml:space="preserve"> - Central kitchen building
</t>
    </r>
    <r>
      <rPr>
        <b/>
        <sz val="11"/>
        <color theme="1"/>
        <rFont val="Calibri"/>
        <family val="2"/>
        <scheme val="minor"/>
      </rPr>
      <t>02803</t>
    </r>
    <r>
      <rPr>
        <sz val="11"/>
        <color theme="1"/>
        <rFont val="Calibri"/>
        <family val="2"/>
        <scheme val="minor"/>
      </rPr>
      <t xml:space="preserve"> - Chapel building
</t>
    </r>
    <r>
      <rPr>
        <b/>
        <sz val="11"/>
        <color theme="1"/>
        <rFont val="Calibri"/>
        <family val="2"/>
        <scheme val="minor"/>
      </rPr>
      <t>02619</t>
    </r>
    <r>
      <rPr>
        <sz val="11"/>
        <color theme="1"/>
        <rFont val="Calibri"/>
        <family val="2"/>
        <scheme val="minor"/>
      </rPr>
      <t xml:space="preserve"> - Dormitory building
</t>
    </r>
    <r>
      <rPr>
        <b/>
        <sz val="11"/>
        <color theme="1"/>
        <rFont val="Calibri"/>
        <family val="2"/>
        <scheme val="minor"/>
      </rPr>
      <t>02616</t>
    </r>
    <r>
      <rPr>
        <sz val="11"/>
        <color theme="1"/>
        <rFont val="Calibri"/>
        <family val="2"/>
        <scheme val="minor"/>
      </rPr>
      <t xml:space="preserve"> - Field house building
</t>
    </r>
    <r>
      <rPr>
        <b/>
        <sz val="11"/>
        <color theme="1"/>
        <rFont val="Calibri"/>
        <family val="2"/>
        <scheme val="minor"/>
      </rPr>
      <t>02613</t>
    </r>
    <r>
      <rPr>
        <sz val="11"/>
        <color theme="1"/>
        <rFont val="Calibri"/>
        <family val="2"/>
        <scheme val="minor"/>
      </rPr>
      <t xml:space="preserve"> - Garage building
</t>
    </r>
    <r>
      <rPr>
        <b/>
        <sz val="11"/>
        <color theme="1"/>
        <rFont val="Calibri"/>
        <family val="2"/>
        <scheme val="minor"/>
      </rPr>
      <t>13698</t>
    </r>
    <r>
      <rPr>
        <sz val="11"/>
        <color theme="1"/>
        <rFont val="Calibri"/>
        <family val="2"/>
        <scheme val="minor"/>
      </rPr>
      <t xml:space="preserve"> - Grade level school
</t>
    </r>
    <r>
      <rPr>
        <b/>
        <sz val="11"/>
        <color theme="1"/>
        <rFont val="Calibri"/>
        <family val="2"/>
        <scheme val="minor"/>
      </rPr>
      <t>02620</t>
    </r>
    <r>
      <rPr>
        <sz val="11"/>
        <color theme="1"/>
        <rFont val="Calibri"/>
        <family val="2"/>
        <scheme val="minor"/>
      </rPr>
      <t xml:space="preserve"> - Gymnasium building
</t>
    </r>
    <r>
      <rPr>
        <b/>
        <sz val="11"/>
        <color theme="1"/>
        <rFont val="Calibri"/>
        <family val="2"/>
        <scheme val="minor"/>
      </rPr>
      <t>02806</t>
    </r>
    <r>
      <rPr>
        <sz val="11"/>
        <color theme="1"/>
        <rFont val="Calibri"/>
        <family val="2"/>
        <scheme val="minor"/>
      </rPr>
      <t xml:space="preserve"> - Holding school
</t>
    </r>
    <r>
      <rPr>
        <b/>
        <sz val="11"/>
        <color theme="1"/>
        <rFont val="Calibri"/>
        <family val="2"/>
        <scheme val="minor"/>
      </rPr>
      <t>02804</t>
    </r>
    <r>
      <rPr>
        <sz val="11"/>
        <color theme="1"/>
        <rFont val="Calibri"/>
        <family val="2"/>
        <scheme val="minor"/>
      </rPr>
      <t xml:space="preserve"> - Investment
</t>
    </r>
    <r>
      <rPr>
        <b/>
        <sz val="11"/>
        <color theme="1"/>
        <rFont val="Calibri"/>
        <family val="2"/>
        <scheme val="minor"/>
      </rPr>
      <t>02617</t>
    </r>
    <r>
      <rPr>
        <sz val="11"/>
        <color theme="1"/>
        <rFont val="Calibri"/>
        <family val="2"/>
        <scheme val="minor"/>
      </rPr>
      <t xml:space="preserve"> - Media production center building
</t>
    </r>
    <r>
      <rPr>
        <b/>
        <sz val="11"/>
        <color theme="1"/>
        <rFont val="Calibri"/>
        <family val="2"/>
        <scheme val="minor"/>
      </rPr>
      <t>02618</t>
    </r>
    <r>
      <rPr>
        <sz val="11"/>
        <color theme="1"/>
        <rFont val="Calibri"/>
        <family val="2"/>
        <scheme val="minor"/>
      </rPr>
      <t xml:space="preserve"> - Natatorium
</t>
    </r>
    <r>
      <rPr>
        <b/>
        <sz val="11"/>
        <color theme="1"/>
        <rFont val="Calibri"/>
        <family val="2"/>
        <scheme val="minor"/>
      </rPr>
      <t>02805</t>
    </r>
    <r>
      <rPr>
        <sz val="11"/>
        <color theme="1"/>
        <rFont val="Calibri"/>
        <family val="2"/>
        <scheme val="minor"/>
      </rPr>
      <t xml:space="preserve"> - Not in use
</t>
    </r>
    <r>
      <rPr>
        <b/>
        <sz val="11"/>
        <color theme="1"/>
        <rFont val="Calibri"/>
        <family val="2"/>
        <scheme val="minor"/>
      </rPr>
      <t>02611</t>
    </r>
    <r>
      <rPr>
        <sz val="11"/>
        <color theme="1"/>
        <rFont val="Calibri"/>
        <family val="2"/>
        <scheme val="minor"/>
      </rPr>
      <t xml:space="preserve"> - Office building
</t>
    </r>
    <r>
      <rPr>
        <b/>
        <sz val="11"/>
        <color theme="1"/>
        <rFont val="Calibri"/>
        <family val="2"/>
        <scheme val="minor"/>
      </rPr>
      <t>02802</t>
    </r>
    <r>
      <rPr>
        <sz val="11"/>
        <color theme="1"/>
        <rFont val="Calibri"/>
        <family val="2"/>
        <scheme val="minor"/>
      </rPr>
      <t xml:space="preserve"> - Operations building
</t>
    </r>
    <r>
      <rPr>
        <b/>
        <sz val="11"/>
        <color theme="1"/>
        <rFont val="Calibri"/>
        <family val="2"/>
        <scheme val="minor"/>
      </rPr>
      <t>03106</t>
    </r>
    <r>
      <rPr>
        <sz val="11"/>
        <color theme="1"/>
        <rFont val="Calibri"/>
        <family val="2"/>
        <scheme val="minor"/>
      </rPr>
      <t xml:space="preserve"> - School building
</t>
    </r>
    <r>
      <rPr>
        <b/>
        <sz val="11"/>
        <color theme="1"/>
        <rFont val="Calibri"/>
        <family val="2"/>
        <scheme val="minor"/>
      </rPr>
      <t>02610</t>
    </r>
    <r>
      <rPr>
        <sz val="11"/>
        <color theme="1"/>
        <rFont val="Calibri"/>
        <family val="2"/>
        <scheme val="minor"/>
      </rPr>
      <t xml:space="preserve"> - Service center building
</t>
    </r>
    <r>
      <rPr>
        <b/>
        <sz val="11"/>
        <color theme="1"/>
        <rFont val="Calibri"/>
        <family val="2"/>
        <scheme val="minor"/>
      </rPr>
      <t>02615</t>
    </r>
    <r>
      <rPr>
        <sz val="11"/>
        <color theme="1"/>
        <rFont val="Calibri"/>
        <family val="2"/>
        <scheme val="minor"/>
      </rPr>
      <t xml:space="preserve"> - Stadium building
</t>
    </r>
    <r>
      <rPr>
        <b/>
        <sz val="11"/>
        <color theme="1"/>
        <rFont val="Calibri"/>
        <family val="2"/>
        <scheme val="minor"/>
      </rPr>
      <t>02612</t>
    </r>
    <r>
      <rPr>
        <sz val="11"/>
        <color theme="1"/>
        <rFont val="Calibri"/>
        <family val="2"/>
        <scheme val="minor"/>
      </rPr>
      <t xml:space="preserve"> - Warehouse building
</t>
    </r>
    <r>
      <rPr>
        <b/>
        <sz val="11"/>
        <color theme="1"/>
        <rFont val="Calibri"/>
        <family val="2"/>
        <scheme val="minor"/>
      </rPr>
      <t>09999</t>
    </r>
    <r>
      <rPr>
        <sz val="11"/>
        <color theme="1"/>
        <rFont val="Calibri"/>
        <family val="2"/>
        <scheme val="minor"/>
      </rPr>
      <t xml:space="preserve"> - Other
</t>
    </r>
  </si>
  <si>
    <r>
      <t>EmergencyDay</t>
    </r>
    <r>
      <rPr>
        <sz val="11"/>
        <color theme="1"/>
        <rFont val="Calibri"/>
        <family val="2"/>
        <scheme val="minor"/>
      </rPr>
      <t xml:space="preserve"> - Emergency day
</t>
    </r>
    <r>
      <rPr>
        <b/>
        <sz val="11"/>
        <color theme="1"/>
        <rFont val="Calibri"/>
        <family val="2"/>
        <scheme val="minor"/>
      </rPr>
      <t>Holiday</t>
    </r>
    <r>
      <rPr>
        <sz val="11"/>
        <color theme="1"/>
        <rFont val="Calibri"/>
        <family val="2"/>
        <scheme val="minor"/>
      </rPr>
      <t xml:space="preserve"> - Holiday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Strike</t>
    </r>
    <r>
      <rPr>
        <sz val="11"/>
        <color theme="1"/>
        <rFont val="Calibri"/>
        <family val="2"/>
        <scheme val="minor"/>
      </rPr>
      <t xml:space="preserve"> - Strike
</t>
    </r>
    <r>
      <rPr>
        <b/>
        <sz val="11"/>
        <color theme="1"/>
        <rFont val="Calibri"/>
        <family val="2"/>
        <scheme val="minor"/>
      </rPr>
      <t>LateArrivalEarlyDismissal</t>
    </r>
    <r>
      <rPr>
        <sz val="11"/>
        <color theme="1"/>
        <rFont val="Calibri"/>
        <family val="2"/>
        <scheme val="minor"/>
      </rPr>
      <t xml:space="preserve"> - Student late arrival/early dismissal
</t>
    </r>
    <r>
      <rPr>
        <b/>
        <sz val="11"/>
        <color theme="1"/>
        <rFont val="Calibri"/>
        <family val="2"/>
        <scheme val="minor"/>
      </rPr>
      <t>TeacherOnlyDay</t>
    </r>
    <r>
      <rPr>
        <sz val="11"/>
        <color theme="1"/>
        <rFont val="Calibri"/>
        <family val="2"/>
        <scheme val="minor"/>
      </rPr>
      <t xml:space="preserve"> - Teacher only day
</t>
    </r>
  </si>
  <si>
    <r>
      <t>OnCampus</t>
    </r>
    <r>
      <rPr>
        <sz val="11"/>
        <color theme="1"/>
        <rFont val="Calibri"/>
        <family val="2"/>
        <scheme val="minor"/>
      </rPr>
      <t xml:space="preserve"> - On campus
</t>
    </r>
    <r>
      <rPr>
        <b/>
        <sz val="11"/>
        <color theme="1"/>
        <rFont val="Calibri"/>
        <family val="2"/>
        <scheme val="minor"/>
      </rPr>
      <t>OffCampusWFamily</t>
    </r>
    <r>
      <rPr>
        <sz val="11"/>
        <color theme="1"/>
        <rFont val="Calibri"/>
        <family val="2"/>
        <scheme val="minor"/>
      </rPr>
      <t xml:space="preserve"> - Off campus, with family
</t>
    </r>
    <r>
      <rPr>
        <b/>
        <sz val="11"/>
        <color theme="1"/>
        <rFont val="Calibri"/>
        <family val="2"/>
        <scheme val="minor"/>
      </rPr>
      <t>OffCampusWOFamily</t>
    </r>
    <r>
      <rPr>
        <sz val="11"/>
        <color theme="1"/>
        <rFont val="Calibri"/>
        <family val="2"/>
        <scheme val="minor"/>
      </rPr>
      <t xml:space="preserve"> - Off campus, without family
</t>
    </r>
    <r>
      <rPr>
        <b/>
        <sz val="11"/>
        <color theme="1"/>
        <rFont val="Calibri"/>
        <family val="2"/>
        <scheme val="minor"/>
      </rPr>
      <t>Unknown</t>
    </r>
    <r>
      <rPr>
        <sz val="11"/>
        <color theme="1"/>
        <rFont val="Calibri"/>
        <family val="2"/>
        <scheme val="minor"/>
      </rPr>
      <t xml:space="preserve"> - Unknown
</t>
    </r>
  </si>
  <si>
    <r>
      <t>IncludedAsGraduated</t>
    </r>
    <r>
      <rPr>
        <sz val="11"/>
        <color theme="1"/>
        <rFont val="Calibri"/>
        <family val="2"/>
        <scheme val="minor"/>
      </rPr>
      <t xml:space="preserve"> - Included in computation as graduated 
</t>
    </r>
    <r>
      <rPr>
        <b/>
        <sz val="11"/>
        <color theme="1"/>
        <rFont val="Calibri"/>
        <family val="2"/>
        <scheme val="minor"/>
      </rPr>
      <t>NotIncludedAsGraduated</t>
    </r>
    <r>
      <rPr>
        <sz val="11"/>
        <color theme="1"/>
        <rFont val="Calibri"/>
        <family val="2"/>
        <scheme val="minor"/>
      </rPr>
      <t xml:space="preserve"> - Included in computation as not graduated.
</t>
    </r>
  </si>
  <si>
    <r>
      <t>01</t>
    </r>
    <r>
      <rPr>
        <sz val="11"/>
        <color theme="1"/>
        <rFont val="Calibri"/>
        <family val="2"/>
        <scheme val="minor"/>
      </rPr>
      <t xml:space="preserve"> - Agriculture, Food &amp; Natural Resources
</t>
    </r>
    <r>
      <rPr>
        <b/>
        <sz val="11"/>
        <color theme="1"/>
        <rFont val="Calibri"/>
        <family val="2"/>
        <scheme val="minor"/>
      </rPr>
      <t>02</t>
    </r>
    <r>
      <rPr>
        <sz val="11"/>
        <color theme="1"/>
        <rFont val="Calibri"/>
        <family val="2"/>
        <scheme val="minor"/>
      </rPr>
      <t xml:space="preserve"> - Architecture &amp; Construction
</t>
    </r>
    <r>
      <rPr>
        <b/>
        <sz val="11"/>
        <color theme="1"/>
        <rFont val="Calibri"/>
        <family val="2"/>
        <scheme val="minor"/>
      </rPr>
      <t>03</t>
    </r>
    <r>
      <rPr>
        <sz val="11"/>
        <color theme="1"/>
        <rFont val="Calibri"/>
        <family val="2"/>
        <scheme val="minor"/>
      </rPr>
      <t xml:space="preserve"> - Arts, A/V Technology &amp; Communications
</t>
    </r>
    <r>
      <rPr>
        <b/>
        <sz val="11"/>
        <color theme="1"/>
        <rFont val="Calibri"/>
        <family val="2"/>
        <scheme val="minor"/>
      </rPr>
      <t>04</t>
    </r>
    <r>
      <rPr>
        <sz val="11"/>
        <color theme="1"/>
        <rFont val="Calibri"/>
        <family val="2"/>
        <scheme val="minor"/>
      </rPr>
      <t xml:space="preserve"> - Business Management &amp; Administration
</t>
    </r>
    <r>
      <rPr>
        <b/>
        <sz val="11"/>
        <color theme="1"/>
        <rFont val="Calibri"/>
        <family val="2"/>
        <scheme val="minor"/>
      </rPr>
      <t>05</t>
    </r>
    <r>
      <rPr>
        <sz val="11"/>
        <color theme="1"/>
        <rFont val="Calibri"/>
        <family val="2"/>
        <scheme val="minor"/>
      </rPr>
      <t xml:space="preserve"> - Education &amp; Training
</t>
    </r>
    <r>
      <rPr>
        <b/>
        <sz val="11"/>
        <color theme="1"/>
        <rFont val="Calibri"/>
        <family val="2"/>
        <scheme val="minor"/>
      </rPr>
      <t>06</t>
    </r>
    <r>
      <rPr>
        <sz val="11"/>
        <color theme="1"/>
        <rFont val="Calibri"/>
        <family val="2"/>
        <scheme val="minor"/>
      </rPr>
      <t xml:space="preserve"> - Finance
</t>
    </r>
    <r>
      <rPr>
        <b/>
        <sz val="11"/>
        <color theme="1"/>
        <rFont val="Calibri"/>
        <family val="2"/>
        <scheme val="minor"/>
      </rPr>
      <t>07</t>
    </r>
    <r>
      <rPr>
        <sz val="11"/>
        <color theme="1"/>
        <rFont val="Calibri"/>
        <family val="2"/>
        <scheme val="minor"/>
      </rPr>
      <t xml:space="preserve"> - Government &amp; Public Administration
</t>
    </r>
    <r>
      <rPr>
        <b/>
        <sz val="11"/>
        <color theme="1"/>
        <rFont val="Calibri"/>
        <family val="2"/>
        <scheme val="minor"/>
      </rPr>
      <t>08</t>
    </r>
    <r>
      <rPr>
        <sz val="11"/>
        <color theme="1"/>
        <rFont val="Calibri"/>
        <family val="2"/>
        <scheme val="minor"/>
      </rPr>
      <t xml:space="preserve"> - Health Science
</t>
    </r>
    <r>
      <rPr>
        <b/>
        <sz val="11"/>
        <color theme="1"/>
        <rFont val="Calibri"/>
        <family val="2"/>
        <scheme val="minor"/>
      </rPr>
      <t>09</t>
    </r>
    <r>
      <rPr>
        <sz val="11"/>
        <color theme="1"/>
        <rFont val="Calibri"/>
        <family val="2"/>
        <scheme val="minor"/>
      </rPr>
      <t xml:space="preserve"> - Hospitality &amp; Tourism
</t>
    </r>
    <r>
      <rPr>
        <b/>
        <sz val="11"/>
        <color theme="1"/>
        <rFont val="Calibri"/>
        <family val="2"/>
        <scheme val="minor"/>
      </rPr>
      <t>10</t>
    </r>
    <r>
      <rPr>
        <sz val="11"/>
        <color theme="1"/>
        <rFont val="Calibri"/>
        <family val="2"/>
        <scheme val="minor"/>
      </rPr>
      <t xml:space="preserve"> - Human Services
</t>
    </r>
    <r>
      <rPr>
        <b/>
        <sz val="11"/>
        <color theme="1"/>
        <rFont val="Calibri"/>
        <family val="2"/>
        <scheme val="minor"/>
      </rPr>
      <t>11</t>
    </r>
    <r>
      <rPr>
        <sz val="11"/>
        <color theme="1"/>
        <rFont val="Calibri"/>
        <family val="2"/>
        <scheme val="minor"/>
      </rPr>
      <t xml:space="preserve"> - Information Technology
</t>
    </r>
    <r>
      <rPr>
        <b/>
        <sz val="11"/>
        <color theme="1"/>
        <rFont val="Calibri"/>
        <family val="2"/>
        <scheme val="minor"/>
      </rPr>
      <t>12</t>
    </r>
    <r>
      <rPr>
        <sz val="11"/>
        <color theme="1"/>
        <rFont val="Calibri"/>
        <family val="2"/>
        <scheme val="minor"/>
      </rPr>
      <t xml:space="preserve"> - Law, Public Safety, Corrections &amp; Security
</t>
    </r>
    <r>
      <rPr>
        <b/>
        <sz val="11"/>
        <color theme="1"/>
        <rFont val="Calibri"/>
        <family val="2"/>
        <scheme val="minor"/>
      </rPr>
      <t>13</t>
    </r>
    <r>
      <rPr>
        <sz val="11"/>
        <color theme="1"/>
        <rFont val="Calibri"/>
        <family val="2"/>
        <scheme val="minor"/>
      </rPr>
      <t xml:space="preserve"> - Manufacturing
</t>
    </r>
    <r>
      <rPr>
        <b/>
        <sz val="11"/>
        <color theme="1"/>
        <rFont val="Calibri"/>
        <family val="2"/>
        <scheme val="minor"/>
      </rPr>
      <t>14</t>
    </r>
    <r>
      <rPr>
        <sz val="11"/>
        <color theme="1"/>
        <rFont val="Calibri"/>
        <family val="2"/>
        <scheme val="minor"/>
      </rPr>
      <t xml:space="preserve"> - Marketing
</t>
    </r>
    <r>
      <rPr>
        <b/>
        <sz val="11"/>
        <color theme="1"/>
        <rFont val="Calibri"/>
        <family val="2"/>
        <scheme val="minor"/>
      </rPr>
      <t>15</t>
    </r>
    <r>
      <rPr>
        <sz val="11"/>
        <color theme="1"/>
        <rFont val="Calibri"/>
        <family val="2"/>
        <scheme val="minor"/>
      </rPr>
      <t xml:space="preserve"> - Science, Technology, Engineering &amp; Mathematics
</t>
    </r>
    <r>
      <rPr>
        <b/>
        <sz val="11"/>
        <color theme="1"/>
        <rFont val="Calibri"/>
        <family val="2"/>
        <scheme val="minor"/>
      </rPr>
      <t>16</t>
    </r>
    <r>
      <rPr>
        <sz val="11"/>
        <color theme="1"/>
        <rFont val="Calibri"/>
        <family val="2"/>
        <scheme val="minor"/>
      </rPr>
      <t xml:space="preserve"> - Transportation, Distribution &amp; Logistics
</t>
    </r>
  </si>
  <si>
    <r>
      <t>Education</t>
    </r>
    <r>
      <rPr>
        <sz val="11"/>
        <color theme="1"/>
        <rFont val="Calibri"/>
        <family val="2"/>
        <scheme val="minor"/>
      </rPr>
      <t xml:space="preserve"> - Education plan
</t>
    </r>
    <r>
      <rPr>
        <b/>
        <sz val="11"/>
        <color theme="1"/>
        <rFont val="Calibri"/>
        <family val="2"/>
        <scheme val="minor"/>
      </rPr>
      <t>Career</t>
    </r>
    <r>
      <rPr>
        <sz val="11"/>
        <color theme="1"/>
        <rFont val="Calibri"/>
        <family val="2"/>
        <scheme val="minor"/>
      </rPr>
      <t xml:space="preserve"> - Career plan
</t>
    </r>
    <r>
      <rPr>
        <b/>
        <sz val="11"/>
        <color theme="1"/>
        <rFont val="Calibri"/>
        <family val="2"/>
        <scheme val="minor"/>
      </rPr>
      <t>Both</t>
    </r>
    <r>
      <rPr>
        <sz val="11"/>
        <color theme="1"/>
        <rFont val="Calibri"/>
        <family val="2"/>
        <scheme val="minor"/>
      </rPr>
      <t xml:space="preserve"> - Both education and career plan
</t>
    </r>
    <r>
      <rPr>
        <b/>
        <sz val="11"/>
        <color theme="1"/>
        <rFont val="Calibri"/>
        <family val="2"/>
        <scheme val="minor"/>
      </rPr>
      <t>Other</t>
    </r>
    <r>
      <rPr>
        <sz val="11"/>
        <color theme="1"/>
        <rFont val="Calibri"/>
        <family val="2"/>
        <scheme val="minor"/>
      </rPr>
      <t xml:space="preserve"> - Other
</t>
    </r>
  </si>
  <si>
    <r>
      <t>Underrepresented</t>
    </r>
    <r>
      <rPr>
        <sz val="11"/>
        <color theme="1"/>
        <rFont val="Calibri"/>
        <family val="2"/>
        <scheme val="minor"/>
      </rPr>
      <t xml:space="preserve"> - Members of an underrepresented gender group
</t>
    </r>
    <r>
      <rPr>
        <b/>
        <sz val="11"/>
        <color theme="1"/>
        <rFont val="Calibri"/>
        <family val="2"/>
        <scheme val="minor"/>
      </rPr>
      <t>NotUnderrepresented</t>
    </r>
    <r>
      <rPr>
        <sz val="11"/>
        <color theme="1"/>
        <rFont val="Calibri"/>
        <family val="2"/>
        <scheme val="minor"/>
      </rPr>
      <t xml:space="preserve"> - Not members of an underrepresented gender group
</t>
    </r>
  </si>
  <si>
    <r>
      <t>Assoc/Pub-R-S</t>
    </r>
    <r>
      <rPr>
        <sz val="11"/>
        <color theme="1"/>
        <rFont val="Calibri"/>
        <family val="2"/>
        <scheme val="minor"/>
      </rPr>
      <t xml:space="preserve"> - Associate's--Public Rural-serving Small
</t>
    </r>
    <r>
      <rPr>
        <b/>
        <sz val="11"/>
        <color theme="1"/>
        <rFont val="Calibri"/>
        <family val="2"/>
        <scheme val="minor"/>
      </rPr>
      <t>Assoc/Pub-R-M</t>
    </r>
    <r>
      <rPr>
        <sz val="11"/>
        <color theme="1"/>
        <rFont val="Calibri"/>
        <family val="2"/>
        <scheme val="minor"/>
      </rPr>
      <t xml:space="preserve"> - Associate's--Public Rural-serving Medium
</t>
    </r>
    <r>
      <rPr>
        <b/>
        <sz val="11"/>
        <color theme="1"/>
        <rFont val="Calibri"/>
        <family val="2"/>
        <scheme val="minor"/>
      </rPr>
      <t>Assoc/Pub-R-L</t>
    </r>
    <r>
      <rPr>
        <sz val="11"/>
        <color theme="1"/>
        <rFont val="Calibri"/>
        <family val="2"/>
        <scheme val="minor"/>
      </rPr>
      <t xml:space="preserve"> - Associate's--Public Rural-serving Large
</t>
    </r>
    <r>
      <rPr>
        <b/>
        <sz val="11"/>
        <color theme="1"/>
        <rFont val="Calibri"/>
        <family val="2"/>
        <scheme val="minor"/>
      </rPr>
      <t>Assoc/Pub-S-SC</t>
    </r>
    <r>
      <rPr>
        <sz val="11"/>
        <color theme="1"/>
        <rFont val="Calibri"/>
        <family val="2"/>
        <scheme val="minor"/>
      </rPr>
      <t xml:space="preserve"> - Associate's--Public Suburban-serving Single Campus
</t>
    </r>
    <r>
      <rPr>
        <b/>
        <sz val="11"/>
        <color theme="1"/>
        <rFont val="Calibri"/>
        <family val="2"/>
        <scheme val="minor"/>
      </rPr>
      <t>Assoc/Pub-S-MC</t>
    </r>
    <r>
      <rPr>
        <sz val="11"/>
        <color theme="1"/>
        <rFont val="Calibri"/>
        <family val="2"/>
        <scheme val="minor"/>
      </rPr>
      <t xml:space="preserve"> - Associate's--Public Suburban-serving Multicampus
</t>
    </r>
    <r>
      <rPr>
        <b/>
        <sz val="11"/>
        <color theme="1"/>
        <rFont val="Calibri"/>
        <family val="2"/>
        <scheme val="minor"/>
      </rPr>
      <t>Assoc/Pub-U-SC</t>
    </r>
    <r>
      <rPr>
        <sz val="11"/>
        <color theme="1"/>
        <rFont val="Calibri"/>
        <family val="2"/>
        <scheme val="minor"/>
      </rPr>
      <t xml:space="preserve"> - Associate's--Public Urban-serving Single Campus
</t>
    </r>
    <r>
      <rPr>
        <b/>
        <sz val="11"/>
        <color theme="1"/>
        <rFont val="Calibri"/>
        <family val="2"/>
        <scheme val="minor"/>
      </rPr>
      <t>Assoc/Pub-U-MC</t>
    </r>
    <r>
      <rPr>
        <sz val="11"/>
        <color theme="1"/>
        <rFont val="Calibri"/>
        <family val="2"/>
        <scheme val="minor"/>
      </rPr>
      <t xml:space="preserve"> - Associate's--Public Urban-serving Multicampus
</t>
    </r>
    <r>
      <rPr>
        <b/>
        <sz val="11"/>
        <color theme="1"/>
        <rFont val="Calibri"/>
        <family val="2"/>
        <scheme val="minor"/>
      </rPr>
      <t>Assoc/Pub-Spec</t>
    </r>
    <r>
      <rPr>
        <sz val="11"/>
        <color theme="1"/>
        <rFont val="Calibri"/>
        <family val="2"/>
        <scheme val="minor"/>
      </rPr>
      <t xml:space="preserve"> - Associate's--Public Special Use
</t>
    </r>
    <r>
      <rPr>
        <b/>
        <sz val="11"/>
        <color theme="1"/>
        <rFont val="Calibri"/>
        <family val="2"/>
        <scheme val="minor"/>
      </rPr>
      <t>Assoc/PrivNFP</t>
    </r>
    <r>
      <rPr>
        <sz val="11"/>
        <color theme="1"/>
        <rFont val="Calibri"/>
        <family val="2"/>
        <scheme val="minor"/>
      </rPr>
      <t xml:space="preserve"> - Associate's--Private Not-for-profit
</t>
    </r>
    <r>
      <rPr>
        <b/>
        <sz val="11"/>
        <color theme="1"/>
        <rFont val="Calibri"/>
        <family val="2"/>
        <scheme val="minor"/>
      </rPr>
      <t>Assoc/PrivFP</t>
    </r>
    <r>
      <rPr>
        <sz val="11"/>
        <color theme="1"/>
        <rFont val="Calibri"/>
        <family val="2"/>
        <scheme val="minor"/>
      </rPr>
      <t xml:space="preserve"> - Associate's--Private For-profit
</t>
    </r>
    <r>
      <rPr>
        <b/>
        <sz val="11"/>
        <color theme="1"/>
        <rFont val="Calibri"/>
        <family val="2"/>
        <scheme val="minor"/>
      </rPr>
      <t>Assoc/Pub2in4</t>
    </r>
    <r>
      <rPr>
        <sz val="11"/>
        <color theme="1"/>
        <rFont val="Calibri"/>
        <family val="2"/>
        <scheme val="minor"/>
      </rPr>
      <t xml:space="preserve"> - Associate's--Public 2-year Colleges under 4-year Universities
</t>
    </r>
    <r>
      <rPr>
        <b/>
        <sz val="11"/>
        <color theme="1"/>
        <rFont val="Calibri"/>
        <family val="2"/>
        <scheme val="minor"/>
      </rPr>
      <t>Assoc/Pub4</t>
    </r>
    <r>
      <rPr>
        <sz val="11"/>
        <color theme="1"/>
        <rFont val="Calibri"/>
        <family val="2"/>
        <scheme val="minor"/>
      </rPr>
      <t xml:space="preserve"> - Associate's--Public 4-year Primarily Associate's
</t>
    </r>
    <r>
      <rPr>
        <b/>
        <sz val="11"/>
        <color theme="1"/>
        <rFont val="Calibri"/>
        <family val="2"/>
        <scheme val="minor"/>
      </rPr>
      <t>Assoc/PrivNFP4</t>
    </r>
    <r>
      <rPr>
        <sz val="11"/>
        <color theme="1"/>
        <rFont val="Calibri"/>
        <family val="2"/>
        <scheme val="minor"/>
      </rPr>
      <t xml:space="preserve"> - Associate's--Private Not-for-profit 4-year Primarily Associate's
</t>
    </r>
    <r>
      <rPr>
        <b/>
        <sz val="11"/>
        <color theme="1"/>
        <rFont val="Calibri"/>
        <family val="2"/>
        <scheme val="minor"/>
      </rPr>
      <t>Assoc/PrivFP4</t>
    </r>
    <r>
      <rPr>
        <sz val="11"/>
        <color theme="1"/>
        <rFont val="Calibri"/>
        <family val="2"/>
        <scheme val="minor"/>
      </rPr>
      <t xml:space="preserve"> - Associate's--Private For-profit 4-year Primarily Associate's
</t>
    </r>
    <r>
      <rPr>
        <b/>
        <sz val="11"/>
        <color theme="1"/>
        <rFont val="Calibri"/>
        <family val="2"/>
        <scheme val="minor"/>
      </rPr>
      <t>RU/VH</t>
    </r>
    <r>
      <rPr>
        <sz val="11"/>
        <color theme="1"/>
        <rFont val="Calibri"/>
        <family val="2"/>
        <scheme val="minor"/>
      </rPr>
      <t xml:space="preserve"> - Research Universities (very high research activity)
</t>
    </r>
    <r>
      <rPr>
        <b/>
        <sz val="11"/>
        <color theme="1"/>
        <rFont val="Calibri"/>
        <family val="2"/>
        <scheme val="minor"/>
      </rPr>
      <t>RU/H</t>
    </r>
    <r>
      <rPr>
        <sz val="11"/>
        <color theme="1"/>
        <rFont val="Calibri"/>
        <family val="2"/>
        <scheme val="minor"/>
      </rPr>
      <t xml:space="preserve"> - Research Universities (high research activity)
</t>
    </r>
    <r>
      <rPr>
        <b/>
        <sz val="11"/>
        <color theme="1"/>
        <rFont val="Calibri"/>
        <family val="2"/>
        <scheme val="minor"/>
      </rPr>
      <t>DRU</t>
    </r>
    <r>
      <rPr>
        <sz val="11"/>
        <color theme="1"/>
        <rFont val="Calibri"/>
        <family val="2"/>
        <scheme val="minor"/>
      </rPr>
      <t xml:space="preserve"> - Doctoral/Research Universities
</t>
    </r>
    <r>
      <rPr>
        <b/>
        <sz val="11"/>
        <color theme="1"/>
        <rFont val="Calibri"/>
        <family val="2"/>
        <scheme val="minor"/>
      </rPr>
      <t>Masters/L</t>
    </r>
    <r>
      <rPr>
        <sz val="11"/>
        <color theme="1"/>
        <rFont val="Calibri"/>
        <family val="2"/>
        <scheme val="minor"/>
      </rPr>
      <t xml:space="preserve"> - Master's Colleges and Universities (larger programs)
</t>
    </r>
    <r>
      <rPr>
        <b/>
        <sz val="11"/>
        <color theme="1"/>
        <rFont val="Calibri"/>
        <family val="2"/>
        <scheme val="minor"/>
      </rPr>
      <t>Masters/M</t>
    </r>
    <r>
      <rPr>
        <sz val="11"/>
        <color theme="1"/>
        <rFont val="Calibri"/>
        <family val="2"/>
        <scheme val="minor"/>
      </rPr>
      <t xml:space="preserve"> - Master's Colleges and Universities (medium programs)
</t>
    </r>
    <r>
      <rPr>
        <b/>
        <sz val="11"/>
        <color theme="1"/>
        <rFont val="Calibri"/>
        <family val="2"/>
        <scheme val="minor"/>
      </rPr>
      <t>Masters/S</t>
    </r>
    <r>
      <rPr>
        <sz val="11"/>
        <color theme="1"/>
        <rFont val="Calibri"/>
        <family val="2"/>
        <scheme val="minor"/>
      </rPr>
      <t xml:space="preserve"> - Master's Colleges and Universities (smaller programs)
</t>
    </r>
    <r>
      <rPr>
        <b/>
        <sz val="11"/>
        <color theme="1"/>
        <rFont val="Calibri"/>
        <family val="2"/>
        <scheme val="minor"/>
      </rPr>
      <t>Bac/A&amp;S</t>
    </r>
    <r>
      <rPr>
        <sz val="11"/>
        <color theme="1"/>
        <rFont val="Calibri"/>
        <family val="2"/>
        <scheme val="minor"/>
      </rPr>
      <t xml:space="preserve"> - Baccalaureate Colleges--Arts &amp; Sciences
</t>
    </r>
    <r>
      <rPr>
        <b/>
        <sz val="11"/>
        <color theme="1"/>
        <rFont val="Calibri"/>
        <family val="2"/>
        <scheme val="minor"/>
      </rPr>
      <t>Bac/Diverse</t>
    </r>
    <r>
      <rPr>
        <sz val="11"/>
        <color theme="1"/>
        <rFont val="Calibri"/>
        <family val="2"/>
        <scheme val="minor"/>
      </rPr>
      <t xml:space="preserve"> - Baccalaureate Colleges--Diverse Fields
</t>
    </r>
    <r>
      <rPr>
        <b/>
        <sz val="11"/>
        <color theme="1"/>
        <rFont val="Calibri"/>
        <family val="2"/>
        <scheme val="minor"/>
      </rPr>
      <t>Bac/Assoc</t>
    </r>
    <r>
      <rPr>
        <sz val="11"/>
        <color theme="1"/>
        <rFont val="Calibri"/>
        <family val="2"/>
        <scheme val="minor"/>
      </rPr>
      <t xml:space="preserve"> - Baccalaureate/Associate's Colleges
</t>
    </r>
    <r>
      <rPr>
        <b/>
        <sz val="11"/>
        <color theme="1"/>
        <rFont val="Calibri"/>
        <family val="2"/>
        <scheme val="minor"/>
      </rPr>
      <t>Spec/Faith</t>
    </r>
    <r>
      <rPr>
        <sz val="11"/>
        <color theme="1"/>
        <rFont val="Calibri"/>
        <family val="2"/>
        <scheme val="minor"/>
      </rPr>
      <t xml:space="preserve"> - Special Focus Institutions--Theological seminaries, Bible colleges, other faith-related institutions
</t>
    </r>
    <r>
      <rPr>
        <b/>
        <sz val="11"/>
        <color theme="1"/>
        <rFont val="Calibri"/>
        <family val="2"/>
        <scheme val="minor"/>
      </rPr>
      <t>Spec/Med</t>
    </r>
    <r>
      <rPr>
        <sz val="11"/>
        <color theme="1"/>
        <rFont val="Calibri"/>
        <family val="2"/>
        <scheme val="minor"/>
      </rPr>
      <t xml:space="preserve"> - Special Focus Institutions--Medical schools and medical centers
</t>
    </r>
    <r>
      <rPr>
        <b/>
        <sz val="11"/>
        <color theme="1"/>
        <rFont val="Calibri"/>
        <family val="2"/>
        <scheme val="minor"/>
      </rPr>
      <t>Spec/Health</t>
    </r>
    <r>
      <rPr>
        <sz val="11"/>
        <color theme="1"/>
        <rFont val="Calibri"/>
        <family val="2"/>
        <scheme val="minor"/>
      </rPr>
      <t xml:space="preserve"> - Special Focus Institutions--Other health professions schools
</t>
    </r>
    <r>
      <rPr>
        <b/>
        <sz val="11"/>
        <color theme="1"/>
        <rFont val="Calibri"/>
        <family val="2"/>
        <scheme val="minor"/>
      </rPr>
      <t>Spec/Engg</t>
    </r>
    <r>
      <rPr>
        <sz val="11"/>
        <color theme="1"/>
        <rFont val="Calibri"/>
        <family val="2"/>
        <scheme val="minor"/>
      </rPr>
      <t xml:space="preserve"> - Special Focus Institutions--Schools of engineering
</t>
    </r>
    <r>
      <rPr>
        <b/>
        <sz val="11"/>
        <color theme="1"/>
        <rFont val="Calibri"/>
        <family val="2"/>
        <scheme val="minor"/>
      </rPr>
      <t>Spec/Tech</t>
    </r>
    <r>
      <rPr>
        <sz val="11"/>
        <color theme="1"/>
        <rFont val="Calibri"/>
        <family val="2"/>
        <scheme val="minor"/>
      </rPr>
      <t xml:space="preserve"> - Special Focus Institutions--Other technology-related schools
</t>
    </r>
    <r>
      <rPr>
        <b/>
        <sz val="11"/>
        <color theme="1"/>
        <rFont val="Calibri"/>
        <family val="2"/>
        <scheme val="minor"/>
      </rPr>
      <t>Spec/Bus</t>
    </r>
    <r>
      <rPr>
        <sz val="11"/>
        <color theme="1"/>
        <rFont val="Calibri"/>
        <family val="2"/>
        <scheme val="minor"/>
      </rPr>
      <t xml:space="preserve"> - Special Focus Institutions--Schools of business and management
</t>
    </r>
    <r>
      <rPr>
        <b/>
        <sz val="11"/>
        <color theme="1"/>
        <rFont val="Calibri"/>
        <family val="2"/>
        <scheme val="minor"/>
      </rPr>
      <t>Spec/Arts</t>
    </r>
    <r>
      <rPr>
        <sz val="11"/>
        <color theme="1"/>
        <rFont val="Calibri"/>
        <family val="2"/>
        <scheme val="minor"/>
      </rPr>
      <t xml:space="preserve"> - Special Focus Institutions--Schools of art, music, and design
</t>
    </r>
    <r>
      <rPr>
        <b/>
        <sz val="11"/>
        <color theme="1"/>
        <rFont val="Calibri"/>
        <family val="2"/>
        <scheme val="minor"/>
      </rPr>
      <t>Spec/Law</t>
    </r>
    <r>
      <rPr>
        <sz val="11"/>
        <color theme="1"/>
        <rFont val="Calibri"/>
        <family val="2"/>
        <scheme val="minor"/>
      </rPr>
      <t xml:space="preserve"> - Special Focus Institutions--Schools of law
</t>
    </r>
    <r>
      <rPr>
        <b/>
        <sz val="11"/>
        <color theme="1"/>
        <rFont val="Calibri"/>
        <family val="2"/>
        <scheme val="minor"/>
      </rPr>
      <t>Spec/Other</t>
    </r>
    <r>
      <rPr>
        <sz val="11"/>
        <color theme="1"/>
        <rFont val="Calibri"/>
        <family val="2"/>
        <scheme val="minor"/>
      </rPr>
      <t xml:space="preserve"> - Special Focus Institutions-Other special-focus institutions
</t>
    </r>
    <r>
      <rPr>
        <b/>
        <sz val="11"/>
        <color theme="1"/>
        <rFont val="Calibri"/>
        <family val="2"/>
        <scheme val="minor"/>
      </rPr>
      <t>Tribal</t>
    </r>
    <r>
      <rPr>
        <sz val="11"/>
        <color theme="1"/>
        <rFont val="Calibri"/>
        <family val="2"/>
        <scheme val="minor"/>
      </rPr>
      <t xml:space="preserve"> - Tribal Colleges
</t>
    </r>
  </si>
  <si>
    <r>
      <t>State</t>
    </r>
    <r>
      <rPr>
        <sz val="11"/>
        <color theme="1"/>
        <rFont val="Calibri"/>
        <family val="2"/>
        <scheme val="minor"/>
      </rPr>
      <t xml:space="preserve"> - State board of education
</t>
    </r>
    <r>
      <rPr>
        <b/>
        <sz val="11"/>
        <color theme="1"/>
        <rFont val="Calibri"/>
        <family val="2"/>
        <scheme val="minor"/>
      </rPr>
      <t>PublicCharterBoard</t>
    </r>
    <r>
      <rPr>
        <sz val="11"/>
        <color theme="1"/>
        <rFont val="Calibri"/>
        <family val="2"/>
        <scheme val="minor"/>
      </rPr>
      <t xml:space="preserve"> - Public charter school board
</t>
    </r>
    <r>
      <rPr>
        <b/>
        <sz val="11"/>
        <color theme="1"/>
        <rFont val="Calibri"/>
        <family val="2"/>
        <scheme val="minor"/>
      </rPr>
      <t>University</t>
    </r>
    <r>
      <rPr>
        <sz val="11"/>
        <color theme="1"/>
        <rFont val="Calibri"/>
        <family val="2"/>
        <scheme val="minor"/>
      </rPr>
      <t xml:space="preserve"> - University
</t>
    </r>
    <r>
      <rPr>
        <b/>
        <sz val="11"/>
        <color theme="1"/>
        <rFont val="Calibri"/>
        <family val="2"/>
        <scheme val="minor"/>
      </rPr>
      <t>Other</t>
    </r>
    <r>
      <rPr>
        <sz val="11"/>
        <color theme="1"/>
        <rFont val="Calibri"/>
        <family val="2"/>
        <scheme val="minor"/>
      </rPr>
      <t xml:space="preserve"> - Other
</t>
    </r>
  </si>
  <si>
    <r>
      <t>School</t>
    </r>
    <r>
      <rPr>
        <sz val="11"/>
        <color theme="1"/>
        <rFont val="Calibri"/>
        <family val="2"/>
        <scheme val="minor"/>
      </rPr>
      <t xml:space="preserve"> - School Charter
</t>
    </r>
    <r>
      <rPr>
        <b/>
        <sz val="11"/>
        <color theme="1"/>
        <rFont val="Calibri"/>
        <family val="2"/>
        <scheme val="minor"/>
      </rPr>
      <t>CollegeUniversity</t>
    </r>
    <r>
      <rPr>
        <sz val="11"/>
        <color theme="1"/>
        <rFont val="Calibri"/>
        <family val="2"/>
        <scheme val="minor"/>
      </rPr>
      <t xml:space="preserve"> - College/University Charter
</t>
    </r>
    <r>
      <rPr>
        <b/>
        <sz val="11"/>
        <color theme="1"/>
        <rFont val="Calibri"/>
        <family val="2"/>
        <scheme val="minor"/>
      </rPr>
      <t>OpenEnrollment</t>
    </r>
    <r>
      <rPr>
        <sz val="11"/>
        <color theme="1"/>
        <rFont val="Calibri"/>
        <family val="2"/>
        <scheme val="minor"/>
      </rPr>
      <t xml:space="preserve"> - Open Enrollment
</t>
    </r>
    <r>
      <rPr>
        <b/>
        <sz val="11"/>
        <color theme="1"/>
        <rFont val="Calibri"/>
        <family val="2"/>
        <scheme val="minor"/>
      </rPr>
      <t>NA</t>
    </r>
    <r>
      <rPr>
        <sz val="11"/>
        <color theme="1"/>
        <rFont val="Calibri"/>
        <family val="2"/>
        <scheme val="minor"/>
      </rPr>
      <t xml:space="preserve"> - Not a Charter School
</t>
    </r>
  </si>
  <si>
    <r>
      <t>01</t>
    </r>
    <r>
      <rPr>
        <sz val="11"/>
        <color theme="1"/>
        <rFont val="Calibri"/>
        <family val="2"/>
        <scheme val="minor"/>
      </rPr>
      <t xml:space="preserve"> - Infant/toddler
</t>
    </r>
    <r>
      <rPr>
        <b/>
        <sz val="11"/>
        <color theme="1"/>
        <rFont val="Calibri"/>
        <family val="2"/>
        <scheme val="minor"/>
      </rPr>
      <t>02</t>
    </r>
    <r>
      <rPr>
        <sz val="11"/>
        <color theme="1"/>
        <rFont val="Calibri"/>
        <family val="2"/>
        <scheme val="minor"/>
      </rPr>
      <t xml:space="preserve"> - Preschool
</t>
    </r>
    <r>
      <rPr>
        <b/>
        <sz val="11"/>
        <color theme="1"/>
        <rFont val="Calibri"/>
        <family val="2"/>
        <scheme val="minor"/>
      </rPr>
      <t>03</t>
    </r>
    <r>
      <rPr>
        <sz val="11"/>
        <color theme="1"/>
        <rFont val="Calibri"/>
        <family val="2"/>
        <scheme val="minor"/>
      </rPr>
      <t xml:space="preserve"> - Family child care home
</t>
    </r>
    <r>
      <rPr>
        <b/>
        <sz val="11"/>
        <color theme="1"/>
        <rFont val="Calibri"/>
        <family val="2"/>
        <scheme val="minor"/>
      </rPr>
      <t>04</t>
    </r>
    <r>
      <rPr>
        <sz val="11"/>
        <color theme="1"/>
        <rFont val="Calibri"/>
        <family val="2"/>
        <scheme val="minor"/>
      </rPr>
      <t xml:space="preserve"> - Home visitor
</t>
    </r>
    <r>
      <rPr>
        <b/>
        <sz val="11"/>
        <color theme="1"/>
        <rFont val="Calibri"/>
        <family val="2"/>
        <scheme val="minor"/>
      </rPr>
      <t>05</t>
    </r>
    <r>
      <rPr>
        <sz val="11"/>
        <color theme="1"/>
        <rFont val="Calibri"/>
        <family val="2"/>
        <scheme val="minor"/>
      </rPr>
      <t xml:space="preserve"> - Unknown
</t>
    </r>
    <r>
      <rPr>
        <b/>
        <sz val="11"/>
        <color theme="1"/>
        <rFont val="Calibri"/>
        <family val="2"/>
        <scheme val="minor"/>
      </rPr>
      <t>06</t>
    </r>
    <r>
      <rPr>
        <sz val="11"/>
        <color theme="1"/>
        <rFont val="Calibri"/>
        <family val="2"/>
        <scheme val="minor"/>
      </rPr>
      <t xml:space="preserve"> - Other
</t>
    </r>
    <r>
      <rPr>
        <b/>
        <sz val="11"/>
        <color theme="1"/>
        <rFont val="Calibri"/>
        <family val="2"/>
        <scheme val="minor"/>
      </rPr>
      <t>99</t>
    </r>
    <r>
      <rPr>
        <sz val="11"/>
        <color theme="1"/>
        <rFont val="Calibri"/>
        <family val="2"/>
        <scheme val="minor"/>
      </rPr>
      <t xml:space="preserve"> - No current CDA indicated
</t>
    </r>
  </si>
  <si>
    <r>
      <t>CanadianSIN</t>
    </r>
    <r>
      <rPr>
        <sz val="11"/>
        <color theme="1"/>
        <rFont val="Calibri"/>
        <family val="2"/>
        <scheme val="minor"/>
      </rPr>
      <t xml:space="preserve"> - Canadian Social Insurance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Family</t>
    </r>
    <r>
      <rPr>
        <sz val="11"/>
        <color theme="1"/>
        <rFont val="Calibri"/>
        <family val="2"/>
        <scheme val="minor"/>
      </rPr>
      <t xml:space="preserve"> - Family unit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NationalMigrant</t>
    </r>
    <r>
      <rPr>
        <sz val="11"/>
        <color theme="1"/>
        <rFont val="Calibri"/>
        <family val="2"/>
        <scheme val="minor"/>
      </rPr>
      <t xml:space="preserve"> - National migrant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SSN</t>
    </r>
    <r>
      <rPr>
        <sz val="11"/>
        <color theme="1"/>
        <rFont val="Calibri"/>
        <family val="2"/>
        <scheme val="minor"/>
      </rPr>
      <t xml:space="preserve"> - Social Security Administration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StateMigrant</t>
    </r>
    <r>
      <rPr>
        <sz val="11"/>
        <color theme="1"/>
        <rFont val="Calibri"/>
        <family val="2"/>
        <scheme val="minor"/>
      </rPr>
      <t xml:space="preserve"> - State migrant number
</t>
    </r>
    <r>
      <rPr>
        <b/>
        <sz val="11"/>
        <color theme="1"/>
        <rFont val="Calibri"/>
        <family val="2"/>
        <scheme val="minor"/>
      </rPr>
      <t>Program</t>
    </r>
    <r>
      <rPr>
        <sz val="11"/>
        <color theme="1"/>
        <rFont val="Calibri"/>
        <family val="2"/>
        <scheme val="minor"/>
      </rPr>
      <t xml:space="preserve"> - Program-assigned number
</t>
    </r>
  </si>
  <si>
    <r>
      <t>01</t>
    </r>
    <r>
      <rPr>
        <sz val="11"/>
        <color theme="1"/>
        <rFont val="Calibri"/>
        <family val="2"/>
        <scheme val="minor"/>
      </rPr>
      <t xml:space="preserve"> - Does not show functioning expected at age - does not include immediate foundational skills
</t>
    </r>
    <r>
      <rPr>
        <b/>
        <sz val="11"/>
        <color theme="1"/>
        <rFont val="Calibri"/>
        <family val="2"/>
        <scheme val="minor"/>
      </rPr>
      <t>02</t>
    </r>
    <r>
      <rPr>
        <sz val="11"/>
        <color theme="1"/>
        <rFont val="Calibri"/>
        <family val="2"/>
        <scheme val="minor"/>
      </rPr>
      <t xml:space="preserve"> - Occasionally uses immediate foundational skills across settings and situations
</t>
    </r>
    <r>
      <rPr>
        <b/>
        <sz val="11"/>
        <color theme="1"/>
        <rFont val="Calibri"/>
        <family val="2"/>
        <scheme val="minor"/>
      </rPr>
      <t>03</t>
    </r>
    <r>
      <rPr>
        <sz val="11"/>
        <color theme="1"/>
        <rFont val="Calibri"/>
        <family val="2"/>
        <scheme val="minor"/>
      </rPr>
      <t xml:space="preserve"> - Does not show functioning expected at age - uses immediate foundational skills
</t>
    </r>
    <r>
      <rPr>
        <b/>
        <sz val="11"/>
        <color theme="1"/>
        <rFont val="Calibri"/>
        <family val="2"/>
        <scheme val="minor"/>
      </rPr>
      <t>04</t>
    </r>
    <r>
      <rPr>
        <sz val="11"/>
        <color theme="1"/>
        <rFont val="Calibri"/>
        <family val="2"/>
        <scheme val="minor"/>
      </rPr>
      <t xml:space="preserve"> - Shows occasional age-appropriate functioning across settings and situations
</t>
    </r>
    <r>
      <rPr>
        <b/>
        <sz val="11"/>
        <color theme="1"/>
        <rFont val="Calibri"/>
        <family val="2"/>
        <scheme val="minor"/>
      </rPr>
      <t>05</t>
    </r>
    <r>
      <rPr>
        <sz val="11"/>
        <color theme="1"/>
        <rFont val="Calibri"/>
        <family val="2"/>
        <scheme val="minor"/>
      </rPr>
      <t xml:space="preserve"> - Shows functioning expected at age some of the time and/or in some settings and situations
</t>
    </r>
    <r>
      <rPr>
        <b/>
        <sz val="11"/>
        <color theme="1"/>
        <rFont val="Calibri"/>
        <family val="2"/>
        <scheme val="minor"/>
      </rPr>
      <t>06</t>
    </r>
    <r>
      <rPr>
        <sz val="11"/>
        <color theme="1"/>
        <rFont val="Calibri"/>
        <family val="2"/>
        <scheme val="minor"/>
      </rPr>
      <t xml:space="preserve"> - Functioning generally is considered appropriate for age but there are some significant concerns
</t>
    </r>
    <r>
      <rPr>
        <b/>
        <sz val="11"/>
        <color theme="1"/>
        <rFont val="Calibri"/>
        <family val="2"/>
        <scheme val="minor"/>
      </rPr>
      <t>07</t>
    </r>
    <r>
      <rPr>
        <sz val="11"/>
        <color theme="1"/>
        <rFont val="Calibri"/>
        <family val="2"/>
        <scheme val="minor"/>
      </rPr>
      <t xml:space="preserve"> - Shows functioning expected for age in all or almost all everyday situations
</t>
    </r>
  </si>
  <si>
    <r>
      <t>PrimaryEnrollment</t>
    </r>
    <r>
      <rPr>
        <sz val="11"/>
        <color theme="1"/>
        <rFont val="Calibri"/>
        <family val="2"/>
        <scheme val="minor"/>
      </rPr>
      <t xml:space="preserve"> - Primary enrollment
</t>
    </r>
    <r>
      <rPr>
        <b/>
        <sz val="11"/>
        <color theme="1"/>
        <rFont val="Calibri"/>
        <family val="2"/>
        <scheme val="minor"/>
      </rPr>
      <t>AdditionalEnrollment</t>
    </r>
    <r>
      <rPr>
        <sz val="11"/>
        <color theme="1"/>
        <rFont val="Calibri"/>
        <family val="2"/>
        <scheme val="minor"/>
      </rPr>
      <t xml:space="preserve"> - Additional enrollment
</t>
    </r>
    <r>
      <rPr>
        <b/>
        <sz val="11"/>
        <color theme="1"/>
        <rFont val="Calibri"/>
        <family val="2"/>
        <scheme val="minor"/>
      </rPr>
      <t>PrimaryCompletion</t>
    </r>
    <r>
      <rPr>
        <sz val="11"/>
        <color theme="1"/>
        <rFont val="Calibri"/>
        <family val="2"/>
        <scheme val="minor"/>
      </rPr>
      <t xml:space="preserve"> - Primary completion
</t>
    </r>
    <r>
      <rPr>
        <b/>
        <sz val="11"/>
        <color theme="1"/>
        <rFont val="Calibri"/>
        <family val="2"/>
        <scheme val="minor"/>
      </rPr>
      <t>AdditionalCompletion</t>
    </r>
    <r>
      <rPr>
        <sz val="11"/>
        <color theme="1"/>
        <rFont val="Calibri"/>
        <family val="2"/>
        <scheme val="minor"/>
      </rPr>
      <t xml:space="preserve"> - Additional completion
</t>
    </r>
  </si>
  <si>
    <r>
      <t>CIP1980</t>
    </r>
    <r>
      <rPr>
        <sz val="11"/>
        <color theme="1"/>
        <rFont val="Calibri"/>
        <family val="2"/>
        <scheme val="minor"/>
      </rPr>
      <t xml:space="preserve"> - CIP 1980
</t>
    </r>
    <r>
      <rPr>
        <b/>
        <sz val="11"/>
        <color theme="1"/>
        <rFont val="Calibri"/>
        <family val="2"/>
        <scheme val="minor"/>
      </rPr>
      <t>CIP1985</t>
    </r>
    <r>
      <rPr>
        <sz val="11"/>
        <color theme="1"/>
        <rFont val="Calibri"/>
        <family val="2"/>
        <scheme val="minor"/>
      </rPr>
      <t xml:space="preserve"> - CIP 1985
</t>
    </r>
    <r>
      <rPr>
        <b/>
        <sz val="11"/>
        <color theme="1"/>
        <rFont val="Calibri"/>
        <family val="2"/>
        <scheme val="minor"/>
      </rPr>
      <t>CIP1990</t>
    </r>
    <r>
      <rPr>
        <sz val="11"/>
        <color theme="1"/>
        <rFont val="Calibri"/>
        <family val="2"/>
        <scheme val="minor"/>
      </rPr>
      <t xml:space="preserve"> - CIP 1990
</t>
    </r>
    <r>
      <rPr>
        <b/>
        <sz val="11"/>
        <color theme="1"/>
        <rFont val="Calibri"/>
        <family val="2"/>
        <scheme val="minor"/>
      </rPr>
      <t>CIP2000</t>
    </r>
    <r>
      <rPr>
        <sz val="11"/>
        <color theme="1"/>
        <rFont val="Calibri"/>
        <family val="2"/>
        <scheme val="minor"/>
      </rPr>
      <t xml:space="preserve"> - CIP 2000
</t>
    </r>
    <r>
      <rPr>
        <b/>
        <sz val="11"/>
        <color theme="1"/>
        <rFont val="Calibri"/>
        <family val="2"/>
        <scheme val="minor"/>
      </rPr>
      <t>CIP2010</t>
    </r>
    <r>
      <rPr>
        <sz val="11"/>
        <color theme="1"/>
        <rFont val="Calibri"/>
        <family val="2"/>
        <scheme val="minor"/>
      </rPr>
      <t xml:space="preserve"> - CIP 2010
</t>
    </r>
  </si>
  <si>
    <r>
      <t>03187</t>
    </r>
    <r>
      <rPr>
        <sz val="11"/>
        <color theme="1"/>
        <rFont val="Calibri"/>
        <family val="2"/>
        <scheme val="minor"/>
      </rPr>
      <t xml:space="preserve"> - Administrative staff
</t>
    </r>
    <r>
      <rPr>
        <b/>
        <sz val="11"/>
        <color theme="1"/>
        <rFont val="Calibri"/>
        <family val="2"/>
        <scheme val="minor"/>
      </rPr>
      <t>73071</t>
    </r>
    <r>
      <rPr>
        <sz val="11"/>
        <color theme="1"/>
        <rFont val="Calibri"/>
        <family val="2"/>
        <scheme val="minor"/>
      </rPr>
      <t xml:space="preserve"> - Co-teacher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73073</t>
    </r>
    <r>
      <rPr>
        <sz val="11"/>
        <color theme="1"/>
        <rFont val="Calibri"/>
        <family val="2"/>
        <scheme val="minor"/>
      </rPr>
      <t xml:space="preserve"> - Course Proctor
</t>
    </r>
    <r>
      <rPr>
        <b/>
        <sz val="11"/>
        <color theme="1"/>
        <rFont val="Calibri"/>
        <family val="2"/>
        <scheme val="minor"/>
      </rPr>
      <t>05973</t>
    </r>
    <r>
      <rPr>
        <sz val="11"/>
        <color theme="1"/>
        <rFont val="Calibri"/>
        <family val="2"/>
        <scheme val="minor"/>
      </rPr>
      <t xml:space="preserve"> - Instructor of record
</t>
    </r>
    <r>
      <rPr>
        <b/>
        <sz val="11"/>
        <color theme="1"/>
        <rFont val="Calibri"/>
        <family val="2"/>
        <scheme val="minor"/>
      </rPr>
      <t>01234</t>
    </r>
    <r>
      <rPr>
        <sz val="11"/>
        <color theme="1"/>
        <rFont val="Calibri"/>
        <family val="2"/>
        <scheme val="minor"/>
      </rPr>
      <t xml:space="preserve"> - Intern
</t>
    </r>
    <r>
      <rPr>
        <b/>
        <sz val="11"/>
        <color theme="1"/>
        <rFont val="Calibri"/>
        <family val="2"/>
        <scheme val="minor"/>
      </rPr>
      <t>73072</t>
    </r>
    <r>
      <rPr>
        <sz val="11"/>
        <color theme="1"/>
        <rFont val="Calibri"/>
        <family val="2"/>
        <scheme val="minor"/>
      </rPr>
      <t xml:space="preserve"> - Lead Team Teacher
</t>
    </r>
    <r>
      <rPr>
        <b/>
        <sz val="11"/>
        <color theme="1"/>
        <rFont val="Calibri"/>
        <family val="2"/>
        <scheme val="minor"/>
      </rPr>
      <t>00069</t>
    </r>
    <r>
      <rPr>
        <sz val="11"/>
        <color theme="1"/>
        <rFont val="Calibri"/>
        <family val="2"/>
        <scheme val="minor"/>
      </rPr>
      <t xml:space="preserve"> - Non-instructional staff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00059</t>
    </r>
    <r>
      <rPr>
        <sz val="11"/>
        <color theme="1"/>
        <rFont val="Calibri"/>
        <family val="2"/>
        <scheme val="minor"/>
      </rPr>
      <t xml:space="preserve"> - Paraprofessionals/teacher aides
</t>
    </r>
    <r>
      <rPr>
        <b/>
        <sz val="11"/>
        <color theme="1"/>
        <rFont val="Calibri"/>
        <family val="2"/>
        <scheme val="minor"/>
      </rPr>
      <t>05971</t>
    </r>
    <r>
      <rPr>
        <sz val="11"/>
        <color theme="1"/>
        <rFont val="Calibri"/>
        <family val="2"/>
        <scheme val="minor"/>
      </rPr>
      <t xml:space="preserve"> - Primary instructor
</t>
    </r>
    <r>
      <rPr>
        <b/>
        <sz val="11"/>
        <color theme="1"/>
        <rFont val="Calibri"/>
        <family val="2"/>
        <scheme val="minor"/>
      </rPr>
      <t>04735</t>
    </r>
    <r>
      <rPr>
        <sz val="11"/>
        <color theme="1"/>
        <rFont val="Calibri"/>
        <family val="2"/>
        <scheme val="minor"/>
      </rPr>
      <t xml:space="preserve"> - Resource teacher
</t>
    </r>
    <r>
      <rPr>
        <b/>
        <sz val="11"/>
        <color theme="1"/>
        <rFont val="Calibri"/>
        <family val="2"/>
        <scheme val="minor"/>
      </rPr>
      <t>05972</t>
    </r>
    <r>
      <rPr>
        <sz val="11"/>
        <color theme="1"/>
        <rFont val="Calibri"/>
        <family val="2"/>
        <scheme val="minor"/>
      </rPr>
      <t xml:space="preserve"> - Secondary instructor
</t>
    </r>
    <r>
      <rPr>
        <b/>
        <sz val="11"/>
        <color theme="1"/>
        <rFont val="Calibri"/>
        <family val="2"/>
        <scheme val="minor"/>
      </rPr>
      <t>73074</t>
    </r>
    <r>
      <rPr>
        <sz val="11"/>
        <color theme="1"/>
        <rFont val="Calibri"/>
        <family val="2"/>
        <scheme val="minor"/>
      </rPr>
      <t xml:space="preserve"> - Special Education Consultant
</t>
    </r>
    <r>
      <rPr>
        <b/>
        <sz val="11"/>
        <color theme="1"/>
        <rFont val="Calibri"/>
        <family val="2"/>
        <scheme val="minor"/>
      </rPr>
      <t>00080</t>
    </r>
    <r>
      <rPr>
        <sz val="11"/>
        <color theme="1"/>
        <rFont val="Calibri"/>
        <family val="2"/>
        <scheme val="minor"/>
      </rPr>
      <t xml:space="preserve"> - Student teachers
</t>
    </r>
    <r>
      <rPr>
        <b/>
        <sz val="11"/>
        <color theme="1"/>
        <rFont val="Calibri"/>
        <family val="2"/>
        <scheme val="minor"/>
      </rPr>
      <t>01382</t>
    </r>
    <r>
      <rPr>
        <sz val="11"/>
        <color theme="1"/>
        <rFont val="Calibri"/>
        <family val="2"/>
        <scheme val="minor"/>
      </rPr>
      <t xml:space="preserve"> - Volunteer/no contract
</t>
    </r>
  </si>
  <si>
    <r>
      <t>01</t>
    </r>
    <r>
      <rPr>
        <sz val="11"/>
        <color theme="1"/>
        <rFont val="Calibri"/>
        <family val="2"/>
        <scheme val="minor"/>
      </rPr>
      <t xml:space="preserve"> - Death
</t>
    </r>
    <r>
      <rPr>
        <b/>
        <sz val="11"/>
        <color theme="1"/>
        <rFont val="Calibri"/>
        <family val="2"/>
        <scheme val="minor"/>
      </rPr>
      <t>02</t>
    </r>
    <r>
      <rPr>
        <sz val="11"/>
        <color theme="1"/>
        <rFont val="Calibri"/>
        <family val="2"/>
        <scheme val="minor"/>
      </rPr>
      <t xml:space="preserve"> - Total and permanent disability
</t>
    </r>
    <r>
      <rPr>
        <b/>
        <sz val="11"/>
        <color theme="1"/>
        <rFont val="Calibri"/>
        <family val="2"/>
        <scheme val="minor"/>
      </rPr>
      <t>03</t>
    </r>
    <r>
      <rPr>
        <sz val="11"/>
        <color theme="1"/>
        <rFont val="Calibri"/>
        <family val="2"/>
        <scheme val="minor"/>
      </rPr>
      <t xml:space="preserve"> - Service in the armed forces
</t>
    </r>
    <r>
      <rPr>
        <b/>
        <sz val="11"/>
        <color theme="1"/>
        <rFont val="Calibri"/>
        <family val="2"/>
        <scheme val="minor"/>
      </rPr>
      <t>04</t>
    </r>
    <r>
      <rPr>
        <sz val="11"/>
        <color theme="1"/>
        <rFont val="Calibri"/>
        <family val="2"/>
        <scheme val="minor"/>
      </rPr>
      <t xml:space="preserve"> - Service with a foreign aid service of the federal government
</t>
    </r>
    <r>
      <rPr>
        <b/>
        <sz val="11"/>
        <color theme="1"/>
        <rFont val="Calibri"/>
        <family val="2"/>
        <scheme val="minor"/>
      </rPr>
      <t>05</t>
    </r>
    <r>
      <rPr>
        <sz val="11"/>
        <color theme="1"/>
        <rFont val="Calibri"/>
        <family val="2"/>
        <scheme val="minor"/>
      </rPr>
      <t xml:space="preserve"> - Service on official church missions
</t>
    </r>
  </si>
  <si>
    <r>
      <t>01</t>
    </r>
    <r>
      <rPr>
        <sz val="11"/>
        <color theme="1"/>
        <rFont val="Calibri"/>
        <family val="2"/>
        <scheme val="minor"/>
      </rPr>
      <t xml:space="preserve"> - Providing services for the duration of the term
</t>
    </r>
    <r>
      <rPr>
        <b/>
        <sz val="11"/>
        <color theme="1"/>
        <rFont val="Calibri"/>
        <family val="2"/>
        <scheme val="minor"/>
      </rPr>
      <t>02</t>
    </r>
    <r>
      <rPr>
        <sz val="11"/>
        <color theme="1"/>
        <rFont val="Calibri"/>
        <family val="2"/>
        <scheme val="minor"/>
      </rPr>
      <t xml:space="preserve"> - Providing services for an additional year -comparable services are not available
</t>
    </r>
    <r>
      <rPr>
        <b/>
        <sz val="11"/>
        <color theme="1"/>
        <rFont val="Calibri"/>
        <family val="2"/>
        <scheme val="minor"/>
      </rPr>
      <t>03</t>
    </r>
    <r>
      <rPr>
        <sz val="11"/>
        <color theme="1"/>
        <rFont val="Calibri"/>
        <family val="2"/>
        <scheme val="minor"/>
      </rPr>
      <t xml:space="preserve"> - Serving secondary students through credit accrual programs
</t>
    </r>
  </si>
  <si>
    <r>
      <t>Multi-year</t>
    </r>
    <r>
      <rPr>
        <sz val="11"/>
        <color theme="1"/>
        <rFont val="Calibri"/>
        <family val="2"/>
        <scheme val="minor"/>
      </rPr>
      <t xml:space="preserve"> - Multi-year
</t>
    </r>
    <r>
      <rPr>
        <b/>
        <sz val="11"/>
        <color theme="1"/>
        <rFont val="Calibri"/>
        <family val="2"/>
        <scheme val="minor"/>
      </rPr>
      <t>Annual</t>
    </r>
    <r>
      <rPr>
        <sz val="11"/>
        <color theme="1"/>
        <rFont val="Calibri"/>
        <family val="2"/>
        <scheme val="minor"/>
      </rPr>
      <t xml:space="preserve"> - Annual
</t>
    </r>
    <r>
      <rPr>
        <b/>
        <sz val="11"/>
        <color theme="1"/>
        <rFont val="Calibri"/>
        <family val="2"/>
        <scheme val="minor"/>
      </rPr>
      <t>LessThanAnnual</t>
    </r>
    <r>
      <rPr>
        <sz val="11"/>
        <color theme="1"/>
        <rFont val="Calibri"/>
        <family val="2"/>
        <scheme val="minor"/>
      </rPr>
      <t xml:space="preserve"> - Less than annual
</t>
    </r>
    <r>
      <rPr>
        <b/>
        <sz val="11"/>
        <color theme="1"/>
        <rFont val="Calibri"/>
        <family val="2"/>
        <scheme val="minor"/>
      </rPr>
      <t>NotApplicable</t>
    </r>
    <r>
      <rPr>
        <sz val="11"/>
        <color theme="1"/>
        <rFont val="Calibri"/>
        <family val="2"/>
        <scheme val="minor"/>
      </rPr>
      <t xml:space="preserve"> - Not applicable
</t>
    </r>
  </si>
  <si>
    <r>
      <t>Public</t>
    </r>
    <r>
      <rPr>
        <sz val="11"/>
        <color theme="1"/>
        <rFont val="Calibri"/>
        <family val="2"/>
        <scheme val="minor"/>
      </rPr>
      <t xml:space="preserve"> - Public
</t>
    </r>
    <r>
      <rPr>
        <b/>
        <sz val="11"/>
        <color theme="1"/>
        <rFont val="Calibri"/>
        <family val="2"/>
        <scheme val="minor"/>
      </rPr>
      <t>PrivateNFP</t>
    </r>
    <r>
      <rPr>
        <sz val="11"/>
        <color theme="1"/>
        <rFont val="Calibri"/>
        <family val="2"/>
        <scheme val="minor"/>
      </rPr>
      <t xml:space="preserve"> - Private, not for profit
</t>
    </r>
    <r>
      <rPr>
        <b/>
        <sz val="11"/>
        <color theme="1"/>
        <rFont val="Calibri"/>
        <family val="2"/>
        <scheme val="minor"/>
      </rPr>
      <t>PrivateFP</t>
    </r>
    <r>
      <rPr>
        <sz val="11"/>
        <color theme="1"/>
        <rFont val="Calibri"/>
        <family val="2"/>
        <scheme val="minor"/>
      </rPr>
      <t xml:space="preserve"> - Private, for profit
</t>
    </r>
  </si>
  <si>
    <r>
      <t>Prison</t>
    </r>
    <r>
      <rPr>
        <sz val="11"/>
        <color theme="1"/>
        <rFont val="Calibri"/>
        <family val="2"/>
        <scheme val="minor"/>
      </rPr>
      <t xml:space="preserve"> - Prison, Penitentiary or Correctional Institution
</t>
    </r>
    <r>
      <rPr>
        <b/>
        <sz val="11"/>
        <color theme="1"/>
        <rFont val="Calibri"/>
        <family val="2"/>
        <scheme val="minor"/>
      </rPr>
      <t>Jail</t>
    </r>
    <r>
      <rPr>
        <sz val="11"/>
        <color theme="1"/>
        <rFont val="Calibri"/>
        <family val="2"/>
        <scheme val="minor"/>
      </rPr>
      <t xml:space="preserve"> - Jail
</t>
    </r>
    <r>
      <rPr>
        <b/>
        <sz val="11"/>
        <color theme="1"/>
        <rFont val="Calibri"/>
        <family val="2"/>
        <scheme val="minor"/>
      </rPr>
      <t>JuvenileFacility</t>
    </r>
    <r>
      <rPr>
        <sz val="11"/>
        <color theme="1"/>
        <rFont val="Calibri"/>
        <family val="2"/>
        <scheme val="minor"/>
      </rPr>
      <t xml:space="preserve"> - Juvenile Facility
</t>
    </r>
    <r>
      <rPr>
        <b/>
        <sz val="11"/>
        <color theme="1"/>
        <rFont val="Calibri"/>
        <family val="2"/>
        <scheme val="minor"/>
      </rPr>
      <t>CommunityCorrections</t>
    </r>
    <r>
      <rPr>
        <sz val="11"/>
        <color theme="1"/>
        <rFont val="Calibri"/>
        <family val="2"/>
        <scheme val="minor"/>
      </rPr>
      <t xml:space="preserve"> - Community Corrections
</t>
    </r>
    <r>
      <rPr>
        <b/>
        <sz val="11"/>
        <color theme="1"/>
        <rFont val="Calibri"/>
        <family val="2"/>
        <scheme val="minor"/>
      </rPr>
      <t>Other</t>
    </r>
    <r>
      <rPr>
        <sz val="11"/>
        <color theme="1"/>
        <rFont val="Calibri"/>
        <family val="2"/>
        <scheme val="minor"/>
      </rPr>
      <t xml:space="preserve"> - Other Institution
</t>
    </r>
  </si>
  <si>
    <r>
      <t>CA1</t>
    </r>
    <r>
      <rPr>
        <sz val="11"/>
        <color theme="1"/>
        <rFont val="Calibri"/>
        <family val="2"/>
        <scheme val="minor"/>
      </rPr>
      <t xml:space="preserve"> - Required implementation of a new research-based curriculum or instructional program
</t>
    </r>
    <r>
      <rPr>
        <b/>
        <sz val="11"/>
        <color theme="1"/>
        <rFont val="Calibri"/>
        <family val="2"/>
        <scheme val="minor"/>
      </rPr>
      <t>CA2</t>
    </r>
    <r>
      <rPr>
        <sz val="11"/>
        <color theme="1"/>
        <rFont val="Calibri"/>
        <family val="2"/>
        <scheme val="minor"/>
      </rPr>
      <t xml:space="preserve"> - Extension of the school year or school day 
</t>
    </r>
    <r>
      <rPr>
        <b/>
        <sz val="11"/>
        <color theme="1"/>
        <rFont val="Calibri"/>
        <family val="2"/>
        <scheme val="minor"/>
      </rPr>
      <t>CA3</t>
    </r>
    <r>
      <rPr>
        <sz val="11"/>
        <color theme="1"/>
        <rFont val="Calibri"/>
        <family val="2"/>
        <scheme val="minor"/>
      </rPr>
      <t xml:space="preserve"> - Replacement of staff members relevant to the school's low performance
</t>
    </r>
    <r>
      <rPr>
        <b/>
        <sz val="11"/>
        <color theme="1"/>
        <rFont val="Calibri"/>
        <family val="2"/>
        <scheme val="minor"/>
      </rPr>
      <t>CA4</t>
    </r>
    <r>
      <rPr>
        <sz val="11"/>
        <color theme="1"/>
        <rFont val="Calibri"/>
        <family val="2"/>
        <scheme val="minor"/>
      </rPr>
      <t xml:space="preserve"> - Significant decrease in management authority at the school level
</t>
    </r>
    <r>
      <rPr>
        <b/>
        <sz val="11"/>
        <color theme="1"/>
        <rFont val="Calibri"/>
        <family val="2"/>
        <scheme val="minor"/>
      </rPr>
      <t>CA5</t>
    </r>
    <r>
      <rPr>
        <sz val="11"/>
        <color theme="1"/>
        <rFont val="Calibri"/>
        <family val="2"/>
        <scheme val="minor"/>
      </rPr>
      <t xml:space="preserve"> - Replacement of the principal
</t>
    </r>
    <r>
      <rPr>
        <b/>
        <sz val="11"/>
        <color theme="1"/>
        <rFont val="Calibri"/>
        <family val="2"/>
        <scheme val="minor"/>
      </rPr>
      <t>CA6</t>
    </r>
    <r>
      <rPr>
        <sz val="11"/>
        <color theme="1"/>
        <rFont val="Calibri"/>
        <family val="2"/>
        <scheme val="minor"/>
      </rPr>
      <t xml:space="preserve"> - Restructuring of the internal organization of the school
</t>
    </r>
    <r>
      <rPr>
        <b/>
        <sz val="11"/>
        <color theme="1"/>
        <rFont val="Calibri"/>
        <family val="2"/>
        <scheme val="minor"/>
      </rPr>
      <t>CA7</t>
    </r>
    <r>
      <rPr>
        <sz val="11"/>
        <color theme="1"/>
        <rFont val="Calibri"/>
        <family val="2"/>
        <scheme val="minor"/>
      </rPr>
      <t xml:space="preserve"> - Appointment of an outside expert to advise the school
</t>
    </r>
  </si>
  <si>
    <r>
      <t>AF</t>
    </r>
    <r>
      <rPr>
        <sz val="11"/>
        <color theme="1"/>
        <rFont val="Calibri"/>
        <family val="2"/>
        <scheme val="minor"/>
      </rPr>
      <t xml:space="preserve"> - AFGHANISTAN
</t>
    </r>
    <r>
      <rPr>
        <b/>
        <sz val="11"/>
        <color theme="1"/>
        <rFont val="Calibri"/>
        <family val="2"/>
        <scheme val="minor"/>
      </rPr>
      <t>AX</t>
    </r>
    <r>
      <rPr>
        <sz val="11"/>
        <color theme="1"/>
        <rFont val="Calibri"/>
        <family val="2"/>
        <scheme val="minor"/>
      </rPr>
      <t xml:space="preserve"> - ÅLAND ISLANDS
</t>
    </r>
    <r>
      <rPr>
        <b/>
        <sz val="11"/>
        <color theme="1"/>
        <rFont val="Calibri"/>
        <family val="2"/>
        <scheme val="minor"/>
      </rPr>
      <t>AL</t>
    </r>
    <r>
      <rPr>
        <sz val="11"/>
        <color theme="1"/>
        <rFont val="Calibri"/>
        <family val="2"/>
        <scheme val="minor"/>
      </rPr>
      <t xml:space="preserve"> - ALBANIA
</t>
    </r>
    <r>
      <rPr>
        <b/>
        <sz val="11"/>
        <color theme="1"/>
        <rFont val="Calibri"/>
        <family val="2"/>
        <scheme val="minor"/>
      </rPr>
      <t>DZ</t>
    </r>
    <r>
      <rPr>
        <sz val="11"/>
        <color theme="1"/>
        <rFont val="Calibri"/>
        <family val="2"/>
        <scheme val="minor"/>
      </rPr>
      <t xml:space="preserve"> - ALGERIA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AD</t>
    </r>
    <r>
      <rPr>
        <sz val="11"/>
        <color theme="1"/>
        <rFont val="Calibri"/>
        <family val="2"/>
        <scheme val="minor"/>
      </rPr>
      <t xml:space="preserve"> - ANDORRA
</t>
    </r>
    <r>
      <rPr>
        <b/>
        <sz val="11"/>
        <color theme="1"/>
        <rFont val="Calibri"/>
        <family val="2"/>
        <scheme val="minor"/>
      </rPr>
      <t>AO</t>
    </r>
    <r>
      <rPr>
        <sz val="11"/>
        <color theme="1"/>
        <rFont val="Calibri"/>
        <family val="2"/>
        <scheme val="minor"/>
      </rPr>
      <t xml:space="preserve"> - ANGOLA
</t>
    </r>
    <r>
      <rPr>
        <b/>
        <sz val="11"/>
        <color theme="1"/>
        <rFont val="Calibri"/>
        <family val="2"/>
        <scheme val="minor"/>
      </rPr>
      <t>AI</t>
    </r>
    <r>
      <rPr>
        <sz val="11"/>
        <color theme="1"/>
        <rFont val="Calibri"/>
        <family val="2"/>
        <scheme val="minor"/>
      </rPr>
      <t xml:space="preserve"> - ANGUILLA
</t>
    </r>
    <r>
      <rPr>
        <b/>
        <sz val="11"/>
        <color theme="1"/>
        <rFont val="Calibri"/>
        <family val="2"/>
        <scheme val="minor"/>
      </rPr>
      <t>AQ</t>
    </r>
    <r>
      <rPr>
        <sz val="11"/>
        <color theme="1"/>
        <rFont val="Calibri"/>
        <family val="2"/>
        <scheme val="minor"/>
      </rPr>
      <t xml:space="preserve"> - ANTARCTICA
</t>
    </r>
    <r>
      <rPr>
        <b/>
        <sz val="11"/>
        <color theme="1"/>
        <rFont val="Calibri"/>
        <family val="2"/>
        <scheme val="minor"/>
      </rPr>
      <t>AG</t>
    </r>
    <r>
      <rPr>
        <sz val="11"/>
        <color theme="1"/>
        <rFont val="Calibri"/>
        <family val="2"/>
        <scheme val="minor"/>
      </rPr>
      <t xml:space="preserve"> - ANTIGUA AND BARBUDA
</t>
    </r>
    <r>
      <rPr>
        <b/>
        <sz val="11"/>
        <color theme="1"/>
        <rFont val="Calibri"/>
        <family val="2"/>
        <scheme val="minor"/>
      </rPr>
      <t>AR</t>
    </r>
    <r>
      <rPr>
        <sz val="11"/>
        <color theme="1"/>
        <rFont val="Calibri"/>
        <family val="2"/>
        <scheme val="minor"/>
      </rPr>
      <t xml:space="preserve"> - ARGENTINA
</t>
    </r>
    <r>
      <rPr>
        <b/>
        <sz val="11"/>
        <color theme="1"/>
        <rFont val="Calibri"/>
        <family val="2"/>
        <scheme val="minor"/>
      </rPr>
      <t>AM</t>
    </r>
    <r>
      <rPr>
        <sz val="11"/>
        <color theme="1"/>
        <rFont val="Calibri"/>
        <family val="2"/>
        <scheme val="minor"/>
      </rPr>
      <t xml:space="preserve"> - ARMENIA
</t>
    </r>
    <r>
      <rPr>
        <b/>
        <sz val="11"/>
        <color theme="1"/>
        <rFont val="Calibri"/>
        <family val="2"/>
        <scheme val="minor"/>
      </rPr>
      <t>AW</t>
    </r>
    <r>
      <rPr>
        <sz val="11"/>
        <color theme="1"/>
        <rFont val="Calibri"/>
        <family val="2"/>
        <scheme val="minor"/>
      </rPr>
      <t xml:space="preserve"> - ARUBA
</t>
    </r>
    <r>
      <rPr>
        <b/>
        <sz val="11"/>
        <color theme="1"/>
        <rFont val="Calibri"/>
        <family val="2"/>
        <scheme val="minor"/>
      </rPr>
      <t>AU</t>
    </r>
    <r>
      <rPr>
        <sz val="11"/>
        <color theme="1"/>
        <rFont val="Calibri"/>
        <family val="2"/>
        <scheme val="minor"/>
      </rPr>
      <t xml:space="preserve"> - AUSTRALIA
</t>
    </r>
    <r>
      <rPr>
        <b/>
        <sz val="11"/>
        <color theme="1"/>
        <rFont val="Calibri"/>
        <family val="2"/>
        <scheme val="minor"/>
      </rPr>
      <t>AT</t>
    </r>
    <r>
      <rPr>
        <sz val="11"/>
        <color theme="1"/>
        <rFont val="Calibri"/>
        <family val="2"/>
        <scheme val="minor"/>
      </rPr>
      <t xml:space="preserve"> - AUSTRIA
</t>
    </r>
    <r>
      <rPr>
        <b/>
        <sz val="11"/>
        <color theme="1"/>
        <rFont val="Calibri"/>
        <family val="2"/>
        <scheme val="minor"/>
      </rPr>
      <t>AZ</t>
    </r>
    <r>
      <rPr>
        <sz val="11"/>
        <color theme="1"/>
        <rFont val="Calibri"/>
        <family val="2"/>
        <scheme val="minor"/>
      </rPr>
      <t xml:space="preserve"> - AZERBAIJAN
</t>
    </r>
    <r>
      <rPr>
        <b/>
        <sz val="11"/>
        <color theme="1"/>
        <rFont val="Calibri"/>
        <family val="2"/>
        <scheme val="minor"/>
      </rPr>
      <t>BS</t>
    </r>
    <r>
      <rPr>
        <sz val="11"/>
        <color theme="1"/>
        <rFont val="Calibri"/>
        <family val="2"/>
        <scheme val="minor"/>
      </rPr>
      <t xml:space="preserve"> - BAHAMAS
</t>
    </r>
    <r>
      <rPr>
        <b/>
        <sz val="11"/>
        <color theme="1"/>
        <rFont val="Calibri"/>
        <family val="2"/>
        <scheme val="minor"/>
      </rPr>
      <t>BH</t>
    </r>
    <r>
      <rPr>
        <sz val="11"/>
        <color theme="1"/>
        <rFont val="Calibri"/>
        <family val="2"/>
        <scheme val="minor"/>
      </rPr>
      <t xml:space="preserve"> - BAHRAIN
</t>
    </r>
    <r>
      <rPr>
        <b/>
        <sz val="11"/>
        <color theme="1"/>
        <rFont val="Calibri"/>
        <family val="2"/>
        <scheme val="minor"/>
      </rPr>
      <t>BD</t>
    </r>
    <r>
      <rPr>
        <sz val="11"/>
        <color theme="1"/>
        <rFont val="Calibri"/>
        <family val="2"/>
        <scheme val="minor"/>
      </rPr>
      <t xml:space="preserve"> - BANGLADESH
</t>
    </r>
    <r>
      <rPr>
        <b/>
        <sz val="11"/>
        <color theme="1"/>
        <rFont val="Calibri"/>
        <family val="2"/>
        <scheme val="minor"/>
      </rPr>
      <t>BB</t>
    </r>
    <r>
      <rPr>
        <sz val="11"/>
        <color theme="1"/>
        <rFont val="Calibri"/>
        <family val="2"/>
        <scheme val="minor"/>
      </rPr>
      <t xml:space="preserve"> - BARBADOS
</t>
    </r>
    <r>
      <rPr>
        <b/>
        <sz val="11"/>
        <color theme="1"/>
        <rFont val="Calibri"/>
        <family val="2"/>
        <scheme val="minor"/>
      </rPr>
      <t>BY</t>
    </r>
    <r>
      <rPr>
        <sz val="11"/>
        <color theme="1"/>
        <rFont val="Calibri"/>
        <family val="2"/>
        <scheme val="minor"/>
      </rPr>
      <t xml:space="preserve"> - BELARUS
</t>
    </r>
    <r>
      <rPr>
        <b/>
        <sz val="11"/>
        <color theme="1"/>
        <rFont val="Calibri"/>
        <family val="2"/>
        <scheme val="minor"/>
      </rPr>
      <t>BE</t>
    </r>
    <r>
      <rPr>
        <sz val="11"/>
        <color theme="1"/>
        <rFont val="Calibri"/>
        <family val="2"/>
        <scheme val="minor"/>
      </rPr>
      <t xml:space="preserve"> - BELGIUM
</t>
    </r>
    <r>
      <rPr>
        <b/>
        <sz val="11"/>
        <color theme="1"/>
        <rFont val="Calibri"/>
        <family val="2"/>
        <scheme val="minor"/>
      </rPr>
      <t>BZ</t>
    </r>
    <r>
      <rPr>
        <sz val="11"/>
        <color theme="1"/>
        <rFont val="Calibri"/>
        <family val="2"/>
        <scheme val="minor"/>
      </rPr>
      <t xml:space="preserve"> - BELIZE
</t>
    </r>
    <r>
      <rPr>
        <b/>
        <sz val="11"/>
        <color theme="1"/>
        <rFont val="Calibri"/>
        <family val="2"/>
        <scheme val="minor"/>
      </rPr>
      <t>BJ</t>
    </r>
    <r>
      <rPr>
        <sz val="11"/>
        <color theme="1"/>
        <rFont val="Calibri"/>
        <family val="2"/>
        <scheme val="minor"/>
      </rPr>
      <t xml:space="preserve"> - BENIN
</t>
    </r>
    <r>
      <rPr>
        <b/>
        <sz val="11"/>
        <color theme="1"/>
        <rFont val="Calibri"/>
        <family val="2"/>
        <scheme val="minor"/>
      </rPr>
      <t>BM</t>
    </r>
    <r>
      <rPr>
        <sz val="11"/>
        <color theme="1"/>
        <rFont val="Calibri"/>
        <family val="2"/>
        <scheme val="minor"/>
      </rPr>
      <t xml:space="preserve"> - BERMUDA
</t>
    </r>
    <r>
      <rPr>
        <b/>
        <sz val="11"/>
        <color theme="1"/>
        <rFont val="Calibri"/>
        <family val="2"/>
        <scheme val="minor"/>
      </rPr>
      <t>BT</t>
    </r>
    <r>
      <rPr>
        <sz val="11"/>
        <color theme="1"/>
        <rFont val="Calibri"/>
        <family val="2"/>
        <scheme val="minor"/>
      </rPr>
      <t xml:space="preserve"> - BHUTAN
</t>
    </r>
    <r>
      <rPr>
        <b/>
        <sz val="11"/>
        <color theme="1"/>
        <rFont val="Calibri"/>
        <family val="2"/>
        <scheme val="minor"/>
      </rPr>
      <t>BO</t>
    </r>
    <r>
      <rPr>
        <sz val="11"/>
        <color theme="1"/>
        <rFont val="Calibri"/>
        <family val="2"/>
        <scheme val="minor"/>
      </rPr>
      <t xml:space="preserve"> - BOLIVIA, PLURINATIONAL STATE OF
</t>
    </r>
    <r>
      <rPr>
        <b/>
        <sz val="11"/>
        <color theme="1"/>
        <rFont val="Calibri"/>
        <family val="2"/>
        <scheme val="minor"/>
      </rPr>
      <t>BQ</t>
    </r>
    <r>
      <rPr>
        <sz val="11"/>
        <color theme="1"/>
        <rFont val="Calibri"/>
        <family val="2"/>
        <scheme val="minor"/>
      </rPr>
      <t xml:space="preserve"> - BONAIRE, SINT EUSTATIUS AND SABA
</t>
    </r>
    <r>
      <rPr>
        <b/>
        <sz val="11"/>
        <color theme="1"/>
        <rFont val="Calibri"/>
        <family val="2"/>
        <scheme val="minor"/>
      </rPr>
      <t>BA</t>
    </r>
    <r>
      <rPr>
        <sz val="11"/>
        <color theme="1"/>
        <rFont val="Calibri"/>
        <family val="2"/>
        <scheme val="minor"/>
      </rPr>
      <t xml:space="preserve"> - BOSNIA AND HERZEGOVINA
</t>
    </r>
    <r>
      <rPr>
        <b/>
        <sz val="11"/>
        <color theme="1"/>
        <rFont val="Calibri"/>
        <family val="2"/>
        <scheme val="minor"/>
      </rPr>
      <t>BW</t>
    </r>
    <r>
      <rPr>
        <sz val="11"/>
        <color theme="1"/>
        <rFont val="Calibri"/>
        <family val="2"/>
        <scheme val="minor"/>
      </rPr>
      <t xml:space="preserve"> - BOTSWANA
</t>
    </r>
    <r>
      <rPr>
        <b/>
        <sz val="11"/>
        <color theme="1"/>
        <rFont val="Calibri"/>
        <family val="2"/>
        <scheme val="minor"/>
      </rPr>
      <t>BV</t>
    </r>
    <r>
      <rPr>
        <sz val="11"/>
        <color theme="1"/>
        <rFont val="Calibri"/>
        <family val="2"/>
        <scheme val="minor"/>
      </rPr>
      <t xml:space="preserve"> - BOUVET ISLAND
</t>
    </r>
    <r>
      <rPr>
        <b/>
        <sz val="11"/>
        <color theme="1"/>
        <rFont val="Calibri"/>
        <family val="2"/>
        <scheme val="minor"/>
      </rPr>
      <t>BR</t>
    </r>
    <r>
      <rPr>
        <sz val="11"/>
        <color theme="1"/>
        <rFont val="Calibri"/>
        <family val="2"/>
        <scheme val="minor"/>
      </rPr>
      <t xml:space="preserve"> - BRAZIL
</t>
    </r>
    <r>
      <rPr>
        <b/>
        <sz val="11"/>
        <color theme="1"/>
        <rFont val="Calibri"/>
        <family val="2"/>
        <scheme val="minor"/>
      </rPr>
      <t>IO</t>
    </r>
    <r>
      <rPr>
        <sz val="11"/>
        <color theme="1"/>
        <rFont val="Calibri"/>
        <family val="2"/>
        <scheme val="minor"/>
      </rPr>
      <t xml:space="preserve"> - BRITISH INDIAN OCEAN TERRITORY
</t>
    </r>
    <r>
      <rPr>
        <b/>
        <sz val="11"/>
        <color theme="1"/>
        <rFont val="Calibri"/>
        <family val="2"/>
        <scheme val="minor"/>
      </rPr>
      <t>BN</t>
    </r>
    <r>
      <rPr>
        <sz val="11"/>
        <color theme="1"/>
        <rFont val="Calibri"/>
        <family val="2"/>
        <scheme val="minor"/>
      </rPr>
      <t xml:space="preserve"> - BRUNEI DARUSSALAM
</t>
    </r>
    <r>
      <rPr>
        <b/>
        <sz val="11"/>
        <color theme="1"/>
        <rFont val="Calibri"/>
        <family val="2"/>
        <scheme val="minor"/>
      </rPr>
      <t>BG</t>
    </r>
    <r>
      <rPr>
        <sz val="11"/>
        <color theme="1"/>
        <rFont val="Calibri"/>
        <family val="2"/>
        <scheme val="minor"/>
      </rPr>
      <t xml:space="preserve"> - BULGARIA
</t>
    </r>
    <r>
      <rPr>
        <b/>
        <sz val="11"/>
        <color theme="1"/>
        <rFont val="Calibri"/>
        <family val="2"/>
        <scheme val="minor"/>
      </rPr>
      <t>BF</t>
    </r>
    <r>
      <rPr>
        <sz val="11"/>
        <color theme="1"/>
        <rFont val="Calibri"/>
        <family val="2"/>
        <scheme val="minor"/>
      </rPr>
      <t xml:space="preserve"> - BURKINA FASO
</t>
    </r>
    <r>
      <rPr>
        <b/>
        <sz val="11"/>
        <color theme="1"/>
        <rFont val="Calibri"/>
        <family val="2"/>
        <scheme val="minor"/>
      </rPr>
      <t>BI</t>
    </r>
    <r>
      <rPr>
        <sz val="11"/>
        <color theme="1"/>
        <rFont val="Calibri"/>
        <family val="2"/>
        <scheme val="minor"/>
      </rPr>
      <t xml:space="preserve"> - BURUNDI
</t>
    </r>
    <r>
      <rPr>
        <b/>
        <sz val="11"/>
        <color theme="1"/>
        <rFont val="Calibri"/>
        <family val="2"/>
        <scheme val="minor"/>
      </rPr>
      <t>KH</t>
    </r>
    <r>
      <rPr>
        <sz val="11"/>
        <color theme="1"/>
        <rFont val="Calibri"/>
        <family val="2"/>
        <scheme val="minor"/>
      </rPr>
      <t xml:space="preserve"> - CAMBODIA
</t>
    </r>
    <r>
      <rPr>
        <b/>
        <sz val="11"/>
        <color theme="1"/>
        <rFont val="Calibri"/>
        <family val="2"/>
        <scheme val="minor"/>
      </rPr>
      <t>CM</t>
    </r>
    <r>
      <rPr>
        <sz val="11"/>
        <color theme="1"/>
        <rFont val="Calibri"/>
        <family val="2"/>
        <scheme val="minor"/>
      </rPr>
      <t xml:space="preserve"> - CAMEROON
</t>
    </r>
    <r>
      <rPr>
        <b/>
        <sz val="11"/>
        <color theme="1"/>
        <rFont val="Calibri"/>
        <family val="2"/>
        <scheme val="minor"/>
      </rPr>
      <t>CA</t>
    </r>
    <r>
      <rPr>
        <sz val="11"/>
        <color theme="1"/>
        <rFont val="Calibri"/>
        <family val="2"/>
        <scheme val="minor"/>
      </rPr>
      <t xml:space="preserve"> - CANADA
</t>
    </r>
    <r>
      <rPr>
        <b/>
        <sz val="11"/>
        <color theme="1"/>
        <rFont val="Calibri"/>
        <family val="2"/>
        <scheme val="minor"/>
      </rPr>
      <t>CV</t>
    </r>
    <r>
      <rPr>
        <sz val="11"/>
        <color theme="1"/>
        <rFont val="Calibri"/>
        <family val="2"/>
        <scheme val="minor"/>
      </rPr>
      <t xml:space="preserve"> - CAPE VERDE
</t>
    </r>
    <r>
      <rPr>
        <b/>
        <sz val="11"/>
        <color theme="1"/>
        <rFont val="Calibri"/>
        <family val="2"/>
        <scheme val="minor"/>
      </rPr>
      <t>KY</t>
    </r>
    <r>
      <rPr>
        <sz val="11"/>
        <color theme="1"/>
        <rFont val="Calibri"/>
        <family val="2"/>
        <scheme val="minor"/>
      </rPr>
      <t xml:space="preserve"> - CAYMAN ISLANDS
</t>
    </r>
    <r>
      <rPr>
        <b/>
        <sz val="11"/>
        <color theme="1"/>
        <rFont val="Calibri"/>
        <family val="2"/>
        <scheme val="minor"/>
      </rPr>
      <t>CF</t>
    </r>
    <r>
      <rPr>
        <sz val="11"/>
        <color theme="1"/>
        <rFont val="Calibri"/>
        <family val="2"/>
        <scheme val="minor"/>
      </rPr>
      <t xml:space="preserve"> - CENTRAL AFRICAN REPUBLIC
</t>
    </r>
    <r>
      <rPr>
        <b/>
        <sz val="11"/>
        <color theme="1"/>
        <rFont val="Calibri"/>
        <family val="2"/>
        <scheme val="minor"/>
      </rPr>
      <t>TD</t>
    </r>
    <r>
      <rPr>
        <sz val="11"/>
        <color theme="1"/>
        <rFont val="Calibri"/>
        <family val="2"/>
        <scheme val="minor"/>
      </rPr>
      <t xml:space="preserve"> - CHAD
</t>
    </r>
    <r>
      <rPr>
        <b/>
        <sz val="11"/>
        <color theme="1"/>
        <rFont val="Calibri"/>
        <family val="2"/>
        <scheme val="minor"/>
      </rPr>
      <t>CL</t>
    </r>
    <r>
      <rPr>
        <sz val="11"/>
        <color theme="1"/>
        <rFont val="Calibri"/>
        <family val="2"/>
        <scheme val="minor"/>
      </rPr>
      <t xml:space="preserve"> - CHILE
</t>
    </r>
    <r>
      <rPr>
        <b/>
        <sz val="11"/>
        <color theme="1"/>
        <rFont val="Calibri"/>
        <family val="2"/>
        <scheme val="minor"/>
      </rPr>
      <t>CN</t>
    </r>
    <r>
      <rPr>
        <sz val="11"/>
        <color theme="1"/>
        <rFont val="Calibri"/>
        <family val="2"/>
        <scheme val="minor"/>
      </rPr>
      <t xml:space="preserve"> - CHINA
</t>
    </r>
    <r>
      <rPr>
        <b/>
        <sz val="11"/>
        <color theme="1"/>
        <rFont val="Calibri"/>
        <family val="2"/>
        <scheme val="minor"/>
      </rPr>
      <t>CX</t>
    </r>
    <r>
      <rPr>
        <sz val="11"/>
        <color theme="1"/>
        <rFont val="Calibri"/>
        <family val="2"/>
        <scheme val="minor"/>
      </rPr>
      <t xml:space="preserve"> - CHRISTMAS ISLAND
</t>
    </r>
    <r>
      <rPr>
        <b/>
        <sz val="11"/>
        <color theme="1"/>
        <rFont val="Calibri"/>
        <family val="2"/>
        <scheme val="minor"/>
      </rPr>
      <t>CC</t>
    </r>
    <r>
      <rPr>
        <sz val="11"/>
        <color theme="1"/>
        <rFont val="Calibri"/>
        <family val="2"/>
        <scheme val="minor"/>
      </rPr>
      <t xml:space="preserve"> - COCOS (KEELING) ISLANDS
</t>
    </r>
    <r>
      <rPr>
        <b/>
        <sz val="11"/>
        <color theme="1"/>
        <rFont val="Calibri"/>
        <family val="2"/>
        <scheme val="minor"/>
      </rPr>
      <t>CO</t>
    </r>
    <r>
      <rPr>
        <sz val="11"/>
        <color theme="1"/>
        <rFont val="Calibri"/>
        <family val="2"/>
        <scheme val="minor"/>
      </rPr>
      <t xml:space="preserve"> - COLOMBIA
</t>
    </r>
    <r>
      <rPr>
        <b/>
        <sz val="11"/>
        <color theme="1"/>
        <rFont val="Calibri"/>
        <family val="2"/>
        <scheme val="minor"/>
      </rPr>
      <t>KM</t>
    </r>
    <r>
      <rPr>
        <sz val="11"/>
        <color theme="1"/>
        <rFont val="Calibri"/>
        <family val="2"/>
        <scheme val="minor"/>
      </rPr>
      <t xml:space="preserve"> - COMOROS
</t>
    </r>
    <r>
      <rPr>
        <b/>
        <sz val="11"/>
        <color theme="1"/>
        <rFont val="Calibri"/>
        <family val="2"/>
        <scheme val="minor"/>
      </rPr>
      <t>CG</t>
    </r>
    <r>
      <rPr>
        <sz val="11"/>
        <color theme="1"/>
        <rFont val="Calibri"/>
        <family val="2"/>
        <scheme val="minor"/>
      </rPr>
      <t xml:space="preserve"> - CONGO
</t>
    </r>
    <r>
      <rPr>
        <b/>
        <sz val="11"/>
        <color theme="1"/>
        <rFont val="Calibri"/>
        <family val="2"/>
        <scheme val="minor"/>
      </rPr>
      <t>CD</t>
    </r>
    <r>
      <rPr>
        <sz val="11"/>
        <color theme="1"/>
        <rFont val="Calibri"/>
        <family val="2"/>
        <scheme val="minor"/>
      </rPr>
      <t xml:space="preserve"> - CONGO, THE DEMOCRATIC REPUBLIC OF THE
</t>
    </r>
    <r>
      <rPr>
        <b/>
        <sz val="11"/>
        <color theme="1"/>
        <rFont val="Calibri"/>
        <family val="2"/>
        <scheme val="minor"/>
      </rPr>
      <t>CK</t>
    </r>
    <r>
      <rPr>
        <sz val="11"/>
        <color theme="1"/>
        <rFont val="Calibri"/>
        <family val="2"/>
        <scheme val="minor"/>
      </rPr>
      <t xml:space="preserve"> - COOK ISLANDS
</t>
    </r>
    <r>
      <rPr>
        <b/>
        <sz val="11"/>
        <color theme="1"/>
        <rFont val="Calibri"/>
        <family val="2"/>
        <scheme val="minor"/>
      </rPr>
      <t>CR</t>
    </r>
    <r>
      <rPr>
        <sz val="11"/>
        <color theme="1"/>
        <rFont val="Calibri"/>
        <family val="2"/>
        <scheme val="minor"/>
      </rPr>
      <t xml:space="preserve"> - COSTA RICA
</t>
    </r>
    <r>
      <rPr>
        <b/>
        <sz val="11"/>
        <color theme="1"/>
        <rFont val="Calibri"/>
        <family val="2"/>
        <scheme val="minor"/>
      </rPr>
      <t>CI</t>
    </r>
    <r>
      <rPr>
        <sz val="11"/>
        <color theme="1"/>
        <rFont val="Calibri"/>
        <family val="2"/>
        <scheme val="minor"/>
      </rPr>
      <t xml:space="preserve"> - CÔTE D'IVOIRE
</t>
    </r>
    <r>
      <rPr>
        <b/>
        <sz val="11"/>
        <color theme="1"/>
        <rFont val="Calibri"/>
        <family val="2"/>
        <scheme val="minor"/>
      </rPr>
      <t>HR</t>
    </r>
    <r>
      <rPr>
        <sz val="11"/>
        <color theme="1"/>
        <rFont val="Calibri"/>
        <family val="2"/>
        <scheme val="minor"/>
      </rPr>
      <t xml:space="preserve"> - CROATIA
</t>
    </r>
    <r>
      <rPr>
        <b/>
        <sz val="11"/>
        <color theme="1"/>
        <rFont val="Calibri"/>
        <family val="2"/>
        <scheme val="minor"/>
      </rPr>
      <t>CU</t>
    </r>
    <r>
      <rPr>
        <sz val="11"/>
        <color theme="1"/>
        <rFont val="Calibri"/>
        <family val="2"/>
        <scheme val="minor"/>
      </rPr>
      <t xml:space="preserve"> - CUBA
</t>
    </r>
    <r>
      <rPr>
        <b/>
        <sz val="11"/>
        <color theme="1"/>
        <rFont val="Calibri"/>
        <family val="2"/>
        <scheme val="minor"/>
      </rPr>
      <t>CW</t>
    </r>
    <r>
      <rPr>
        <sz val="11"/>
        <color theme="1"/>
        <rFont val="Calibri"/>
        <family val="2"/>
        <scheme val="minor"/>
      </rPr>
      <t xml:space="preserve"> - CURAÇAO
</t>
    </r>
    <r>
      <rPr>
        <b/>
        <sz val="11"/>
        <color theme="1"/>
        <rFont val="Calibri"/>
        <family val="2"/>
        <scheme val="minor"/>
      </rPr>
      <t>CY</t>
    </r>
    <r>
      <rPr>
        <sz val="11"/>
        <color theme="1"/>
        <rFont val="Calibri"/>
        <family val="2"/>
        <scheme val="minor"/>
      </rPr>
      <t xml:space="preserve"> - CYPRUS
</t>
    </r>
    <r>
      <rPr>
        <b/>
        <sz val="11"/>
        <color theme="1"/>
        <rFont val="Calibri"/>
        <family val="2"/>
        <scheme val="minor"/>
      </rPr>
      <t>CZ</t>
    </r>
    <r>
      <rPr>
        <sz val="11"/>
        <color theme="1"/>
        <rFont val="Calibri"/>
        <family val="2"/>
        <scheme val="minor"/>
      </rPr>
      <t xml:space="preserve"> - CZECH REPUBLIC
</t>
    </r>
    <r>
      <rPr>
        <b/>
        <sz val="11"/>
        <color theme="1"/>
        <rFont val="Calibri"/>
        <family val="2"/>
        <scheme val="minor"/>
      </rPr>
      <t>DK</t>
    </r>
    <r>
      <rPr>
        <sz val="11"/>
        <color theme="1"/>
        <rFont val="Calibri"/>
        <family val="2"/>
        <scheme val="minor"/>
      </rPr>
      <t xml:space="preserve"> - DENMARK
</t>
    </r>
    <r>
      <rPr>
        <b/>
        <sz val="11"/>
        <color theme="1"/>
        <rFont val="Calibri"/>
        <family val="2"/>
        <scheme val="minor"/>
      </rPr>
      <t>DJ</t>
    </r>
    <r>
      <rPr>
        <sz val="11"/>
        <color theme="1"/>
        <rFont val="Calibri"/>
        <family val="2"/>
        <scheme val="minor"/>
      </rPr>
      <t xml:space="preserve"> - DJIBOUTI
</t>
    </r>
    <r>
      <rPr>
        <b/>
        <sz val="11"/>
        <color theme="1"/>
        <rFont val="Calibri"/>
        <family val="2"/>
        <scheme val="minor"/>
      </rPr>
      <t>DM</t>
    </r>
    <r>
      <rPr>
        <sz val="11"/>
        <color theme="1"/>
        <rFont val="Calibri"/>
        <family val="2"/>
        <scheme val="minor"/>
      </rPr>
      <t xml:space="preserve"> - DOMINICA
</t>
    </r>
    <r>
      <rPr>
        <b/>
        <sz val="11"/>
        <color theme="1"/>
        <rFont val="Calibri"/>
        <family val="2"/>
        <scheme val="minor"/>
      </rPr>
      <t>DO</t>
    </r>
    <r>
      <rPr>
        <sz val="11"/>
        <color theme="1"/>
        <rFont val="Calibri"/>
        <family val="2"/>
        <scheme val="minor"/>
      </rPr>
      <t xml:space="preserve"> - DOMINICAN REPUBLIC
</t>
    </r>
    <r>
      <rPr>
        <b/>
        <sz val="11"/>
        <color theme="1"/>
        <rFont val="Calibri"/>
        <family val="2"/>
        <scheme val="minor"/>
      </rPr>
      <t>EC</t>
    </r>
    <r>
      <rPr>
        <sz val="11"/>
        <color theme="1"/>
        <rFont val="Calibri"/>
        <family val="2"/>
        <scheme val="minor"/>
      </rPr>
      <t xml:space="preserve"> - ECUADOR
</t>
    </r>
    <r>
      <rPr>
        <b/>
        <sz val="11"/>
        <color theme="1"/>
        <rFont val="Calibri"/>
        <family val="2"/>
        <scheme val="minor"/>
      </rPr>
      <t>EG</t>
    </r>
    <r>
      <rPr>
        <sz val="11"/>
        <color theme="1"/>
        <rFont val="Calibri"/>
        <family val="2"/>
        <scheme val="minor"/>
      </rPr>
      <t xml:space="preserve"> - EGYPT
</t>
    </r>
    <r>
      <rPr>
        <b/>
        <sz val="11"/>
        <color theme="1"/>
        <rFont val="Calibri"/>
        <family val="2"/>
        <scheme val="minor"/>
      </rPr>
      <t>SV</t>
    </r>
    <r>
      <rPr>
        <sz val="11"/>
        <color theme="1"/>
        <rFont val="Calibri"/>
        <family val="2"/>
        <scheme val="minor"/>
      </rPr>
      <t xml:space="preserve"> - EL SALVADOR
</t>
    </r>
    <r>
      <rPr>
        <b/>
        <sz val="11"/>
        <color theme="1"/>
        <rFont val="Calibri"/>
        <family val="2"/>
        <scheme val="minor"/>
      </rPr>
      <t>GQ</t>
    </r>
    <r>
      <rPr>
        <sz val="11"/>
        <color theme="1"/>
        <rFont val="Calibri"/>
        <family val="2"/>
        <scheme val="minor"/>
      </rPr>
      <t xml:space="preserve"> - EQUATORIAL GUINEA
</t>
    </r>
    <r>
      <rPr>
        <b/>
        <sz val="11"/>
        <color theme="1"/>
        <rFont val="Calibri"/>
        <family val="2"/>
        <scheme val="minor"/>
      </rPr>
      <t>ER</t>
    </r>
    <r>
      <rPr>
        <sz val="11"/>
        <color theme="1"/>
        <rFont val="Calibri"/>
        <family val="2"/>
        <scheme val="minor"/>
      </rPr>
      <t xml:space="preserve"> - ERITREA
</t>
    </r>
    <r>
      <rPr>
        <b/>
        <sz val="11"/>
        <color theme="1"/>
        <rFont val="Calibri"/>
        <family val="2"/>
        <scheme val="minor"/>
      </rPr>
      <t>EE</t>
    </r>
    <r>
      <rPr>
        <sz val="11"/>
        <color theme="1"/>
        <rFont val="Calibri"/>
        <family val="2"/>
        <scheme val="minor"/>
      </rPr>
      <t xml:space="preserve"> - ESTONIA
</t>
    </r>
    <r>
      <rPr>
        <b/>
        <sz val="11"/>
        <color theme="1"/>
        <rFont val="Calibri"/>
        <family val="2"/>
        <scheme val="minor"/>
      </rPr>
      <t>ET</t>
    </r>
    <r>
      <rPr>
        <sz val="11"/>
        <color theme="1"/>
        <rFont val="Calibri"/>
        <family val="2"/>
        <scheme val="minor"/>
      </rPr>
      <t xml:space="preserve"> - ETHIOPIA
</t>
    </r>
    <r>
      <rPr>
        <b/>
        <sz val="11"/>
        <color theme="1"/>
        <rFont val="Calibri"/>
        <family val="2"/>
        <scheme val="minor"/>
      </rPr>
      <t>FK</t>
    </r>
    <r>
      <rPr>
        <sz val="11"/>
        <color theme="1"/>
        <rFont val="Calibri"/>
        <family val="2"/>
        <scheme val="minor"/>
      </rPr>
      <t xml:space="preserve"> - FALKLAND ISLANDS (MALVINAS)
</t>
    </r>
    <r>
      <rPr>
        <b/>
        <sz val="11"/>
        <color theme="1"/>
        <rFont val="Calibri"/>
        <family val="2"/>
        <scheme val="minor"/>
      </rPr>
      <t>FO</t>
    </r>
    <r>
      <rPr>
        <sz val="11"/>
        <color theme="1"/>
        <rFont val="Calibri"/>
        <family val="2"/>
        <scheme val="minor"/>
      </rPr>
      <t xml:space="preserve"> - FAROE ISLANDS
</t>
    </r>
    <r>
      <rPr>
        <b/>
        <sz val="11"/>
        <color theme="1"/>
        <rFont val="Calibri"/>
        <family val="2"/>
        <scheme val="minor"/>
      </rPr>
      <t>FJ</t>
    </r>
    <r>
      <rPr>
        <sz val="11"/>
        <color theme="1"/>
        <rFont val="Calibri"/>
        <family val="2"/>
        <scheme val="minor"/>
      </rPr>
      <t xml:space="preserve"> - FIJI
</t>
    </r>
    <r>
      <rPr>
        <b/>
        <sz val="11"/>
        <color theme="1"/>
        <rFont val="Calibri"/>
        <family val="2"/>
        <scheme val="minor"/>
      </rPr>
      <t>FI</t>
    </r>
    <r>
      <rPr>
        <sz val="11"/>
        <color theme="1"/>
        <rFont val="Calibri"/>
        <family val="2"/>
        <scheme val="minor"/>
      </rPr>
      <t xml:space="preserve"> - FINLAND
</t>
    </r>
    <r>
      <rPr>
        <b/>
        <sz val="11"/>
        <color theme="1"/>
        <rFont val="Calibri"/>
        <family val="2"/>
        <scheme val="minor"/>
      </rPr>
      <t>FR</t>
    </r>
    <r>
      <rPr>
        <sz val="11"/>
        <color theme="1"/>
        <rFont val="Calibri"/>
        <family val="2"/>
        <scheme val="minor"/>
      </rPr>
      <t xml:space="preserve"> - FRANCE
</t>
    </r>
    <r>
      <rPr>
        <b/>
        <sz val="11"/>
        <color theme="1"/>
        <rFont val="Calibri"/>
        <family val="2"/>
        <scheme val="minor"/>
      </rPr>
      <t>GF</t>
    </r>
    <r>
      <rPr>
        <sz val="11"/>
        <color theme="1"/>
        <rFont val="Calibri"/>
        <family val="2"/>
        <scheme val="minor"/>
      </rPr>
      <t xml:space="preserve"> - FRENCH GUIANA
</t>
    </r>
    <r>
      <rPr>
        <b/>
        <sz val="11"/>
        <color theme="1"/>
        <rFont val="Calibri"/>
        <family val="2"/>
        <scheme val="minor"/>
      </rPr>
      <t>PF</t>
    </r>
    <r>
      <rPr>
        <sz val="11"/>
        <color theme="1"/>
        <rFont val="Calibri"/>
        <family val="2"/>
        <scheme val="minor"/>
      </rPr>
      <t xml:space="preserve"> - FRENCH POLYNESIA
</t>
    </r>
    <r>
      <rPr>
        <b/>
        <sz val="11"/>
        <color theme="1"/>
        <rFont val="Calibri"/>
        <family val="2"/>
        <scheme val="minor"/>
      </rPr>
      <t>TF</t>
    </r>
    <r>
      <rPr>
        <sz val="11"/>
        <color theme="1"/>
        <rFont val="Calibri"/>
        <family val="2"/>
        <scheme val="minor"/>
      </rPr>
      <t xml:space="preserve"> - FRENCH SOUTHERN TERRITORIES
</t>
    </r>
    <r>
      <rPr>
        <b/>
        <sz val="11"/>
        <color theme="1"/>
        <rFont val="Calibri"/>
        <family val="2"/>
        <scheme val="minor"/>
      </rPr>
      <t>GA</t>
    </r>
    <r>
      <rPr>
        <sz val="11"/>
        <color theme="1"/>
        <rFont val="Calibri"/>
        <family val="2"/>
        <scheme val="minor"/>
      </rPr>
      <t xml:space="preserve"> - GABON
</t>
    </r>
    <r>
      <rPr>
        <b/>
        <sz val="11"/>
        <color theme="1"/>
        <rFont val="Calibri"/>
        <family val="2"/>
        <scheme val="minor"/>
      </rPr>
      <t>GM</t>
    </r>
    <r>
      <rPr>
        <sz val="11"/>
        <color theme="1"/>
        <rFont val="Calibri"/>
        <family val="2"/>
        <scheme val="minor"/>
      </rPr>
      <t xml:space="preserve"> - GAMBIA
</t>
    </r>
    <r>
      <rPr>
        <b/>
        <sz val="11"/>
        <color theme="1"/>
        <rFont val="Calibri"/>
        <family val="2"/>
        <scheme val="minor"/>
      </rPr>
      <t>GE</t>
    </r>
    <r>
      <rPr>
        <sz val="11"/>
        <color theme="1"/>
        <rFont val="Calibri"/>
        <family val="2"/>
        <scheme val="minor"/>
      </rPr>
      <t xml:space="preserve"> - GEORGIA
</t>
    </r>
    <r>
      <rPr>
        <b/>
        <sz val="11"/>
        <color theme="1"/>
        <rFont val="Calibri"/>
        <family val="2"/>
        <scheme val="minor"/>
      </rPr>
      <t>DE</t>
    </r>
    <r>
      <rPr>
        <sz val="11"/>
        <color theme="1"/>
        <rFont val="Calibri"/>
        <family val="2"/>
        <scheme val="minor"/>
      </rPr>
      <t xml:space="preserve"> - GERMANY
</t>
    </r>
    <r>
      <rPr>
        <b/>
        <sz val="11"/>
        <color theme="1"/>
        <rFont val="Calibri"/>
        <family val="2"/>
        <scheme val="minor"/>
      </rPr>
      <t>GH</t>
    </r>
    <r>
      <rPr>
        <sz val="11"/>
        <color theme="1"/>
        <rFont val="Calibri"/>
        <family val="2"/>
        <scheme val="minor"/>
      </rPr>
      <t xml:space="preserve"> - GHANA
</t>
    </r>
    <r>
      <rPr>
        <b/>
        <sz val="11"/>
        <color theme="1"/>
        <rFont val="Calibri"/>
        <family val="2"/>
        <scheme val="minor"/>
      </rPr>
      <t>GI</t>
    </r>
    <r>
      <rPr>
        <sz val="11"/>
        <color theme="1"/>
        <rFont val="Calibri"/>
        <family val="2"/>
        <scheme val="minor"/>
      </rPr>
      <t xml:space="preserve"> - GIBRALTAR
</t>
    </r>
    <r>
      <rPr>
        <b/>
        <sz val="11"/>
        <color theme="1"/>
        <rFont val="Calibri"/>
        <family val="2"/>
        <scheme val="minor"/>
      </rPr>
      <t>GR</t>
    </r>
    <r>
      <rPr>
        <sz val="11"/>
        <color theme="1"/>
        <rFont val="Calibri"/>
        <family val="2"/>
        <scheme val="minor"/>
      </rPr>
      <t xml:space="preserve"> - GREECE
</t>
    </r>
    <r>
      <rPr>
        <b/>
        <sz val="11"/>
        <color theme="1"/>
        <rFont val="Calibri"/>
        <family val="2"/>
        <scheme val="minor"/>
      </rPr>
      <t>GL</t>
    </r>
    <r>
      <rPr>
        <sz val="11"/>
        <color theme="1"/>
        <rFont val="Calibri"/>
        <family val="2"/>
        <scheme val="minor"/>
      </rPr>
      <t xml:space="preserve"> - GREENLAND
</t>
    </r>
    <r>
      <rPr>
        <b/>
        <sz val="11"/>
        <color theme="1"/>
        <rFont val="Calibri"/>
        <family val="2"/>
        <scheme val="minor"/>
      </rPr>
      <t>GD</t>
    </r>
    <r>
      <rPr>
        <sz val="11"/>
        <color theme="1"/>
        <rFont val="Calibri"/>
        <family val="2"/>
        <scheme val="minor"/>
      </rPr>
      <t xml:space="preserve"> - GRENADA
</t>
    </r>
    <r>
      <rPr>
        <b/>
        <sz val="11"/>
        <color theme="1"/>
        <rFont val="Calibri"/>
        <family val="2"/>
        <scheme val="minor"/>
      </rPr>
      <t>GP</t>
    </r>
    <r>
      <rPr>
        <sz val="11"/>
        <color theme="1"/>
        <rFont val="Calibri"/>
        <family val="2"/>
        <scheme val="minor"/>
      </rPr>
      <t xml:space="preserve"> - GUADELOUPE
</t>
    </r>
    <r>
      <rPr>
        <b/>
        <sz val="11"/>
        <color theme="1"/>
        <rFont val="Calibri"/>
        <family val="2"/>
        <scheme val="minor"/>
      </rPr>
      <t>GU</t>
    </r>
    <r>
      <rPr>
        <sz val="11"/>
        <color theme="1"/>
        <rFont val="Calibri"/>
        <family val="2"/>
        <scheme val="minor"/>
      </rPr>
      <t xml:space="preserve"> - GUAM
</t>
    </r>
    <r>
      <rPr>
        <b/>
        <sz val="11"/>
        <color theme="1"/>
        <rFont val="Calibri"/>
        <family val="2"/>
        <scheme val="minor"/>
      </rPr>
      <t>GT</t>
    </r>
    <r>
      <rPr>
        <sz val="11"/>
        <color theme="1"/>
        <rFont val="Calibri"/>
        <family val="2"/>
        <scheme val="minor"/>
      </rPr>
      <t xml:space="preserve"> - GUATEMALA
</t>
    </r>
    <r>
      <rPr>
        <b/>
        <sz val="11"/>
        <color theme="1"/>
        <rFont val="Calibri"/>
        <family val="2"/>
        <scheme val="minor"/>
      </rPr>
      <t>GG</t>
    </r>
    <r>
      <rPr>
        <sz val="11"/>
        <color theme="1"/>
        <rFont val="Calibri"/>
        <family val="2"/>
        <scheme val="minor"/>
      </rPr>
      <t xml:space="preserve"> - GUERNSEY
</t>
    </r>
    <r>
      <rPr>
        <b/>
        <sz val="11"/>
        <color theme="1"/>
        <rFont val="Calibri"/>
        <family val="2"/>
        <scheme val="minor"/>
      </rPr>
      <t>GN</t>
    </r>
    <r>
      <rPr>
        <sz val="11"/>
        <color theme="1"/>
        <rFont val="Calibri"/>
        <family val="2"/>
        <scheme val="minor"/>
      </rPr>
      <t xml:space="preserve"> - GUINEA
</t>
    </r>
    <r>
      <rPr>
        <b/>
        <sz val="11"/>
        <color theme="1"/>
        <rFont val="Calibri"/>
        <family val="2"/>
        <scheme val="minor"/>
      </rPr>
      <t>GW</t>
    </r>
    <r>
      <rPr>
        <sz val="11"/>
        <color theme="1"/>
        <rFont val="Calibri"/>
        <family val="2"/>
        <scheme val="minor"/>
      </rPr>
      <t xml:space="preserve"> - GUINEA-BISSAU
</t>
    </r>
    <r>
      <rPr>
        <b/>
        <sz val="11"/>
        <color theme="1"/>
        <rFont val="Calibri"/>
        <family val="2"/>
        <scheme val="minor"/>
      </rPr>
      <t>GY</t>
    </r>
    <r>
      <rPr>
        <sz val="11"/>
        <color theme="1"/>
        <rFont val="Calibri"/>
        <family val="2"/>
        <scheme val="minor"/>
      </rPr>
      <t xml:space="preserve"> - GUYANA
</t>
    </r>
    <r>
      <rPr>
        <b/>
        <sz val="11"/>
        <color theme="1"/>
        <rFont val="Calibri"/>
        <family val="2"/>
        <scheme val="minor"/>
      </rPr>
      <t>HT</t>
    </r>
    <r>
      <rPr>
        <sz val="11"/>
        <color theme="1"/>
        <rFont val="Calibri"/>
        <family val="2"/>
        <scheme val="minor"/>
      </rPr>
      <t xml:space="preserve"> - HAITI
</t>
    </r>
    <r>
      <rPr>
        <b/>
        <sz val="11"/>
        <color theme="1"/>
        <rFont val="Calibri"/>
        <family val="2"/>
        <scheme val="minor"/>
      </rPr>
      <t>HM</t>
    </r>
    <r>
      <rPr>
        <sz val="11"/>
        <color theme="1"/>
        <rFont val="Calibri"/>
        <family val="2"/>
        <scheme val="minor"/>
      </rPr>
      <t xml:space="preserve"> - HEARD ISLAND AND MCDONALD ISLANDS
</t>
    </r>
    <r>
      <rPr>
        <b/>
        <sz val="11"/>
        <color theme="1"/>
        <rFont val="Calibri"/>
        <family val="2"/>
        <scheme val="minor"/>
      </rPr>
      <t>VA</t>
    </r>
    <r>
      <rPr>
        <sz val="11"/>
        <color theme="1"/>
        <rFont val="Calibri"/>
        <family val="2"/>
        <scheme val="minor"/>
      </rPr>
      <t xml:space="preserve"> - HOLY SEE (VATICAN CITY STATE)
</t>
    </r>
    <r>
      <rPr>
        <b/>
        <sz val="11"/>
        <color theme="1"/>
        <rFont val="Calibri"/>
        <family val="2"/>
        <scheme val="minor"/>
      </rPr>
      <t>HN</t>
    </r>
    <r>
      <rPr>
        <sz val="11"/>
        <color theme="1"/>
        <rFont val="Calibri"/>
        <family val="2"/>
        <scheme val="minor"/>
      </rPr>
      <t xml:space="preserve"> - HONDURAS
</t>
    </r>
    <r>
      <rPr>
        <b/>
        <sz val="11"/>
        <color theme="1"/>
        <rFont val="Calibri"/>
        <family val="2"/>
        <scheme val="minor"/>
      </rPr>
      <t>HK</t>
    </r>
    <r>
      <rPr>
        <sz val="11"/>
        <color theme="1"/>
        <rFont val="Calibri"/>
        <family val="2"/>
        <scheme val="minor"/>
      </rPr>
      <t xml:space="preserve"> - HONG KONG
</t>
    </r>
    <r>
      <rPr>
        <b/>
        <sz val="11"/>
        <color theme="1"/>
        <rFont val="Calibri"/>
        <family val="2"/>
        <scheme val="minor"/>
      </rPr>
      <t>HU</t>
    </r>
    <r>
      <rPr>
        <sz val="11"/>
        <color theme="1"/>
        <rFont val="Calibri"/>
        <family val="2"/>
        <scheme val="minor"/>
      </rPr>
      <t xml:space="preserve"> - HUNGARY
</t>
    </r>
    <r>
      <rPr>
        <b/>
        <sz val="11"/>
        <color theme="1"/>
        <rFont val="Calibri"/>
        <family val="2"/>
        <scheme val="minor"/>
      </rPr>
      <t>IS</t>
    </r>
    <r>
      <rPr>
        <sz val="11"/>
        <color theme="1"/>
        <rFont val="Calibri"/>
        <family val="2"/>
        <scheme val="minor"/>
      </rPr>
      <t xml:space="preserve"> - ICELAND
</t>
    </r>
    <r>
      <rPr>
        <b/>
        <sz val="11"/>
        <color theme="1"/>
        <rFont val="Calibri"/>
        <family val="2"/>
        <scheme val="minor"/>
      </rPr>
      <t>IN</t>
    </r>
    <r>
      <rPr>
        <sz val="11"/>
        <color theme="1"/>
        <rFont val="Calibri"/>
        <family val="2"/>
        <scheme val="minor"/>
      </rPr>
      <t xml:space="preserve"> - INDIA
</t>
    </r>
    <r>
      <rPr>
        <b/>
        <sz val="11"/>
        <color theme="1"/>
        <rFont val="Calibri"/>
        <family val="2"/>
        <scheme val="minor"/>
      </rPr>
      <t>ID</t>
    </r>
    <r>
      <rPr>
        <sz val="11"/>
        <color theme="1"/>
        <rFont val="Calibri"/>
        <family val="2"/>
        <scheme val="minor"/>
      </rPr>
      <t xml:space="preserve"> - INDONESIA
</t>
    </r>
    <r>
      <rPr>
        <b/>
        <sz val="11"/>
        <color theme="1"/>
        <rFont val="Calibri"/>
        <family val="2"/>
        <scheme val="minor"/>
      </rPr>
      <t>IR</t>
    </r>
    <r>
      <rPr>
        <sz val="11"/>
        <color theme="1"/>
        <rFont val="Calibri"/>
        <family val="2"/>
        <scheme val="minor"/>
      </rPr>
      <t xml:space="preserve"> - IRAN, ISLAMIC REPUBLIC OF
</t>
    </r>
    <r>
      <rPr>
        <b/>
        <sz val="11"/>
        <color theme="1"/>
        <rFont val="Calibri"/>
        <family val="2"/>
        <scheme val="minor"/>
      </rPr>
      <t>IQ</t>
    </r>
    <r>
      <rPr>
        <sz val="11"/>
        <color theme="1"/>
        <rFont val="Calibri"/>
        <family val="2"/>
        <scheme val="minor"/>
      </rPr>
      <t xml:space="preserve"> - IRAQ
</t>
    </r>
    <r>
      <rPr>
        <b/>
        <sz val="11"/>
        <color theme="1"/>
        <rFont val="Calibri"/>
        <family val="2"/>
        <scheme val="minor"/>
      </rPr>
      <t>IE</t>
    </r>
    <r>
      <rPr>
        <sz val="11"/>
        <color theme="1"/>
        <rFont val="Calibri"/>
        <family val="2"/>
        <scheme val="minor"/>
      </rPr>
      <t xml:space="preserve"> - IRELAND
</t>
    </r>
    <r>
      <rPr>
        <b/>
        <sz val="11"/>
        <color theme="1"/>
        <rFont val="Calibri"/>
        <family val="2"/>
        <scheme val="minor"/>
      </rPr>
      <t>IM</t>
    </r>
    <r>
      <rPr>
        <sz val="11"/>
        <color theme="1"/>
        <rFont val="Calibri"/>
        <family val="2"/>
        <scheme val="minor"/>
      </rPr>
      <t xml:space="preserve"> - ISLE OF MAN
</t>
    </r>
    <r>
      <rPr>
        <b/>
        <sz val="11"/>
        <color theme="1"/>
        <rFont val="Calibri"/>
        <family val="2"/>
        <scheme val="minor"/>
      </rPr>
      <t>IL</t>
    </r>
    <r>
      <rPr>
        <sz val="11"/>
        <color theme="1"/>
        <rFont val="Calibri"/>
        <family val="2"/>
        <scheme val="minor"/>
      </rPr>
      <t xml:space="preserve"> - ISRAEL
</t>
    </r>
    <r>
      <rPr>
        <b/>
        <sz val="11"/>
        <color theme="1"/>
        <rFont val="Calibri"/>
        <family val="2"/>
        <scheme val="minor"/>
      </rPr>
      <t>IT</t>
    </r>
    <r>
      <rPr>
        <sz val="11"/>
        <color theme="1"/>
        <rFont val="Calibri"/>
        <family val="2"/>
        <scheme val="minor"/>
      </rPr>
      <t xml:space="preserve"> - ITALY
</t>
    </r>
    <r>
      <rPr>
        <b/>
        <sz val="11"/>
        <color theme="1"/>
        <rFont val="Calibri"/>
        <family val="2"/>
        <scheme val="minor"/>
      </rPr>
      <t>JM</t>
    </r>
    <r>
      <rPr>
        <sz val="11"/>
        <color theme="1"/>
        <rFont val="Calibri"/>
        <family val="2"/>
        <scheme val="minor"/>
      </rPr>
      <t xml:space="preserve"> - JAMAICA
</t>
    </r>
    <r>
      <rPr>
        <b/>
        <sz val="11"/>
        <color theme="1"/>
        <rFont val="Calibri"/>
        <family val="2"/>
        <scheme val="minor"/>
      </rPr>
      <t>JP</t>
    </r>
    <r>
      <rPr>
        <sz val="11"/>
        <color theme="1"/>
        <rFont val="Calibri"/>
        <family val="2"/>
        <scheme val="minor"/>
      </rPr>
      <t xml:space="preserve"> - JAPAN
</t>
    </r>
    <r>
      <rPr>
        <b/>
        <sz val="11"/>
        <color theme="1"/>
        <rFont val="Calibri"/>
        <family val="2"/>
        <scheme val="minor"/>
      </rPr>
      <t>JE</t>
    </r>
    <r>
      <rPr>
        <sz val="11"/>
        <color theme="1"/>
        <rFont val="Calibri"/>
        <family val="2"/>
        <scheme val="minor"/>
      </rPr>
      <t xml:space="preserve"> - JERSEY
</t>
    </r>
    <r>
      <rPr>
        <b/>
        <sz val="11"/>
        <color theme="1"/>
        <rFont val="Calibri"/>
        <family val="2"/>
        <scheme val="minor"/>
      </rPr>
      <t>JO</t>
    </r>
    <r>
      <rPr>
        <sz val="11"/>
        <color theme="1"/>
        <rFont val="Calibri"/>
        <family val="2"/>
        <scheme val="minor"/>
      </rPr>
      <t xml:space="preserve"> - JORDAN
</t>
    </r>
    <r>
      <rPr>
        <b/>
        <sz val="11"/>
        <color theme="1"/>
        <rFont val="Calibri"/>
        <family val="2"/>
        <scheme val="minor"/>
      </rPr>
      <t>KZ</t>
    </r>
    <r>
      <rPr>
        <sz val="11"/>
        <color theme="1"/>
        <rFont val="Calibri"/>
        <family val="2"/>
        <scheme val="minor"/>
      </rPr>
      <t xml:space="preserve"> - KAZAKHSTAN
</t>
    </r>
    <r>
      <rPr>
        <b/>
        <sz val="11"/>
        <color theme="1"/>
        <rFont val="Calibri"/>
        <family val="2"/>
        <scheme val="minor"/>
      </rPr>
      <t>KE</t>
    </r>
    <r>
      <rPr>
        <sz val="11"/>
        <color theme="1"/>
        <rFont val="Calibri"/>
        <family val="2"/>
        <scheme val="minor"/>
      </rPr>
      <t xml:space="preserve"> - KENYA
</t>
    </r>
    <r>
      <rPr>
        <b/>
        <sz val="11"/>
        <color theme="1"/>
        <rFont val="Calibri"/>
        <family val="2"/>
        <scheme val="minor"/>
      </rPr>
      <t>KI</t>
    </r>
    <r>
      <rPr>
        <sz val="11"/>
        <color theme="1"/>
        <rFont val="Calibri"/>
        <family val="2"/>
        <scheme val="minor"/>
      </rPr>
      <t xml:space="preserve"> - KIRIBATI
</t>
    </r>
    <r>
      <rPr>
        <b/>
        <sz val="11"/>
        <color theme="1"/>
        <rFont val="Calibri"/>
        <family val="2"/>
        <scheme val="minor"/>
      </rPr>
      <t>KP</t>
    </r>
    <r>
      <rPr>
        <sz val="11"/>
        <color theme="1"/>
        <rFont val="Calibri"/>
        <family val="2"/>
        <scheme val="minor"/>
      </rPr>
      <t xml:space="preserve"> - KOREA, DEMOCRATIC PEOPLE'S REPUBLIC OF
</t>
    </r>
    <r>
      <rPr>
        <b/>
        <sz val="11"/>
        <color theme="1"/>
        <rFont val="Calibri"/>
        <family val="2"/>
        <scheme val="minor"/>
      </rPr>
      <t>KR</t>
    </r>
    <r>
      <rPr>
        <sz val="11"/>
        <color theme="1"/>
        <rFont val="Calibri"/>
        <family val="2"/>
        <scheme val="minor"/>
      </rPr>
      <t xml:space="preserve"> - KOREA, REPUBLIC OF
</t>
    </r>
    <r>
      <rPr>
        <b/>
        <sz val="11"/>
        <color theme="1"/>
        <rFont val="Calibri"/>
        <family val="2"/>
        <scheme val="minor"/>
      </rPr>
      <t>KW</t>
    </r>
    <r>
      <rPr>
        <sz val="11"/>
        <color theme="1"/>
        <rFont val="Calibri"/>
        <family val="2"/>
        <scheme val="minor"/>
      </rPr>
      <t xml:space="preserve"> - KUWAIT
</t>
    </r>
    <r>
      <rPr>
        <b/>
        <sz val="11"/>
        <color theme="1"/>
        <rFont val="Calibri"/>
        <family val="2"/>
        <scheme val="minor"/>
      </rPr>
      <t>KG</t>
    </r>
    <r>
      <rPr>
        <sz val="11"/>
        <color theme="1"/>
        <rFont val="Calibri"/>
        <family val="2"/>
        <scheme val="minor"/>
      </rPr>
      <t xml:space="preserve"> - KYRGYZSTAN
</t>
    </r>
    <r>
      <rPr>
        <b/>
        <sz val="11"/>
        <color theme="1"/>
        <rFont val="Calibri"/>
        <family val="2"/>
        <scheme val="minor"/>
      </rPr>
      <t>LA</t>
    </r>
    <r>
      <rPr>
        <sz val="11"/>
        <color theme="1"/>
        <rFont val="Calibri"/>
        <family val="2"/>
        <scheme val="minor"/>
      </rPr>
      <t xml:space="preserve"> - LAO PEOPLE'S DEMOCRATIC REPUBLIC
</t>
    </r>
    <r>
      <rPr>
        <b/>
        <sz val="11"/>
        <color theme="1"/>
        <rFont val="Calibri"/>
        <family val="2"/>
        <scheme val="minor"/>
      </rPr>
      <t>LV</t>
    </r>
    <r>
      <rPr>
        <sz val="11"/>
        <color theme="1"/>
        <rFont val="Calibri"/>
        <family val="2"/>
        <scheme val="minor"/>
      </rPr>
      <t xml:space="preserve"> - LATVIA
</t>
    </r>
    <r>
      <rPr>
        <b/>
        <sz val="11"/>
        <color theme="1"/>
        <rFont val="Calibri"/>
        <family val="2"/>
        <scheme val="minor"/>
      </rPr>
      <t>LB</t>
    </r>
    <r>
      <rPr>
        <sz val="11"/>
        <color theme="1"/>
        <rFont val="Calibri"/>
        <family val="2"/>
        <scheme val="minor"/>
      </rPr>
      <t xml:space="preserve"> - LEBANON
</t>
    </r>
    <r>
      <rPr>
        <b/>
        <sz val="11"/>
        <color theme="1"/>
        <rFont val="Calibri"/>
        <family val="2"/>
        <scheme val="minor"/>
      </rPr>
      <t>LS</t>
    </r>
    <r>
      <rPr>
        <sz val="11"/>
        <color theme="1"/>
        <rFont val="Calibri"/>
        <family val="2"/>
        <scheme val="minor"/>
      </rPr>
      <t xml:space="preserve"> - LESOTHO
</t>
    </r>
    <r>
      <rPr>
        <b/>
        <sz val="11"/>
        <color theme="1"/>
        <rFont val="Calibri"/>
        <family val="2"/>
        <scheme val="minor"/>
      </rPr>
      <t>LR</t>
    </r>
    <r>
      <rPr>
        <sz val="11"/>
        <color theme="1"/>
        <rFont val="Calibri"/>
        <family val="2"/>
        <scheme val="minor"/>
      </rPr>
      <t xml:space="preserve"> - LIBERIA
</t>
    </r>
    <r>
      <rPr>
        <b/>
        <sz val="11"/>
        <color theme="1"/>
        <rFont val="Calibri"/>
        <family val="2"/>
        <scheme val="minor"/>
      </rPr>
      <t>LY</t>
    </r>
    <r>
      <rPr>
        <sz val="11"/>
        <color theme="1"/>
        <rFont val="Calibri"/>
        <family val="2"/>
        <scheme val="minor"/>
      </rPr>
      <t xml:space="preserve"> - LIBYAN ARAB JAMAHIRIYA
</t>
    </r>
    <r>
      <rPr>
        <b/>
        <sz val="11"/>
        <color theme="1"/>
        <rFont val="Calibri"/>
        <family val="2"/>
        <scheme val="minor"/>
      </rPr>
      <t>LI</t>
    </r>
    <r>
      <rPr>
        <sz val="11"/>
        <color theme="1"/>
        <rFont val="Calibri"/>
        <family val="2"/>
        <scheme val="minor"/>
      </rPr>
      <t xml:space="preserve"> - LIECHTENSTEIN
</t>
    </r>
    <r>
      <rPr>
        <b/>
        <sz val="11"/>
        <color theme="1"/>
        <rFont val="Calibri"/>
        <family val="2"/>
        <scheme val="minor"/>
      </rPr>
      <t>LT</t>
    </r>
    <r>
      <rPr>
        <sz val="11"/>
        <color theme="1"/>
        <rFont val="Calibri"/>
        <family val="2"/>
        <scheme val="minor"/>
      </rPr>
      <t xml:space="preserve"> - LITHUANIA
</t>
    </r>
    <r>
      <rPr>
        <b/>
        <sz val="11"/>
        <color theme="1"/>
        <rFont val="Calibri"/>
        <family val="2"/>
        <scheme val="minor"/>
      </rPr>
      <t>LU</t>
    </r>
    <r>
      <rPr>
        <sz val="11"/>
        <color theme="1"/>
        <rFont val="Calibri"/>
        <family val="2"/>
        <scheme val="minor"/>
      </rPr>
      <t xml:space="preserve"> - LUXEMBOURG
</t>
    </r>
    <r>
      <rPr>
        <b/>
        <sz val="11"/>
        <color theme="1"/>
        <rFont val="Calibri"/>
        <family val="2"/>
        <scheme val="minor"/>
      </rPr>
      <t>MO</t>
    </r>
    <r>
      <rPr>
        <sz val="11"/>
        <color theme="1"/>
        <rFont val="Calibri"/>
        <family val="2"/>
        <scheme val="minor"/>
      </rPr>
      <t xml:space="preserve"> - MACAO
</t>
    </r>
    <r>
      <rPr>
        <b/>
        <sz val="11"/>
        <color theme="1"/>
        <rFont val="Calibri"/>
        <family val="2"/>
        <scheme val="minor"/>
      </rPr>
      <t>MK</t>
    </r>
    <r>
      <rPr>
        <sz val="11"/>
        <color theme="1"/>
        <rFont val="Calibri"/>
        <family val="2"/>
        <scheme val="minor"/>
      </rPr>
      <t xml:space="preserve"> - MACEDONIA, THE FORMER YUGOSLAV REPUBLIC OF
</t>
    </r>
    <r>
      <rPr>
        <b/>
        <sz val="11"/>
        <color theme="1"/>
        <rFont val="Calibri"/>
        <family val="2"/>
        <scheme val="minor"/>
      </rPr>
      <t>MG</t>
    </r>
    <r>
      <rPr>
        <sz val="11"/>
        <color theme="1"/>
        <rFont val="Calibri"/>
        <family val="2"/>
        <scheme val="minor"/>
      </rPr>
      <t xml:space="preserve"> - MADAGASCAR
</t>
    </r>
    <r>
      <rPr>
        <b/>
        <sz val="11"/>
        <color theme="1"/>
        <rFont val="Calibri"/>
        <family val="2"/>
        <scheme val="minor"/>
      </rPr>
      <t>MW</t>
    </r>
    <r>
      <rPr>
        <sz val="11"/>
        <color theme="1"/>
        <rFont val="Calibri"/>
        <family val="2"/>
        <scheme val="minor"/>
      </rPr>
      <t xml:space="preserve"> - MALAWI
</t>
    </r>
    <r>
      <rPr>
        <b/>
        <sz val="11"/>
        <color theme="1"/>
        <rFont val="Calibri"/>
        <family val="2"/>
        <scheme val="minor"/>
      </rPr>
      <t>MY</t>
    </r>
    <r>
      <rPr>
        <sz val="11"/>
        <color theme="1"/>
        <rFont val="Calibri"/>
        <family val="2"/>
        <scheme val="minor"/>
      </rPr>
      <t xml:space="preserve"> - MALAYSIA
</t>
    </r>
    <r>
      <rPr>
        <b/>
        <sz val="11"/>
        <color theme="1"/>
        <rFont val="Calibri"/>
        <family val="2"/>
        <scheme val="minor"/>
      </rPr>
      <t>MV</t>
    </r>
    <r>
      <rPr>
        <sz val="11"/>
        <color theme="1"/>
        <rFont val="Calibri"/>
        <family val="2"/>
        <scheme val="minor"/>
      </rPr>
      <t xml:space="preserve"> - MALDIVES
</t>
    </r>
    <r>
      <rPr>
        <b/>
        <sz val="11"/>
        <color theme="1"/>
        <rFont val="Calibri"/>
        <family val="2"/>
        <scheme val="minor"/>
      </rPr>
      <t>ML</t>
    </r>
    <r>
      <rPr>
        <sz val="11"/>
        <color theme="1"/>
        <rFont val="Calibri"/>
        <family val="2"/>
        <scheme val="minor"/>
      </rPr>
      <t xml:space="preserve"> - MALI
</t>
    </r>
    <r>
      <rPr>
        <b/>
        <sz val="11"/>
        <color theme="1"/>
        <rFont val="Calibri"/>
        <family val="2"/>
        <scheme val="minor"/>
      </rPr>
      <t>MT</t>
    </r>
    <r>
      <rPr>
        <sz val="11"/>
        <color theme="1"/>
        <rFont val="Calibri"/>
        <family val="2"/>
        <scheme val="minor"/>
      </rPr>
      <t xml:space="preserve"> - MALTA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MQ</t>
    </r>
    <r>
      <rPr>
        <sz val="11"/>
        <color theme="1"/>
        <rFont val="Calibri"/>
        <family val="2"/>
        <scheme val="minor"/>
      </rPr>
      <t xml:space="preserve"> - MARTINIQUE
</t>
    </r>
    <r>
      <rPr>
        <b/>
        <sz val="11"/>
        <color theme="1"/>
        <rFont val="Calibri"/>
        <family val="2"/>
        <scheme val="minor"/>
      </rPr>
      <t>MR</t>
    </r>
    <r>
      <rPr>
        <sz val="11"/>
        <color theme="1"/>
        <rFont val="Calibri"/>
        <family val="2"/>
        <scheme val="minor"/>
      </rPr>
      <t xml:space="preserve"> - MAURITANIA
</t>
    </r>
    <r>
      <rPr>
        <b/>
        <sz val="11"/>
        <color theme="1"/>
        <rFont val="Calibri"/>
        <family val="2"/>
        <scheme val="minor"/>
      </rPr>
      <t>MU</t>
    </r>
    <r>
      <rPr>
        <sz val="11"/>
        <color theme="1"/>
        <rFont val="Calibri"/>
        <family val="2"/>
        <scheme val="minor"/>
      </rPr>
      <t xml:space="preserve"> - MAURITIUS
</t>
    </r>
    <r>
      <rPr>
        <b/>
        <sz val="11"/>
        <color theme="1"/>
        <rFont val="Calibri"/>
        <family val="2"/>
        <scheme val="minor"/>
      </rPr>
      <t>YT</t>
    </r>
    <r>
      <rPr>
        <sz val="11"/>
        <color theme="1"/>
        <rFont val="Calibri"/>
        <family val="2"/>
        <scheme val="minor"/>
      </rPr>
      <t xml:space="preserve"> - MAYOTTE
</t>
    </r>
    <r>
      <rPr>
        <b/>
        <sz val="11"/>
        <color theme="1"/>
        <rFont val="Calibri"/>
        <family val="2"/>
        <scheme val="minor"/>
      </rPr>
      <t>MX</t>
    </r>
    <r>
      <rPr>
        <sz val="11"/>
        <color theme="1"/>
        <rFont val="Calibri"/>
        <family val="2"/>
        <scheme val="minor"/>
      </rPr>
      <t xml:space="preserve"> - MEXICO
</t>
    </r>
    <r>
      <rPr>
        <b/>
        <sz val="11"/>
        <color theme="1"/>
        <rFont val="Calibri"/>
        <family val="2"/>
        <scheme val="minor"/>
      </rPr>
      <t>FM</t>
    </r>
    <r>
      <rPr>
        <sz val="11"/>
        <color theme="1"/>
        <rFont val="Calibri"/>
        <family val="2"/>
        <scheme val="minor"/>
      </rPr>
      <t xml:space="preserve"> - MICRONESIA, FEDERATED STATES OF
</t>
    </r>
    <r>
      <rPr>
        <b/>
        <sz val="11"/>
        <color theme="1"/>
        <rFont val="Calibri"/>
        <family val="2"/>
        <scheme val="minor"/>
      </rPr>
      <t>MD</t>
    </r>
    <r>
      <rPr>
        <sz val="11"/>
        <color theme="1"/>
        <rFont val="Calibri"/>
        <family val="2"/>
        <scheme val="minor"/>
      </rPr>
      <t xml:space="preserve"> - MOLDOVA, REPUBLIC OF
</t>
    </r>
    <r>
      <rPr>
        <b/>
        <sz val="11"/>
        <color theme="1"/>
        <rFont val="Calibri"/>
        <family val="2"/>
        <scheme val="minor"/>
      </rPr>
      <t>MC</t>
    </r>
    <r>
      <rPr>
        <sz val="11"/>
        <color theme="1"/>
        <rFont val="Calibri"/>
        <family val="2"/>
        <scheme val="minor"/>
      </rPr>
      <t xml:space="preserve"> - MONACO
</t>
    </r>
    <r>
      <rPr>
        <b/>
        <sz val="11"/>
        <color theme="1"/>
        <rFont val="Calibri"/>
        <family val="2"/>
        <scheme val="minor"/>
      </rPr>
      <t>MN</t>
    </r>
    <r>
      <rPr>
        <sz val="11"/>
        <color theme="1"/>
        <rFont val="Calibri"/>
        <family val="2"/>
        <scheme val="minor"/>
      </rPr>
      <t xml:space="preserve"> - MONGOLIA
</t>
    </r>
    <r>
      <rPr>
        <b/>
        <sz val="11"/>
        <color theme="1"/>
        <rFont val="Calibri"/>
        <family val="2"/>
        <scheme val="minor"/>
      </rPr>
      <t>ME</t>
    </r>
    <r>
      <rPr>
        <sz val="11"/>
        <color theme="1"/>
        <rFont val="Calibri"/>
        <family val="2"/>
        <scheme val="minor"/>
      </rPr>
      <t xml:space="preserve"> - MONTENEGRO
</t>
    </r>
    <r>
      <rPr>
        <b/>
        <sz val="11"/>
        <color theme="1"/>
        <rFont val="Calibri"/>
        <family val="2"/>
        <scheme val="minor"/>
      </rPr>
      <t>MS</t>
    </r>
    <r>
      <rPr>
        <sz val="11"/>
        <color theme="1"/>
        <rFont val="Calibri"/>
        <family val="2"/>
        <scheme val="minor"/>
      </rPr>
      <t xml:space="preserve"> - MONTSERRAT
</t>
    </r>
    <r>
      <rPr>
        <b/>
        <sz val="11"/>
        <color theme="1"/>
        <rFont val="Calibri"/>
        <family val="2"/>
        <scheme val="minor"/>
      </rPr>
      <t>MA</t>
    </r>
    <r>
      <rPr>
        <sz val="11"/>
        <color theme="1"/>
        <rFont val="Calibri"/>
        <family val="2"/>
        <scheme val="minor"/>
      </rPr>
      <t xml:space="preserve"> - MOROCCO
</t>
    </r>
    <r>
      <rPr>
        <b/>
        <sz val="11"/>
        <color theme="1"/>
        <rFont val="Calibri"/>
        <family val="2"/>
        <scheme val="minor"/>
      </rPr>
      <t>MZ</t>
    </r>
    <r>
      <rPr>
        <sz val="11"/>
        <color theme="1"/>
        <rFont val="Calibri"/>
        <family val="2"/>
        <scheme val="minor"/>
      </rPr>
      <t xml:space="preserve"> - MOZAMBIQUE
</t>
    </r>
    <r>
      <rPr>
        <b/>
        <sz val="11"/>
        <color theme="1"/>
        <rFont val="Calibri"/>
        <family val="2"/>
        <scheme val="minor"/>
      </rPr>
      <t>MM</t>
    </r>
    <r>
      <rPr>
        <sz val="11"/>
        <color theme="1"/>
        <rFont val="Calibri"/>
        <family val="2"/>
        <scheme val="minor"/>
      </rPr>
      <t xml:space="preserve"> - MYANMAR
</t>
    </r>
    <r>
      <rPr>
        <b/>
        <sz val="11"/>
        <color theme="1"/>
        <rFont val="Calibri"/>
        <family val="2"/>
        <scheme val="minor"/>
      </rPr>
      <t>NA</t>
    </r>
    <r>
      <rPr>
        <sz val="11"/>
        <color theme="1"/>
        <rFont val="Calibri"/>
        <family val="2"/>
        <scheme val="minor"/>
      </rPr>
      <t xml:space="preserve"> - NAMIBIA
</t>
    </r>
    <r>
      <rPr>
        <b/>
        <sz val="11"/>
        <color theme="1"/>
        <rFont val="Calibri"/>
        <family val="2"/>
        <scheme val="minor"/>
      </rPr>
      <t>NR</t>
    </r>
    <r>
      <rPr>
        <sz val="11"/>
        <color theme="1"/>
        <rFont val="Calibri"/>
        <family val="2"/>
        <scheme val="minor"/>
      </rPr>
      <t xml:space="preserve"> - NAURU
</t>
    </r>
    <r>
      <rPr>
        <b/>
        <sz val="11"/>
        <color theme="1"/>
        <rFont val="Calibri"/>
        <family val="2"/>
        <scheme val="minor"/>
      </rPr>
      <t>NP</t>
    </r>
    <r>
      <rPr>
        <sz val="11"/>
        <color theme="1"/>
        <rFont val="Calibri"/>
        <family val="2"/>
        <scheme val="minor"/>
      </rPr>
      <t xml:space="preserve"> - NEPAL
</t>
    </r>
    <r>
      <rPr>
        <b/>
        <sz val="11"/>
        <color theme="1"/>
        <rFont val="Calibri"/>
        <family val="2"/>
        <scheme val="minor"/>
      </rPr>
      <t>NL</t>
    </r>
    <r>
      <rPr>
        <sz val="11"/>
        <color theme="1"/>
        <rFont val="Calibri"/>
        <family val="2"/>
        <scheme val="minor"/>
      </rPr>
      <t xml:space="preserve"> - NETHERLANDS
</t>
    </r>
    <r>
      <rPr>
        <b/>
        <sz val="11"/>
        <color theme="1"/>
        <rFont val="Calibri"/>
        <family val="2"/>
        <scheme val="minor"/>
      </rPr>
      <t>NC</t>
    </r>
    <r>
      <rPr>
        <sz val="11"/>
        <color theme="1"/>
        <rFont val="Calibri"/>
        <family val="2"/>
        <scheme val="minor"/>
      </rPr>
      <t xml:space="preserve"> - NEW CALEDONIA
</t>
    </r>
    <r>
      <rPr>
        <b/>
        <sz val="11"/>
        <color theme="1"/>
        <rFont val="Calibri"/>
        <family val="2"/>
        <scheme val="minor"/>
      </rPr>
      <t>NZ</t>
    </r>
    <r>
      <rPr>
        <sz val="11"/>
        <color theme="1"/>
        <rFont val="Calibri"/>
        <family val="2"/>
        <scheme val="minor"/>
      </rPr>
      <t xml:space="preserve"> - NEW ZEALAND
</t>
    </r>
    <r>
      <rPr>
        <b/>
        <sz val="11"/>
        <color theme="1"/>
        <rFont val="Calibri"/>
        <family val="2"/>
        <scheme val="minor"/>
      </rPr>
      <t>NI</t>
    </r>
    <r>
      <rPr>
        <sz val="11"/>
        <color theme="1"/>
        <rFont val="Calibri"/>
        <family val="2"/>
        <scheme val="minor"/>
      </rPr>
      <t xml:space="preserve"> - NICARAGUA
</t>
    </r>
    <r>
      <rPr>
        <b/>
        <sz val="11"/>
        <color theme="1"/>
        <rFont val="Calibri"/>
        <family val="2"/>
        <scheme val="minor"/>
      </rPr>
      <t>NE</t>
    </r>
    <r>
      <rPr>
        <sz val="11"/>
        <color theme="1"/>
        <rFont val="Calibri"/>
        <family val="2"/>
        <scheme val="minor"/>
      </rPr>
      <t xml:space="preserve"> - NIGER
</t>
    </r>
    <r>
      <rPr>
        <b/>
        <sz val="11"/>
        <color theme="1"/>
        <rFont val="Calibri"/>
        <family val="2"/>
        <scheme val="minor"/>
      </rPr>
      <t>NG</t>
    </r>
    <r>
      <rPr>
        <sz val="11"/>
        <color theme="1"/>
        <rFont val="Calibri"/>
        <family val="2"/>
        <scheme val="minor"/>
      </rPr>
      <t xml:space="preserve"> - NIGERIA
</t>
    </r>
    <r>
      <rPr>
        <b/>
        <sz val="11"/>
        <color theme="1"/>
        <rFont val="Calibri"/>
        <family val="2"/>
        <scheme val="minor"/>
      </rPr>
      <t>NU</t>
    </r>
    <r>
      <rPr>
        <sz val="11"/>
        <color theme="1"/>
        <rFont val="Calibri"/>
        <family val="2"/>
        <scheme val="minor"/>
      </rPr>
      <t xml:space="preserve"> - NIUE
</t>
    </r>
    <r>
      <rPr>
        <b/>
        <sz val="11"/>
        <color theme="1"/>
        <rFont val="Calibri"/>
        <family val="2"/>
        <scheme val="minor"/>
      </rPr>
      <t>NF</t>
    </r>
    <r>
      <rPr>
        <sz val="11"/>
        <color theme="1"/>
        <rFont val="Calibri"/>
        <family val="2"/>
        <scheme val="minor"/>
      </rPr>
      <t xml:space="preserve"> - NORFOLK ISLAND
</t>
    </r>
    <r>
      <rPr>
        <b/>
        <sz val="11"/>
        <color theme="1"/>
        <rFont val="Calibri"/>
        <family val="2"/>
        <scheme val="minor"/>
      </rPr>
      <t>MP</t>
    </r>
    <r>
      <rPr>
        <sz val="11"/>
        <color theme="1"/>
        <rFont val="Calibri"/>
        <family val="2"/>
        <scheme val="minor"/>
      </rPr>
      <t xml:space="preserve"> - NORTHERN MARIANA ISLANDS
</t>
    </r>
    <r>
      <rPr>
        <b/>
        <sz val="11"/>
        <color theme="1"/>
        <rFont val="Calibri"/>
        <family val="2"/>
        <scheme val="minor"/>
      </rPr>
      <t>NO</t>
    </r>
    <r>
      <rPr>
        <sz val="11"/>
        <color theme="1"/>
        <rFont val="Calibri"/>
        <family val="2"/>
        <scheme val="minor"/>
      </rPr>
      <t xml:space="preserve"> - NORWAY
</t>
    </r>
    <r>
      <rPr>
        <b/>
        <sz val="11"/>
        <color theme="1"/>
        <rFont val="Calibri"/>
        <family val="2"/>
        <scheme val="minor"/>
      </rPr>
      <t>OM</t>
    </r>
    <r>
      <rPr>
        <sz val="11"/>
        <color theme="1"/>
        <rFont val="Calibri"/>
        <family val="2"/>
        <scheme val="minor"/>
      </rPr>
      <t xml:space="preserve"> - OMAN
</t>
    </r>
    <r>
      <rPr>
        <b/>
        <sz val="11"/>
        <color theme="1"/>
        <rFont val="Calibri"/>
        <family val="2"/>
        <scheme val="minor"/>
      </rPr>
      <t>PK</t>
    </r>
    <r>
      <rPr>
        <sz val="11"/>
        <color theme="1"/>
        <rFont val="Calibri"/>
        <family val="2"/>
        <scheme val="minor"/>
      </rPr>
      <t xml:space="preserve"> - PAKISTAN
</t>
    </r>
    <r>
      <rPr>
        <b/>
        <sz val="11"/>
        <color theme="1"/>
        <rFont val="Calibri"/>
        <family val="2"/>
        <scheme val="minor"/>
      </rPr>
      <t>PW</t>
    </r>
    <r>
      <rPr>
        <sz val="11"/>
        <color theme="1"/>
        <rFont val="Calibri"/>
        <family val="2"/>
        <scheme val="minor"/>
      </rPr>
      <t xml:space="preserve"> - PALAU
</t>
    </r>
    <r>
      <rPr>
        <b/>
        <sz val="11"/>
        <color theme="1"/>
        <rFont val="Calibri"/>
        <family val="2"/>
        <scheme val="minor"/>
      </rPr>
      <t>PS</t>
    </r>
    <r>
      <rPr>
        <sz val="11"/>
        <color theme="1"/>
        <rFont val="Calibri"/>
        <family val="2"/>
        <scheme val="minor"/>
      </rPr>
      <t xml:space="preserve"> - PALESTINIAN TERRITORY, OCCUPIED
</t>
    </r>
    <r>
      <rPr>
        <b/>
        <sz val="11"/>
        <color theme="1"/>
        <rFont val="Calibri"/>
        <family val="2"/>
        <scheme val="minor"/>
      </rPr>
      <t>PA</t>
    </r>
    <r>
      <rPr>
        <sz val="11"/>
        <color theme="1"/>
        <rFont val="Calibri"/>
        <family val="2"/>
        <scheme val="minor"/>
      </rPr>
      <t xml:space="preserve"> - PANAMA
</t>
    </r>
    <r>
      <rPr>
        <b/>
        <sz val="11"/>
        <color theme="1"/>
        <rFont val="Calibri"/>
        <family val="2"/>
        <scheme val="minor"/>
      </rPr>
      <t>PG</t>
    </r>
    <r>
      <rPr>
        <sz val="11"/>
        <color theme="1"/>
        <rFont val="Calibri"/>
        <family val="2"/>
        <scheme val="minor"/>
      </rPr>
      <t xml:space="preserve"> - PAPUA NEW GUINEA
</t>
    </r>
    <r>
      <rPr>
        <b/>
        <sz val="11"/>
        <color theme="1"/>
        <rFont val="Calibri"/>
        <family val="2"/>
        <scheme val="minor"/>
      </rPr>
      <t>PY</t>
    </r>
    <r>
      <rPr>
        <sz val="11"/>
        <color theme="1"/>
        <rFont val="Calibri"/>
        <family val="2"/>
        <scheme val="minor"/>
      </rPr>
      <t xml:space="preserve"> - PARAGUAY
</t>
    </r>
    <r>
      <rPr>
        <b/>
        <sz val="11"/>
        <color theme="1"/>
        <rFont val="Calibri"/>
        <family val="2"/>
        <scheme val="minor"/>
      </rPr>
      <t>PE</t>
    </r>
    <r>
      <rPr>
        <sz val="11"/>
        <color theme="1"/>
        <rFont val="Calibri"/>
        <family val="2"/>
        <scheme val="minor"/>
      </rPr>
      <t xml:space="preserve"> - PERU
</t>
    </r>
    <r>
      <rPr>
        <b/>
        <sz val="11"/>
        <color theme="1"/>
        <rFont val="Calibri"/>
        <family val="2"/>
        <scheme val="minor"/>
      </rPr>
      <t>PH</t>
    </r>
    <r>
      <rPr>
        <sz val="11"/>
        <color theme="1"/>
        <rFont val="Calibri"/>
        <family val="2"/>
        <scheme val="minor"/>
      </rPr>
      <t xml:space="preserve"> - PHILIPPINES
</t>
    </r>
    <r>
      <rPr>
        <b/>
        <sz val="11"/>
        <color theme="1"/>
        <rFont val="Calibri"/>
        <family val="2"/>
        <scheme val="minor"/>
      </rPr>
      <t>PN</t>
    </r>
    <r>
      <rPr>
        <sz val="11"/>
        <color theme="1"/>
        <rFont val="Calibri"/>
        <family val="2"/>
        <scheme val="minor"/>
      </rPr>
      <t xml:space="preserve"> - PITCAIRN
</t>
    </r>
    <r>
      <rPr>
        <b/>
        <sz val="11"/>
        <color theme="1"/>
        <rFont val="Calibri"/>
        <family val="2"/>
        <scheme val="minor"/>
      </rPr>
      <t>PL</t>
    </r>
    <r>
      <rPr>
        <sz val="11"/>
        <color theme="1"/>
        <rFont val="Calibri"/>
        <family val="2"/>
        <scheme val="minor"/>
      </rPr>
      <t xml:space="preserve"> - POLAND
</t>
    </r>
    <r>
      <rPr>
        <b/>
        <sz val="11"/>
        <color theme="1"/>
        <rFont val="Calibri"/>
        <family val="2"/>
        <scheme val="minor"/>
      </rPr>
      <t>PT</t>
    </r>
    <r>
      <rPr>
        <sz val="11"/>
        <color theme="1"/>
        <rFont val="Calibri"/>
        <family val="2"/>
        <scheme val="minor"/>
      </rPr>
      <t xml:space="preserve"> - PORTUGAL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QA</t>
    </r>
    <r>
      <rPr>
        <sz val="11"/>
        <color theme="1"/>
        <rFont val="Calibri"/>
        <family val="2"/>
        <scheme val="minor"/>
      </rPr>
      <t xml:space="preserve"> - QATAR
</t>
    </r>
    <r>
      <rPr>
        <b/>
        <sz val="11"/>
        <color theme="1"/>
        <rFont val="Calibri"/>
        <family val="2"/>
        <scheme val="minor"/>
      </rPr>
      <t>RE</t>
    </r>
    <r>
      <rPr>
        <sz val="11"/>
        <color theme="1"/>
        <rFont val="Calibri"/>
        <family val="2"/>
        <scheme val="minor"/>
      </rPr>
      <t xml:space="preserve"> - RÉUNION
</t>
    </r>
    <r>
      <rPr>
        <b/>
        <sz val="11"/>
        <color theme="1"/>
        <rFont val="Calibri"/>
        <family val="2"/>
        <scheme val="minor"/>
      </rPr>
      <t>RO</t>
    </r>
    <r>
      <rPr>
        <sz val="11"/>
        <color theme="1"/>
        <rFont val="Calibri"/>
        <family val="2"/>
        <scheme val="minor"/>
      </rPr>
      <t xml:space="preserve"> - ROMANIA
</t>
    </r>
    <r>
      <rPr>
        <b/>
        <sz val="11"/>
        <color theme="1"/>
        <rFont val="Calibri"/>
        <family val="2"/>
        <scheme val="minor"/>
      </rPr>
      <t>RU</t>
    </r>
    <r>
      <rPr>
        <sz val="11"/>
        <color theme="1"/>
        <rFont val="Calibri"/>
        <family val="2"/>
        <scheme val="minor"/>
      </rPr>
      <t xml:space="preserve"> - RUSSIAN FEDERATION
</t>
    </r>
    <r>
      <rPr>
        <b/>
        <sz val="11"/>
        <color theme="1"/>
        <rFont val="Calibri"/>
        <family val="2"/>
        <scheme val="minor"/>
      </rPr>
      <t>RW</t>
    </r>
    <r>
      <rPr>
        <sz val="11"/>
        <color theme="1"/>
        <rFont val="Calibri"/>
        <family val="2"/>
        <scheme val="minor"/>
      </rPr>
      <t xml:space="preserve"> - RWANDA
</t>
    </r>
    <r>
      <rPr>
        <b/>
        <sz val="11"/>
        <color theme="1"/>
        <rFont val="Calibri"/>
        <family val="2"/>
        <scheme val="minor"/>
      </rPr>
      <t>BL</t>
    </r>
    <r>
      <rPr>
        <sz val="11"/>
        <color theme="1"/>
        <rFont val="Calibri"/>
        <family val="2"/>
        <scheme val="minor"/>
      </rPr>
      <t xml:space="preserve"> - SAINT BARTHÉLEMY
</t>
    </r>
    <r>
      <rPr>
        <b/>
        <sz val="11"/>
        <color theme="1"/>
        <rFont val="Calibri"/>
        <family val="2"/>
        <scheme val="minor"/>
      </rPr>
      <t>SH</t>
    </r>
    <r>
      <rPr>
        <sz val="11"/>
        <color theme="1"/>
        <rFont val="Calibri"/>
        <family val="2"/>
        <scheme val="minor"/>
      </rPr>
      <t xml:space="preserve"> - SAINT HELENA, ASCENSION AND TRISTAN DA CUNHA
</t>
    </r>
    <r>
      <rPr>
        <b/>
        <sz val="11"/>
        <color theme="1"/>
        <rFont val="Calibri"/>
        <family val="2"/>
        <scheme val="minor"/>
      </rPr>
      <t>KN</t>
    </r>
    <r>
      <rPr>
        <sz val="11"/>
        <color theme="1"/>
        <rFont val="Calibri"/>
        <family val="2"/>
        <scheme val="minor"/>
      </rPr>
      <t xml:space="preserve"> - SAINT KITTS AND NEVIS
</t>
    </r>
    <r>
      <rPr>
        <b/>
        <sz val="11"/>
        <color theme="1"/>
        <rFont val="Calibri"/>
        <family val="2"/>
        <scheme val="minor"/>
      </rPr>
      <t>LC</t>
    </r>
    <r>
      <rPr>
        <sz val="11"/>
        <color theme="1"/>
        <rFont val="Calibri"/>
        <family val="2"/>
        <scheme val="minor"/>
      </rPr>
      <t xml:space="preserve"> - SAINT LUCIA
</t>
    </r>
    <r>
      <rPr>
        <b/>
        <sz val="11"/>
        <color theme="1"/>
        <rFont val="Calibri"/>
        <family val="2"/>
        <scheme val="minor"/>
      </rPr>
      <t>MF</t>
    </r>
    <r>
      <rPr>
        <sz val="11"/>
        <color theme="1"/>
        <rFont val="Calibri"/>
        <family val="2"/>
        <scheme val="minor"/>
      </rPr>
      <t xml:space="preserve"> - SAINT MARTIN (FRENCH PART)
</t>
    </r>
    <r>
      <rPr>
        <b/>
        <sz val="11"/>
        <color theme="1"/>
        <rFont val="Calibri"/>
        <family val="2"/>
        <scheme val="minor"/>
      </rPr>
      <t>PM</t>
    </r>
    <r>
      <rPr>
        <sz val="11"/>
        <color theme="1"/>
        <rFont val="Calibri"/>
        <family val="2"/>
        <scheme val="minor"/>
      </rPr>
      <t xml:space="preserve"> - SAINT PIERRE AND MIQUELON
</t>
    </r>
    <r>
      <rPr>
        <b/>
        <sz val="11"/>
        <color theme="1"/>
        <rFont val="Calibri"/>
        <family val="2"/>
        <scheme val="minor"/>
      </rPr>
      <t>VC</t>
    </r>
    <r>
      <rPr>
        <sz val="11"/>
        <color theme="1"/>
        <rFont val="Calibri"/>
        <family val="2"/>
        <scheme val="minor"/>
      </rPr>
      <t xml:space="preserve"> - SAINT VINCENT AND THE GRENADINES
</t>
    </r>
    <r>
      <rPr>
        <b/>
        <sz val="11"/>
        <color theme="1"/>
        <rFont val="Calibri"/>
        <family val="2"/>
        <scheme val="minor"/>
      </rPr>
      <t>WS</t>
    </r>
    <r>
      <rPr>
        <sz val="11"/>
        <color theme="1"/>
        <rFont val="Calibri"/>
        <family val="2"/>
        <scheme val="minor"/>
      </rPr>
      <t xml:space="preserve"> - SAMOA
</t>
    </r>
    <r>
      <rPr>
        <b/>
        <sz val="11"/>
        <color theme="1"/>
        <rFont val="Calibri"/>
        <family val="2"/>
        <scheme val="minor"/>
      </rPr>
      <t>SM</t>
    </r>
    <r>
      <rPr>
        <sz val="11"/>
        <color theme="1"/>
        <rFont val="Calibri"/>
        <family val="2"/>
        <scheme val="minor"/>
      </rPr>
      <t xml:space="preserve"> - SAN MARINO
</t>
    </r>
    <r>
      <rPr>
        <b/>
        <sz val="11"/>
        <color theme="1"/>
        <rFont val="Calibri"/>
        <family val="2"/>
        <scheme val="minor"/>
      </rPr>
      <t>ST</t>
    </r>
    <r>
      <rPr>
        <sz val="11"/>
        <color theme="1"/>
        <rFont val="Calibri"/>
        <family val="2"/>
        <scheme val="minor"/>
      </rPr>
      <t xml:space="preserve"> - SAO TOME AND PRINCIPE
</t>
    </r>
    <r>
      <rPr>
        <b/>
        <sz val="11"/>
        <color theme="1"/>
        <rFont val="Calibri"/>
        <family val="2"/>
        <scheme val="minor"/>
      </rPr>
      <t>SA</t>
    </r>
    <r>
      <rPr>
        <sz val="11"/>
        <color theme="1"/>
        <rFont val="Calibri"/>
        <family val="2"/>
        <scheme val="minor"/>
      </rPr>
      <t xml:space="preserve"> - SAUDI ARABIA
</t>
    </r>
    <r>
      <rPr>
        <b/>
        <sz val="11"/>
        <color theme="1"/>
        <rFont val="Calibri"/>
        <family val="2"/>
        <scheme val="minor"/>
      </rPr>
      <t>SN</t>
    </r>
    <r>
      <rPr>
        <sz val="11"/>
        <color theme="1"/>
        <rFont val="Calibri"/>
        <family val="2"/>
        <scheme val="minor"/>
      </rPr>
      <t xml:space="preserve"> - SENEGAL
</t>
    </r>
    <r>
      <rPr>
        <b/>
        <sz val="11"/>
        <color theme="1"/>
        <rFont val="Calibri"/>
        <family val="2"/>
        <scheme val="minor"/>
      </rPr>
      <t>RS</t>
    </r>
    <r>
      <rPr>
        <sz val="11"/>
        <color theme="1"/>
        <rFont val="Calibri"/>
        <family val="2"/>
        <scheme val="minor"/>
      </rPr>
      <t xml:space="preserve"> - SERBIA
</t>
    </r>
    <r>
      <rPr>
        <b/>
        <sz val="11"/>
        <color theme="1"/>
        <rFont val="Calibri"/>
        <family val="2"/>
        <scheme val="minor"/>
      </rPr>
      <t>SC</t>
    </r>
    <r>
      <rPr>
        <sz val="11"/>
        <color theme="1"/>
        <rFont val="Calibri"/>
        <family val="2"/>
        <scheme val="minor"/>
      </rPr>
      <t xml:space="preserve"> - SEYCHELLES
</t>
    </r>
    <r>
      <rPr>
        <b/>
        <sz val="11"/>
        <color theme="1"/>
        <rFont val="Calibri"/>
        <family val="2"/>
        <scheme val="minor"/>
      </rPr>
      <t>SL</t>
    </r>
    <r>
      <rPr>
        <sz val="11"/>
        <color theme="1"/>
        <rFont val="Calibri"/>
        <family val="2"/>
        <scheme val="minor"/>
      </rPr>
      <t xml:space="preserve"> - SIERRA LEONE
</t>
    </r>
    <r>
      <rPr>
        <b/>
        <sz val="11"/>
        <color theme="1"/>
        <rFont val="Calibri"/>
        <family val="2"/>
        <scheme val="minor"/>
      </rPr>
      <t>SG</t>
    </r>
    <r>
      <rPr>
        <sz val="11"/>
        <color theme="1"/>
        <rFont val="Calibri"/>
        <family val="2"/>
        <scheme val="minor"/>
      </rPr>
      <t xml:space="preserve"> - SINGAPORE
</t>
    </r>
    <r>
      <rPr>
        <b/>
        <sz val="11"/>
        <color theme="1"/>
        <rFont val="Calibri"/>
        <family val="2"/>
        <scheme val="minor"/>
      </rPr>
      <t>SX</t>
    </r>
    <r>
      <rPr>
        <sz val="11"/>
        <color theme="1"/>
        <rFont val="Calibri"/>
        <family val="2"/>
        <scheme val="minor"/>
      </rPr>
      <t xml:space="preserve"> - SINT MAARTEN (DUTCH PART)
</t>
    </r>
    <r>
      <rPr>
        <b/>
        <sz val="11"/>
        <color theme="1"/>
        <rFont val="Calibri"/>
        <family val="2"/>
        <scheme val="minor"/>
      </rPr>
      <t>SK</t>
    </r>
    <r>
      <rPr>
        <sz val="11"/>
        <color theme="1"/>
        <rFont val="Calibri"/>
        <family val="2"/>
        <scheme val="minor"/>
      </rPr>
      <t xml:space="preserve"> - SLOVAKIA
</t>
    </r>
    <r>
      <rPr>
        <b/>
        <sz val="11"/>
        <color theme="1"/>
        <rFont val="Calibri"/>
        <family val="2"/>
        <scheme val="minor"/>
      </rPr>
      <t>SI</t>
    </r>
    <r>
      <rPr>
        <sz val="11"/>
        <color theme="1"/>
        <rFont val="Calibri"/>
        <family val="2"/>
        <scheme val="minor"/>
      </rPr>
      <t xml:space="preserve"> - SLOVENIA
</t>
    </r>
    <r>
      <rPr>
        <b/>
        <sz val="11"/>
        <color theme="1"/>
        <rFont val="Calibri"/>
        <family val="2"/>
        <scheme val="minor"/>
      </rPr>
      <t>SB</t>
    </r>
    <r>
      <rPr>
        <sz val="11"/>
        <color theme="1"/>
        <rFont val="Calibri"/>
        <family val="2"/>
        <scheme val="minor"/>
      </rPr>
      <t xml:space="preserve"> - SOLOMON ISLANDS
</t>
    </r>
    <r>
      <rPr>
        <b/>
        <sz val="11"/>
        <color theme="1"/>
        <rFont val="Calibri"/>
        <family val="2"/>
        <scheme val="minor"/>
      </rPr>
      <t>SO</t>
    </r>
    <r>
      <rPr>
        <sz val="11"/>
        <color theme="1"/>
        <rFont val="Calibri"/>
        <family val="2"/>
        <scheme val="minor"/>
      </rPr>
      <t xml:space="preserve"> - SOMALIA
</t>
    </r>
    <r>
      <rPr>
        <b/>
        <sz val="11"/>
        <color theme="1"/>
        <rFont val="Calibri"/>
        <family val="2"/>
        <scheme val="minor"/>
      </rPr>
      <t>ZA</t>
    </r>
    <r>
      <rPr>
        <sz val="11"/>
        <color theme="1"/>
        <rFont val="Calibri"/>
        <family val="2"/>
        <scheme val="minor"/>
      </rPr>
      <t xml:space="preserve"> - SOUTH AFRICA
</t>
    </r>
    <r>
      <rPr>
        <b/>
        <sz val="11"/>
        <color theme="1"/>
        <rFont val="Calibri"/>
        <family val="2"/>
        <scheme val="minor"/>
      </rPr>
      <t>GS</t>
    </r>
    <r>
      <rPr>
        <sz val="11"/>
        <color theme="1"/>
        <rFont val="Calibri"/>
        <family val="2"/>
        <scheme val="minor"/>
      </rPr>
      <t xml:space="preserve"> - SOUTH GEORGIA AND THE SOUTH SANDWICH ISLANDS
</t>
    </r>
    <r>
      <rPr>
        <b/>
        <sz val="11"/>
        <color theme="1"/>
        <rFont val="Calibri"/>
        <family val="2"/>
        <scheme val="minor"/>
      </rPr>
      <t>SS</t>
    </r>
    <r>
      <rPr>
        <sz val="11"/>
        <color theme="1"/>
        <rFont val="Calibri"/>
        <family val="2"/>
        <scheme val="minor"/>
      </rPr>
      <t xml:space="preserve"> - SOUTH SUDAN
</t>
    </r>
    <r>
      <rPr>
        <b/>
        <sz val="11"/>
        <color theme="1"/>
        <rFont val="Calibri"/>
        <family val="2"/>
        <scheme val="minor"/>
      </rPr>
      <t>ES</t>
    </r>
    <r>
      <rPr>
        <sz val="11"/>
        <color theme="1"/>
        <rFont val="Calibri"/>
        <family val="2"/>
        <scheme val="minor"/>
      </rPr>
      <t xml:space="preserve"> - SPAIN
</t>
    </r>
    <r>
      <rPr>
        <b/>
        <sz val="11"/>
        <color theme="1"/>
        <rFont val="Calibri"/>
        <family val="2"/>
        <scheme val="minor"/>
      </rPr>
      <t>LK</t>
    </r>
    <r>
      <rPr>
        <sz val="11"/>
        <color theme="1"/>
        <rFont val="Calibri"/>
        <family val="2"/>
        <scheme val="minor"/>
      </rPr>
      <t xml:space="preserve"> - SRI LANKA
</t>
    </r>
    <r>
      <rPr>
        <b/>
        <sz val="11"/>
        <color theme="1"/>
        <rFont val="Calibri"/>
        <family val="2"/>
        <scheme val="minor"/>
      </rPr>
      <t>SD</t>
    </r>
    <r>
      <rPr>
        <sz val="11"/>
        <color theme="1"/>
        <rFont val="Calibri"/>
        <family val="2"/>
        <scheme val="minor"/>
      </rPr>
      <t xml:space="preserve"> - SUDAN
</t>
    </r>
    <r>
      <rPr>
        <b/>
        <sz val="11"/>
        <color theme="1"/>
        <rFont val="Calibri"/>
        <family val="2"/>
        <scheme val="minor"/>
      </rPr>
      <t>SR</t>
    </r>
    <r>
      <rPr>
        <sz val="11"/>
        <color theme="1"/>
        <rFont val="Calibri"/>
        <family val="2"/>
        <scheme val="minor"/>
      </rPr>
      <t xml:space="preserve"> - SURINAME
</t>
    </r>
    <r>
      <rPr>
        <b/>
        <sz val="11"/>
        <color theme="1"/>
        <rFont val="Calibri"/>
        <family val="2"/>
        <scheme val="minor"/>
      </rPr>
      <t>SJ</t>
    </r>
    <r>
      <rPr>
        <sz val="11"/>
        <color theme="1"/>
        <rFont val="Calibri"/>
        <family val="2"/>
        <scheme val="minor"/>
      </rPr>
      <t xml:space="preserve"> - SVALBARD AND JAN MAYEN
</t>
    </r>
    <r>
      <rPr>
        <b/>
        <sz val="11"/>
        <color theme="1"/>
        <rFont val="Calibri"/>
        <family val="2"/>
        <scheme val="minor"/>
      </rPr>
      <t>SZ</t>
    </r>
    <r>
      <rPr>
        <sz val="11"/>
        <color theme="1"/>
        <rFont val="Calibri"/>
        <family val="2"/>
        <scheme val="minor"/>
      </rPr>
      <t xml:space="preserve"> - SWAZILAND
</t>
    </r>
    <r>
      <rPr>
        <b/>
        <sz val="11"/>
        <color theme="1"/>
        <rFont val="Calibri"/>
        <family val="2"/>
        <scheme val="minor"/>
      </rPr>
      <t>SE</t>
    </r>
    <r>
      <rPr>
        <sz val="11"/>
        <color theme="1"/>
        <rFont val="Calibri"/>
        <family val="2"/>
        <scheme val="minor"/>
      </rPr>
      <t xml:space="preserve"> - SWEDEN
</t>
    </r>
    <r>
      <rPr>
        <b/>
        <sz val="11"/>
        <color theme="1"/>
        <rFont val="Calibri"/>
        <family val="2"/>
        <scheme val="minor"/>
      </rPr>
      <t>CH</t>
    </r>
    <r>
      <rPr>
        <sz val="11"/>
        <color theme="1"/>
        <rFont val="Calibri"/>
        <family val="2"/>
        <scheme val="minor"/>
      </rPr>
      <t xml:space="preserve"> - SWITZERLAND
</t>
    </r>
    <r>
      <rPr>
        <b/>
        <sz val="11"/>
        <color theme="1"/>
        <rFont val="Calibri"/>
        <family val="2"/>
        <scheme val="minor"/>
      </rPr>
      <t>SY</t>
    </r>
    <r>
      <rPr>
        <sz val="11"/>
        <color theme="1"/>
        <rFont val="Calibri"/>
        <family val="2"/>
        <scheme val="minor"/>
      </rPr>
      <t xml:space="preserve"> - SYRIAN ARAB REPUBLIC
</t>
    </r>
    <r>
      <rPr>
        <b/>
        <sz val="11"/>
        <color theme="1"/>
        <rFont val="Calibri"/>
        <family val="2"/>
        <scheme val="minor"/>
      </rPr>
      <t>TW</t>
    </r>
    <r>
      <rPr>
        <sz val="11"/>
        <color theme="1"/>
        <rFont val="Calibri"/>
        <family val="2"/>
        <scheme val="minor"/>
      </rPr>
      <t xml:space="preserve"> - TAIWAN
</t>
    </r>
    <r>
      <rPr>
        <b/>
        <sz val="11"/>
        <color theme="1"/>
        <rFont val="Calibri"/>
        <family val="2"/>
        <scheme val="minor"/>
      </rPr>
      <t>TJ</t>
    </r>
    <r>
      <rPr>
        <sz val="11"/>
        <color theme="1"/>
        <rFont val="Calibri"/>
        <family val="2"/>
        <scheme val="minor"/>
      </rPr>
      <t xml:space="preserve"> - TAJIKISTAN
</t>
    </r>
    <r>
      <rPr>
        <b/>
        <sz val="11"/>
        <color theme="1"/>
        <rFont val="Calibri"/>
        <family val="2"/>
        <scheme val="minor"/>
      </rPr>
      <t>TZ</t>
    </r>
    <r>
      <rPr>
        <sz val="11"/>
        <color theme="1"/>
        <rFont val="Calibri"/>
        <family val="2"/>
        <scheme val="minor"/>
      </rPr>
      <t xml:space="preserve"> - TANZANIA, UNITED REPUBLIC OF
</t>
    </r>
    <r>
      <rPr>
        <b/>
        <sz val="11"/>
        <color theme="1"/>
        <rFont val="Calibri"/>
        <family val="2"/>
        <scheme val="minor"/>
      </rPr>
      <t>TH</t>
    </r>
    <r>
      <rPr>
        <sz val="11"/>
        <color theme="1"/>
        <rFont val="Calibri"/>
        <family val="2"/>
        <scheme val="minor"/>
      </rPr>
      <t xml:space="preserve"> - THAILAND
</t>
    </r>
    <r>
      <rPr>
        <b/>
        <sz val="11"/>
        <color theme="1"/>
        <rFont val="Calibri"/>
        <family val="2"/>
        <scheme val="minor"/>
      </rPr>
      <t>TL</t>
    </r>
    <r>
      <rPr>
        <sz val="11"/>
        <color theme="1"/>
        <rFont val="Calibri"/>
        <family val="2"/>
        <scheme val="minor"/>
      </rPr>
      <t xml:space="preserve"> - TIMOR-LESTE
</t>
    </r>
    <r>
      <rPr>
        <b/>
        <sz val="11"/>
        <color theme="1"/>
        <rFont val="Calibri"/>
        <family val="2"/>
        <scheme val="minor"/>
      </rPr>
      <t>TG</t>
    </r>
    <r>
      <rPr>
        <sz val="11"/>
        <color theme="1"/>
        <rFont val="Calibri"/>
        <family val="2"/>
        <scheme val="minor"/>
      </rPr>
      <t xml:space="preserve"> - TOGO
</t>
    </r>
    <r>
      <rPr>
        <b/>
        <sz val="11"/>
        <color theme="1"/>
        <rFont val="Calibri"/>
        <family val="2"/>
        <scheme val="minor"/>
      </rPr>
      <t>TK</t>
    </r>
    <r>
      <rPr>
        <sz val="11"/>
        <color theme="1"/>
        <rFont val="Calibri"/>
        <family val="2"/>
        <scheme val="minor"/>
      </rPr>
      <t xml:space="preserve"> - TOKELAU
</t>
    </r>
    <r>
      <rPr>
        <b/>
        <sz val="11"/>
        <color theme="1"/>
        <rFont val="Calibri"/>
        <family val="2"/>
        <scheme val="minor"/>
      </rPr>
      <t>TO</t>
    </r>
    <r>
      <rPr>
        <sz val="11"/>
        <color theme="1"/>
        <rFont val="Calibri"/>
        <family val="2"/>
        <scheme val="minor"/>
      </rPr>
      <t xml:space="preserve"> - TONGA
</t>
    </r>
    <r>
      <rPr>
        <b/>
        <sz val="11"/>
        <color theme="1"/>
        <rFont val="Calibri"/>
        <family val="2"/>
        <scheme val="minor"/>
      </rPr>
      <t>TT</t>
    </r>
    <r>
      <rPr>
        <sz val="11"/>
        <color theme="1"/>
        <rFont val="Calibri"/>
        <family val="2"/>
        <scheme val="minor"/>
      </rPr>
      <t xml:space="preserve"> - TRINIDAD AND TOBAGO
</t>
    </r>
    <r>
      <rPr>
        <b/>
        <sz val="11"/>
        <color theme="1"/>
        <rFont val="Calibri"/>
        <family val="2"/>
        <scheme val="minor"/>
      </rPr>
      <t>TN</t>
    </r>
    <r>
      <rPr>
        <sz val="11"/>
        <color theme="1"/>
        <rFont val="Calibri"/>
        <family val="2"/>
        <scheme val="minor"/>
      </rPr>
      <t xml:space="preserve"> - TUNISIA
</t>
    </r>
    <r>
      <rPr>
        <b/>
        <sz val="11"/>
        <color theme="1"/>
        <rFont val="Calibri"/>
        <family val="2"/>
        <scheme val="minor"/>
      </rPr>
      <t>TR</t>
    </r>
    <r>
      <rPr>
        <sz val="11"/>
        <color theme="1"/>
        <rFont val="Calibri"/>
        <family val="2"/>
        <scheme val="minor"/>
      </rPr>
      <t xml:space="preserve"> - TURKEY
</t>
    </r>
    <r>
      <rPr>
        <b/>
        <sz val="11"/>
        <color theme="1"/>
        <rFont val="Calibri"/>
        <family val="2"/>
        <scheme val="minor"/>
      </rPr>
      <t>TM</t>
    </r>
    <r>
      <rPr>
        <sz val="11"/>
        <color theme="1"/>
        <rFont val="Calibri"/>
        <family val="2"/>
        <scheme val="minor"/>
      </rPr>
      <t xml:space="preserve"> - TURKMENISTAN
</t>
    </r>
    <r>
      <rPr>
        <b/>
        <sz val="11"/>
        <color theme="1"/>
        <rFont val="Calibri"/>
        <family val="2"/>
        <scheme val="minor"/>
      </rPr>
      <t>TC</t>
    </r>
    <r>
      <rPr>
        <sz val="11"/>
        <color theme="1"/>
        <rFont val="Calibri"/>
        <family val="2"/>
        <scheme val="minor"/>
      </rPr>
      <t xml:space="preserve"> - TURKS AND CAICOS ISLANDS
</t>
    </r>
    <r>
      <rPr>
        <b/>
        <sz val="11"/>
        <color theme="1"/>
        <rFont val="Calibri"/>
        <family val="2"/>
        <scheme val="minor"/>
      </rPr>
      <t>TV</t>
    </r>
    <r>
      <rPr>
        <sz val="11"/>
        <color theme="1"/>
        <rFont val="Calibri"/>
        <family val="2"/>
        <scheme val="minor"/>
      </rPr>
      <t xml:space="preserve"> - TUVALU
</t>
    </r>
    <r>
      <rPr>
        <b/>
        <sz val="11"/>
        <color theme="1"/>
        <rFont val="Calibri"/>
        <family val="2"/>
        <scheme val="minor"/>
      </rPr>
      <t>UG</t>
    </r>
    <r>
      <rPr>
        <sz val="11"/>
        <color theme="1"/>
        <rFont val="Calibri"/>
        <family val="2"/>
        <scheme val="minor"/>
      </rPr>
      <t xml:space="preserve"> - UGANDA
</t>
    </r>
    <r>
      <rPr>
        <b/>
        <sz val="11"/>
        <color theme="1"/>
        <rFont val="Calibri"/>
        <family val="2"/>
        <scheme val="minor"/>
      </rPr>
      <t>UA</t>
    </r>
    <r>
      <rPr>
        <sz val="11"/>
        <color theme="1"/>
        <rFont val="Calibri"/>
        <family val="2"/>
        <scheme val="minor"/>
      </rPr>
      <t xml:space="preserve"> - UKRAINE
</t>
    </r>
    <r>
      <rPr>
        <b/>
        <sz val="11"/>
        <color theme="1"/>
        <rFont val="Calibri"/>
        <family val="2"/>
        <scheme val="minor"/>
      </rPr>
      <t>AE</t>
    </r>
    <r>
      <rPr>
        <sz val="11"/>
        <color theme="1"/>
        <rFont val="Calibri"/>
        <family val="2"/>
        <scheme val="minor"/>
      </rPr>
      <t xml:space="preserve"> - UNITED ARAB EMIRATES
</t>
    </r>
    <r>
      <rPr>
        <b/>
        <sz val="11"/>
        <color theme="1"/>
        <rFont val="Calibri"/>
        <family val="2"/>
        <scheme val="minor"/>
      </rPr>
      <t>GB</t>
    </r>
    <r>
      <rPr>
        <sz val="11"/>
        <color theme="1"/>
        <rFont val="Calibri"/>
        <family val="2"/>
        <scheme val="minor"/>
      </rPr>
      <t xml:space="preserve"> - UNITED KINGDOM
</t>
    </r>
    <r>
      <rPr>
        <b/>
        <sz val="11"/>
        <color theme="1"/>
        <rFont val="Calibri"/>
        <family val="2"/>
        <scheme val="minor"/>
      </rPr>
      <t>US</t>
    </r>
    <r>
      <rPr>
        <sz val="11"/>
        <color theme="1"/>
        <rFont val="Calibri"/>
        <family val="2"/>
        <scheme val="minor"/>
      </rPr>
      <t xml:space="preserve"> - UNITED STATES
</t>
    </r>
    <r>
      <rPr>
        <b/>
        <sz val="11"/>
        <color theme="1"/>
        <rFont val="Calibri"/>
        <family val="2"/>
        <scheme val="minor"/>
      </rPr>
      <t>UM</t>
    </r>
    <r>
      <rPr>
        <sz val="11"/>
        <color theme="1"/>
        <rFont val="Calibri"/>
        <family val="2"/>
        <scheme val="minor"/>
      </rPr>
      <t xml:space="preserve"> - UNITED STATES MINOR OUTLYING ISLANDS
</t>
    </r>
    <r>
      <rPr>
        <b/>
        <sz val="11"/>
        <color theme="1"/>
        <rFont val="Calibri"/>
        <family val="2"/>
        <scheme val="minor"/>
      </rPr>
      <t>UY</t>
    </r>
    <r>
      <rPr>
        <sz val="11"/>
        <color theme="1"/>
        <rFont val="Calibri"/>
        <family val="2"/>
        <scheme val="minor"/>
      </rPr>
      <t xml:space="preserve"> - URUGUAY
</t>
    </r>
    <r>
      <rPr>
        <b/>
        <sz val="11"/>
        <color theme="1"/>
        <rFont val="Calibri"/>
        <family val="2"/>
        <scheme val="minor"/>
      </rPr>
      <t>UZ</t>
    </r>
    <r>
      <rPr>
        <sz val="11"/>
        <color theme="1"/>
        <rFont val="Calibri"/>
        <family val="2"/>
        <scheme val="minor"/>
      </rPr>
      <t xml:space="preserve"> - UZBEKISTAN
</t>
    </r>
    <r>
      <rPr>
        <b/>
        <sz val="11"/>
        <color theme="1"/>
        <rFont val="Calibri"/>
        <family val="2"/>
        <scheme val="minor"/>
      </rPr>
      <t>VU</t>
    </r>
    <r>
      <rPr>
        <sz val="11"/>
        <color theme="1"/>
        <rFont val="Calibri"/>
        <family val="2"/>
        <scheme val="minor"/>
      </rPr>
      <t xml:space="preserve"> - VANUATU
</t>
    </r>
    <r>
      <rPr>
        <b/>
        <sz val="11"/>
        <color theme="1"/>
        <rFont val="Calibri"/>
        <family val="2"/>
        <scheme val="minor"/>
      </rPr>
      <t>VE</t>
    </r>
    <r>
      <rPr>
        <sz val="11"/>
        <color theme="1"/>
        <rFont val="Calibri"/>
        <family val="2"/>
        <scheme val="minor"/>
      </rPr>
      <t xml:space="preserve"> - VENEZUELA, BOLIVARIAN REPUBLIC OF
</t>
    </r>
    <r>
      <rPr>
        <b/>
        <sz val="11"/>
        <color theme="1"/>
        <rFont val="Calibri"/>
        <family val="2"/>
        <scheme val="minor"/>
      </rPr>
      <t>VN</t>
    </r>
    <r>
      <rPr>
        <sz val="11"/>
        <color theme="1"/>
        <rFont val="Calibri"/>
        <family val="2"/>
        <scheme val="minor"/>
      </rPr>
      <t xml:space="preserve"> - VIET NAM
</t>
    </r>
    <r>
      <rPr>
        <b/>
        <sz val="11"/>
        <color theme="1"/>
        <rFont val="Calibri"/>
        <family val="2"/>
        <scheme val="minor"/>
      </rPr>
      <t>VG</t>
    </r>
    <r>
      <rPr>
        <sz val="11"/>
        <color theme="1"/>
        <rFont val="Calibri"/>
        <family val="2"/>
        <scheme val="minor"/>
      </rPr>
      <t xml:space="preserve"> - VIRGIN ISLANDS, BRITISH
</t>
    </r>
    <r>
      <rPr>
        <b/>
        <sz val="11"/>
        <color theme="1"/>
        <rFont val="Calibri"/>
        <family val="2"/>
        <scheme val="minor"/>
      </rPr>
      <t>VI</t>
    </r>
    <r>
      <rPr>
        <sz val="11"/>
        <color theme="1"/>
        <rFont val="Calibri"/>
        <family val="2"/>
        <scheme val="minor"/>
      </rPr>
      <t xml:space="preserve"> - VIRGIN ISLANDS, U.S.
</t>
    </r>
    <r>
      <rPr>
        <b/>
        <sz val="11"/>
        <color theme="1"/>
        <rFont val="Calibri"/>
        <family val="2"/>
        <scheme val="minor"/>
      </rPr>
      <t>WF</t>
    </r>
    <r>
      <rPr>
        <sz val="11"/>
        <color theme="1"/>
        <rFont val="Calibri"/>
        <family val="2"/>
        <scheme val="minor"/>
      </rPr>
      <t xml:space="preserve"> - WALLIS AND FUTUNA
</t>
    </r>
    <r>
      <rPr>
        <b/>
        <sz val="11"/>
        <color theme="1"/>
        <rFont val="Calibri"/>
        <family val="2"/>
        <scheme val="minor"/>
      </rPr>
      <t>EH</t>
    </r>
    <r>
      <rPr>
        <sz val="11"/>
        <color theme="1"/>
        <rFont val="Calibri"/>
        <family val="2"/>
        <scheme val="minor"/>
      </rPr>
      <t xml:space="preserve"> - WESTERN SAHARA
</t>
    </r>
    <r>
      <rPr>
        <b/>
        <sz val="11"/>
        <color theme="1"/>
        <rFont val="Calibri"/>
        <family val="2"/>
        <scheme val="minor"/>
      </rPr>
      <t>YE</t>
    </r>
    <r>
      <rPr>
        <sz val="11"/>
        <color theme="1"/>
        <rFont val="Calibri"/>
        <family val="2"/>
        <scheme val="minor"/>
      </rPr>
      <t xml:space="preserve"> - YEMEN
</t>
    </r>
    <r>
      <rPr>
        <b/>
        <sz val="11"/>
        <color theme="1"/>
        <rFont val="Calibri"/>
        <family val="2"/>
        <scheme val="minor"/>
      </rPr>
      <t>ZM</t>
    </r>
    <r>
      <rPr>
        <sz val="11"/>
        <color theme="1"/>
        <rFont val="Calibri"/>
        <family val="2"/>
        <scheme val="minor"/>
      </rPr>
      <t xml:space="preserve"> - ZAMBIA
</t>
    </r>
    <r>
      <rPr>
        <b/>
        <sz val="11"/>
        <color theme="1"/>
        <rFont val="Calibri"/>
        <family val="2"/>
        <scheme val="minor"/>
      </rPr>
      <t>ZW</t>
    </r>
    <r>
      <rPr>
        <sz val="11"/>
        <color theme="1"/>
        <rFont val="Calibri"/>
        <family val="2"/>
        <scheme val="minor"/>
      </rPr>
      <t xml:space="preserve"> - ZIMBABWE
</t>
    </r>
  </si>
  <si>
    <r>
      <t>AuditedCourse</t>
    </r>
    <r>
      <rPr>
        <sz val="11"/>
        <color theme="1"/>
        <rFont val="Calibri"/>
        <family val="2"/>
        <scheme val="minor"/>
      </rPr>
      <t xml:space="preserve"> - Audited or visited the course
</t>
    </r>
    <r>
      <rPr>
        <b/>
        <sz val="11"/>
        <color theme="1"/>
        <rFont val="Calibri"/>
        <family val="2"/>
        <scheme val="minor"/>
      </rPr>
      <t>HonorsGrade</t>
    </r>
    <r>
      <rPr>
        <sz val="11"/>
        <color theme="1"/>
        <rFont val="Calibri"/>
        <family val="2"/>
        <scheme val="minor"/>
      </rPr>
      <t xml:space="preserve"> - Honors grade
</t>
    </r>
    <r>
      <rPr>
        <b/>
        <sz val="11"/>
        <color theme="1"/>
        <rFont val="Calibri"/>
        <family val="2"/>
        <scheme val="minor"/>
      </rPr>
      <t>Incomplete</t>
    </r>
    <r>
      <rPr>
        <sz val="11"/>
        <color theme="1"/>
        <rFont val="Calibri"/>
        <family val="2"/>
        <scheme val="minor"/>
      </rPr>
      <t xml:space="preserve"> - Incomplete
</t>
    </r>
    <r>
      <rPr>
        <b/>
        <sz val="11"/>
        <color theme="1"/>
        <rFont val="Calibri"/>
        <family val="2"/>
        <scheme val="minor"/>
      </rPr>
      <t>IncompleteNotResolvedFail</t>
    </r>
    <r>
      <rPr>
        <sz val="11"/>
        <color theme="1"/>
        <rFont val="Calibri"/>
        <family val="2"/>
        <scheme val="minor"/>
      </rPr>
      <t xml:space="preserve"> - Incomplete Not Resolved Fail
</t>
    </r>
    <r>
      <rPr>
        <b/>
        <sz val="11"/>
        <color theme="1"/>
        <rFont val="Calibri"/>
        <family val="2"/>
        <scheme val="minor"/>
      </rPr>
      <t>InProgress</t>
    </r>
    <r>
      <rPr>
        <sz val="11"/>
        <color theme="1"/>
        <rFont val="Calibri"/>
        <family val="2"/>
        <scheme val="minor"/>
      </rPr>
      <t xml:space="preserve"> - In Progress
</t>
    </r>
    <r>
      <rPr>
        <b/>
        <sz val="11"/>
        <color theme="1"/>
        <rFont val="Calibri"/>
        <family val="2"/>
        <scheme val="minor"/>
      </rPr>
      <t>NotYetReported</t>
    </r>
    <r>
      <rPr>
        <sz val="11"/>
        <color theme="1"/>
        <rFont val="Calibri"/>
        <family val="2"/>
        <scheme val="minor"/>
      </rPr>
      <t xml:space="preserve"> - Not Yet Reported
</t>
    </r>
    <r>
      <rPr>
        <b/>
        <sz val="11"/>
        <color theme="1"/>
        <rFont val="Calibri"/>
        <family val="2"/>
        <scheme val="minor"/>
      </rPr>
      <t>OtherFail</t>
    </r>
    <r>
      <rPr>
        <sz val="11"/>
        <color theme="1"/>
        <rFont val="Calibri"/>
        <family val="2"/>
        <scheme val="minor"/>
      </rPr>
      <t xml:space="preserve"> - Other Fail
</t>
    </r>
    <r>
      <rPr>
        <b/>
        <sz val="11"/>
        <color theme="1"/>
        <rFont val="Calibri"/>
        <family val="2"/>
        <scheme val="minor"/>
      </rPr>
      <t>OtherPass</t>
    </r>
    <r>
      <rPr>
        <sz val="11"/>
        <color theme="1"/>
        <rFont val="Calibri"/>
        <family val="2"/>
        <scheme val="minor"/>
      </rPr>
      <t xml:space="preserve"> - Other Pass
</t>
    </r>
    <r>
      <rPr>
        <b/>
        <sz val="11"/>
        <color theme="1"/>
        <rFont val="Calibri"/>
        <family val="2"/>
        <scheme val="minor"/>
      </rPr>
      <t>PassFailFail</t>
    </r>
    <r>
      <rPr>
        <sz val="11"/>
        <color theme="1"/>
        <rFont val="Calibri"/>
        <family val="2"/>
        <scheme val="minor"/>
      </rPr>
      <t xml:space="preserve"> - Pass-Fail : Fail
</t>
    </r>
    <r>
      <rPr>
        <b/>
        <sz val="11"/>
        <color theme="1"/>
        <rFont val="Calibri"/>
        <family val="2"/>
        <scheme val="minor"/>
      </rPr>
      <t>PassFailPass</t>
    </r>
    <r>
      <rPr>
        <sz val="11"/>
        <color theme="1"/>
        <rFont val="Calibri"/>
        <family val="2"/>
        <scheme val="minor"/>
      </rPr>
      <t xml:space="preserve"> - Pass-Fail : Pass
</t>
    </r>
    <r>
      <rPr>
        <b/>
        <sz val="11"/>
        <color theme="1"/>
        <rFont val="Calibri"/>
        <family val="2"/>
        <scheme val="minor"/>
      </rPr>
      <t>TransferNoGrade</t>
    </r>
    <r>
      <rPr>
        <sz val="11"/>
        <color theme="1"/>
        <rFont val="Calibri"/>
        <family val="2"/>
        <scheme val="minor"/>
      </rPr>
      <t xml:space="preserve"> - Transfer No Grade
</t>
    </r>
    <r>
      <rPr>
        <b/>
        <sz val="11"/>
        <color theme="1"/>
        <rFont val="Calibri"/>
        <family val="2"/>
        <scheme val="minor"/>
      </rPr>
      <t>Withdrew</t>
    </r>
    <r>
      <rPr>
        <sz val="11"/>
        <color theme="1"/>
        <rFont val="Calibri"/>
        <family val="2"/>
        <scheme val="minor"/>
      </rPr>
      <t xml:space="preserve"> - Withdrew
</t>
    </r>
    <r>
      <rPr>
        <b/>
        <sz val="11"/>
        <color theme="1"/>
        <rFont val="Calibri"/>
        <family val="2"/>
        <scheme val="minor"/>
      </rPr>
      <t>WithdrewFailing</t>
    </r>
    <r>
      <rPr>
        <sz val="11"/>
        <color theme="1"/>
        <rFont val="Calibri"/>
        <family val="2"/>
        <scheme val="minor"/>
      </rPr>
      <t xml:space="preserve"> - Withdrew failing
</t>
    </r>
    <r>
      <rPr>
        <b/>
        <sz val="11"/>
        <color theme="1"/>
        <rFont val="Calibri"/>
        <family val="2"/>
        <scheme val="minor"/>
      </rPr>
      <t>WithdrewNoPenalty</t>
    </r>
    <r>
      <rPr>
        <sz val="11"/>
        <color theme="1"/>
        <rFont val="Calibri"/>
        <family val="2"/>
        <scheme val="minor"/>
      </rPr>
      <t xml:space="preserve"> - Withdrew No Penalty
</t>
    </r>
    <r>
      <rPr>
        <b/>
        <sz val="11"/>
        <color theme="1"/>
        <rFont val="Calibri"/>
        <family val="2"/>
        <scheme val="minor"/>
      </rPr>
      <t>WithdrewPassing</t>
    </r>
    <r>
      <rPr>
        <sz val="11"/>
        <color theme="1"/>
        <rFont val="Calibri"/>
        <family val="2"/>
        <scheme val="minor"/>
      </rPr>
      <t xml:space="preserve"> - Withdrew passing
</t>
    </r>
  </si>
  <si>
    <r>
      <t>Intermediate</t>
    </r>
    <r>
      <rPr>
        <sz val="11"/>
        <color theme="1"/>
        <rFont val="Calibri"/>
        <family val="2"/>
        <scheme val="minor"/>
      </rPr>
      <t xml:space="preserve"> - Intermediate agency course code
</t>
    </r>
    <r>
      <rPr>
        <b/>
        <sz val="11"/>
        <color theme="1"/>
        <rFont val="Calibri"/>
        <family val="2"/>
        <scheme val="minor"/>
      </rPr>
      <t>LEA</t>
    </r>
    <r>
      <rPr>
        <sz val="11"/>
        <color theme="1"/>
        <rFont val="Calibri"/>
        <family val="2"/>
        <scheme val="minor"/>
      </rPr>
      <t xml:space="preserve"> - LEA course code
</t>
    </r>
    <r>
      <rPr>
        <b/>
        <sz val="11"/>
        <color theme="1"/>
        <rFont val="Calibri"/>
        <family val="2"/>
        <scheme val="minor"/>
      </rPr>
      <t>NCES</t>
    </r>
    <r>
      <rPr>
        <sz val="11"/>
        <color theme="1"/>
        <rFont val="Calibri"/>
        <family val="2"/>
        <scheme val="minor"/>
      </rPr>
      <t xml:space="preserve"> - NCES Pilot Standard National Course Classification System for Secondary Education Codes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SCED</t>
    </r>
    <r>
      <rPr>
        <sz val="11"/>
        <color theme="1"/>
        <rFont val="Calibri"/>
        <family val="2"/>
        <scheme val="minor"/>
      </rPr>
      <t xml:space="preserve"> - School Codes for the Exchange of Data (SCED) course code
</t>
    </r>
    <r>
      <rPr>
        <b/>
        <sz val="11"/>
        <color theme="1"/>
        <rFont val="Calibri"/>
        <family val="2"/>
        <scheme val="minor"/>
      </rPr>
      <t>School</t>
    </r>
    <r>
      <rPr>
        <sz val="11"/>
        <color theme="1"/>
        <rFont val="Calibri"/>
        <family val="2"/>
        <scheme val="minor"/>
      </rPr>
      <t xml:space="preserve"> - School course code
</t>
    </r>
    <r>
      <rPr>
        <b/>
        <sz val="11"/>
        <color theme="1"/>
        <rFont val="Calibri"/>
        <family val="2"/>
        <scheme val="minor"/>
      </rPr>
      <t>State</t>
    </r>
    <r>
      <rPr>
        <sz val="11"/>
        <color theme="1"/>
        <rFont val="Calibri"/>
        <family val="2"/>
        <scheme val="minor"/>
      </rPr>
      <t xml:space="preserve"> - State course code
</t>
    </r>
    <r>
      <rPr>
        <b/>
        <sz val="11"/>
        <color theme="1"/>
        <rFont val="Calibri"/>
        <family val="2"/>
        <scheme val="minor"/>
      </rPr>
      <t>University</t>
    </r>
    <r>
      <rPr>
        <sz val="11"/>
        <color theme="1"/>
        <rFont val="Calibri"/>
        <family val="2"/>
        <scheme val="minor"/>
      </rPr>
      <t xml:space="preserve"> - University course code
</t>
    </r>
  </si>
  <si>
    <r>
      <t>Regular</t>
    </r>
    <r>
      <rPr>
        <sz val="11"/>
        <color theme="1"/>
        <rFont val="Calibri"/>
        <family val="2"/>
        <scheme val="minor"/>
      </rPr>
      <t xml:space="preserve"> - Regular/general enrollment
</t>
    </r>
    <r>
      <rPr>
        <b/>
        <sz val="11"/>
        <color theme="1"/>
        <rFont val="Calibri"/>
        <family val="2"/>
        <scheme val="minor"/>
      </rPr>
      <t>Major</t>
    </r>
    <r>
      <rPr>
        <sz val="11"/>
        <color theme="1"/>
        <rFont val="Calibri"/>
        <family val="2"/>
        <scheme val="minor"/>
      </rPr>
      <t xml:space="preserve"> - Credit associated with the student's major
</t>
    </r>
    <r>
      <rPr>
        <b/>
        <sz val="11"/>
        <color theme="1"/>
        <rFont val="Calibri"/>
        <family val="2"/>
        <scheme val="minor"/>
      </rPr>
      <t>AcademicRenewal</t>
    </r>
    <r>
      <rPr>
        <sz val="11"/>
        <color theme="1"/>
        <rFont val="Calibri"/>
        <family val="2"/>
        <scheme val="minor"/>
      </rPr>
      <t xml:space="preserve"> - Academic Renewal
</t>
    </r>
    <r>
      <rPr>
        <b/>
        <sz val="11"/>
        <color theme="1"/>
        <rFont val="Calibri"/>
        <family val="2"/>
        <scheme val="minor"/>
      </rPr>
      <t>AdultBasic</t>
    </r>
    <r>
      <rPr>
        <sz val="11"/>
        <color theme="1"/>
        <rFont val="Calibri"/>
        <family val="2"/>
        <scheme val="minor"/>
      </rPr>
      <t xml:space="preserve"> - Adult Basic
</t>
    </r>
    <r>
      <rPr>
        <b/>
        <sz val="11"/>
        <color theme="1"/>
        <rFont val="Calibri"/>
        <family val="2"/>
        <scheme val="minor"/>
      </rPr>
      <t>AdvancedPlacement</t>
    </r>
    <r>
      <rPr>
        <sz val="11"/>
        <color theme="1"/>
        <rFont val="Calibri"/>
        <family val="2"/>
        <scheme val="minor"/>
      </rPr>
      <t xml:space="preserve"> - Advanced Placement
</t>
    </r>
    <r>
      <rPr>
        <b/>
        <sz val="11"/>
        <color theme="1"/>
        <rFont val="Calibri"/>
        <family val="2"/>
        <scheme val="minor"/>
      </rPr>
      <t>AdvancedStanding</t>
    </r>
    <r>
      <rPr>
        <sz val="11"/>
        <color theme="1"/>
        <rFont val="Calibri"/>
        <family val="2"/>
        <scheme val="minor"/>
      </rPr>
      <t xml:space="preserve"> - Advanced Standing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ContinuingEducation</t>
    </r>
    <r>
      <rPr>
        <sz val="11"/>
        <color theme="1"/>
        <rFont val="Calibri"/>
        <family val="2"/>
        <scheme val="minor"/>
      </rPr>
      <t xml:space="preserve"> - Continuing Education
</t>
    </r>
    <r>
      <rPr>
        <b/>
        <sz val="11"/>
        <color theme="1"/>
        <rFont val="Calibri"/>
        <family val="2"/>
        <scheme val="minor"/>
      </rPr>
      <t>Exemption</t>
    </r>
    <r>
      <rPr>
        <sz val="11"/>
        <color theme="1"/>
        <rFont val="Calibri"/>
        <family val="2"/>
        <scheme val="minor"/>
      </rPr>
      <t xml:space="preserve"> - Exemption
</t>
    </r>
    <r>
      <rPr>
        <b/>
        <sz val="11"/>
        <color theme="1"/>
        <rFont val="Calibri"/>
        <family val="2"/>
        <scheme val="minor"/>
      </rPr>
      <t>Equivalence</t>
    </r>
    <r>
      <rPr>
        <sz val="11"/>
        <color theme="1"/>
        <rFont val="Calibri"/>
        <family val="2"/>
        <scheme val="minor"/>
      </rPr>
      <t xml:space="preserve"> - Equivalence
</t>
    </r>
    <r>
      <rPr>
        <b/>
        <sz val="11"/>
        <color theme="1"/>
        <rFont val="Calibri"/>
        <family val="2"/>
        <scheme val="minor"/>
      </rPr>
      <t>InternationalBaccalaureate</t>
    </r>
    <r>
      <rPr>
        <sz val="11"/>
        <color theme="1"/>
        <rFont val="Calibri"/>
        <family val="2"/>
        <scheme val="minor"/>
      </rPr>
      <t xml:space="preserve"> - International Baccalaureate
</t>
    </r>
    <r>
      <rPr>
        <b/>
        <sz val="11"/>
        <color theme="1"/>
        <rFont val="Calibri"/>
        <family val="2"/>
        <scheme val="minor"/>
      </rPr>
      <t>Military</t>
    </r>
    <r>
      <rPr>
        <sz val="11"/>
        <color theme="1"/>
        <rFont val="Calibri"/>
        <family val="2"/>
        <scheme val="minor"/>
      </rPr>
      <t xml:space="preserve"> - Military
</t>
    </r>
    <r>
      <rPr>
        <b/>
        <sz val="11"/>
        <color theme="1"/>
        <rFont val="Calibri"/>
        <family val="2"/>
        <scheme val="minor"/>
      </rPr>
      <t>Remedial</t>
    </r>
    <r>
      <rPr>
        <sz val="11"/>
        <color theme="1"/>
        <rFont val="Calibri"/>
        <family val="2"/>
        <scheme val="minor"/>
      </rPr>
      <t xml:space="preserve"> - Remedial/developmental
</t>
    </r>
    <r>
      <rPr>
        <b/>
        <sz val="11"/>
        <color theme="1"/>
        <rFont val="Calibri"/>
        <family val="2"/>
        <scheme val="minor"/>
      </rPr>
      <t>CreditByExam</t>
    </r>
    <r>
      <rPr>
        <sz val="11"/>
        <color theme="1"/>
        <rFont val="Calibri"/>
        <family val="2"/>
        <scheme val="minor"/>
      </rPr>
      <t xml:space="preserve"> - Credit granted from successful score on a standardized test of comprehension or proficiency.
</t>
    </r>
    <r>
      <rPr>
        <b/>
        <sz val="11"/>
        <color theme="1"/>
        <rFont val="Calibri"/>
        <family val="2"/>
        <scheme val="minor"/>
      </rPr>
      <t>HighSchoolTransferCredit</t>
    </r>
    <r>
      <rPr>
        <sz val="11"/>
        <color theme="1"/>
        <rFont val="Calibri"/>
        <family val="2"/>
        <scheme val="minor"/>
      </rPr>
      <t xml:space="preserve"> - Credit from a high school course is transferred to the college.
</t>
    </r>
    <r>
      <rPr>
        <b/>
        <sz val="11"/>
        <color theme="1"/>
        <rFont val="Calibri"/>
        <family val="2"/>
        <scheme val="minor"/>
      </rPr>
      <t>HighSchoolCreditOnly</t>
    </r>
    <r>
      <rPr>
        <sz val="11"/>
        <color theme="1"/>
        <rFont val="Calibri"/>
        <family val="2"/>
        <scheme val="minor"/>
      </rPr>
      <t xml:space="preserve"> - Credit from a college course is transferred back to high school and not counted by the college.
</t>
    </r>
    <r>
      <rPr>
        <b/>
        <sz val="11"/>
        <color theme="1"/>
        <rFont val="Calibri"/>
        <family val="2"/>
        <scheme val="minor"/>
      </rPr>
      <t>HighSchoolDualCredit</t>
    </r>
    <r>
      <rPr>
        <sz val="11"/>
        <color theme="1"/>
        <rFont val="Calibri"/>
        <family val="2"/>
        <scheme val="minor"/>
      </rPr>
      <t xml:space="preserve"> - Credit from a college course is counted at both the college and high school.
</t>
    </r>
    <r>
      <rPr>
        <b/>
        <sz val="11"/>
        <color theme="1"/>
        <rFont val="Calibri"/>
        <family val="2"/>
        <scheme val="minor"/>
      </rPr>
      <t>JuniorHighSchoolCredit</t>
    </r>
    <r>
      <rPr>
        <sz val="11"/>
        <color theme="1"/>
        <rFont val="Calibri"/>
        <family val="2"/>
        <scheme val="minor"/>
      </rPr>
      <t xml:space="preserve"> - Credit from a junior high school course is counted at the high school.
</t>
    </r>
  </si>
  <si>
    <r>
      <t>Undergraduate</t>
    </r>
    <r>
      <rPr>
        <sz val="11"/>
        <color theme="1"/>
        <rFont val="Calibri"/>
        <family val="2"/>
        <scheme val="minor"/>
      </rPr>
      <t xml:space="preserve"> - Undergraduate
</t>
    </r>
    <r>
      <rPr>
        <b/>
        <sz val="11"/>
        <color theme="1"/>
        <rFont val="Calibri"/>
        <family val="2"/>
        <scheme val="minor"/>
      </rPr>
      <t>Ungraded</t>
    </r>
    <r>
      <rPr>
        <sz val="11"/>
        <color theme="1"/>
        <rFont val="Calibri"/>
        <family val="2"/>
        <scheme val="minor"/>
      </rPr>
      <t xml:space="preserve"> - Ungraded
</t>
    </r>
    <r>
      <rPr>
        <b/>
        <sz val="11"/>
        <color theme="1"/>
        <rFont val="Calibri"/>
        <family val="2"/>
        <scheme val="minor"/>
      </rPr>
      <t>LowerDivision</t>
    </r>
    <r>
      <rPr>
        <sz val="11"/>
        <color theme="1"/>
        <rFont val="Calibri"/>
        <family val="2"/>
        <scheme val="minor"/>
      </rPr>
      <t xml:space="preserve"> - Lower division credit (associated with first/second year)
</t>
    </r>
    <r>
      <rPr>
        <b/>
        <sz val="11"/>
        <color theme="1"/>
        <rFont val="Calibri"/>
        <family val="2"/>
        <scheme val="minor"/>
      </rPr>
      <t>UpperDivision</t>
    </r>
    <r>
      <rPr>
        <sz val="11"/>
        <color theme="1"/>
        <rFont val="Calibri"/>
        <family val="2"/>
        <scheme val="minor"/>
      </rPr>
      <t xml:space="preserve"> - Higher or upper division credit (associated with third or fourth year)
</t>
    </r>
    <r>
      <rPr>
        <b/>
        <sz val="11"/>
        <color theme="1"/>
        <rFont val="Calibri"/>
        <family val="2"/>
        <scheme val="minor"/>
      </rPr>
      <t>Vocational</t>
    </r>
    <r>
      <rPr>
        <sz val="11"/>
        <color theme="1"/>
        <rFont val="Calibri"/>
        <family val="2"/>
        <scheme val="minor"/>
      </rPr>
      <t xml:space="preserve"> - Vocational/technical credit
</t>
    </r>
    <r>
      <rPr>
        <b/>
        <sz val="11"/>
        <color theme="1"/>
        <rFont val="Calibri"/>
        <family val="2"/>
        <scheme val="minor"/>
      </rPr>
      <t>TechnicalPreparatory</t>
    </r>
    <r>
      <rPr>
        <sz val="11"/>
        <color theme="1"/>
        <rFont val="Calibri"/>
        <family val="2"/>
        <scheme val="minor"/>
      </rPr>
      <t xml:space="preserve"> - Technical preparatory credit
</t>
    </r>
    <r>
      <rPr>
        <b/>
        <sz val="11"/>
        <color theme="1"/>
        <rFont val="Calibri"/>
        <family val="2"/>
        <scheme val="minor"/>
      </rPr>
      <t>Graduate</t>
    </r>
    <r>
      <rPr>
        <sz val="11"/>
        <color theme="1"/>
        <rFont val="Calibri"/>
        <family val="2"/>
        <scheme val="minor"/>
      </rPr>
      <t xml:space="preserve"> - Graduate level credit
</t>
    </r>
    <r>
      <rPr>
        <b/>
        <sz val="11"/>
        <color theme="1"/>
        <rFont val="Calibri"/>
        <family val="2"/>
        <scheme val="minor"/>
      </rPr>
      <t>Professional</t>
    </r>
    <r>
      <rPr>
        <sz val="11"/>
        <color theme="1"/>
        <rFont val="Calibri"/>
        <family val="2"/>
        <scheme val="minor"/>
      </rPr>
      <t xml:space="preserve"> - Professional
</t>
    </r>
    <r>
      <rPr>
        <b/>
        <sz val="11"/>
        <color theme="1"/>
        <rFont val="Calibri"/>
        <family val="2"/>
        <scheme val="minor"/>
      </rPr>
      <t>Dual</t>
    </r>
    <r>
      <rPr>
        <sz val="11"/>
        <color theme="1"/>
        <rFont val="Calibri"/>
        <family val="2"/>
        <scheme val="minor"/>
      </rPr>
      <t xml:space="preserve"> - Dual Level
</t>
    </r>
    <r>
      <rPr>
        <b/>
        <sz val="11"/>
        <color theme="1"/>
        <rFont val="Calibri"/>
        <family val="2"/>
        <scheme val="minor"/>
      </rPr>
      <t>GraduateProfessional</t>
    </r>
    <r>
      <rPr>
        <sz val="11"/>
        <color theme="1"/>
        <rFont val="Calibri"/>
        <family val="2"/>
        <scheme val="minor"/>
      </rPr>
      <t xml:space="preserve"> - Graduate Professional
</t>
    </r>
  </si>
  <si>
    <r>
      <t>NoCredit</t>
    </r>
    <r>
      <rPr>
        <sz val="11"/>
        <color theme="1"/>
        <rFont val="Calibri"/>
        <family val="2"/>
        <scheme val="minor"/>
      </rPr>
      <t xml:space="preserve"> - No Credit
</t>
    </r>
    <r>
      <rPr>
        <b/>
        <sz val="11"/>
        <color theme="1"/>
        <rFont val="Calibri"/>
        <family val="2"/>
        <scheme val="minor"/>
      </rPr>
      <t>Quarter</t>
    </r>
    <r>
      <rPr>
        <sz val="11"/>
        <color theme="1"/>
        <rFont val="Calibri"/>
        <family val="2"/>
        <scheme val="minor"/>
      </rPr>
      <t xml:space="preserve"> - Quarter 
</t>
    </r>
    <r>
      <rPr>
        <b/>
        <sz val="11"/>
        <color theme="1"/>
        <rFont val="Calibri"/>
        <family val="2"/>
        <scheme val="minor"/>
      </rPr>
      <t>Semester</t>
    </r>
    <r>
      <rPr>
        <sz val="11"/>
        <color theme="1"/>
        <rFont val="Calibri"/>
        <family val="2"/>
        <scheme val="minor"/>
      </rPr>
      <t xml:space="preserve"> - Semester 
</t>
    </r>
    <r>
      <rPr>
        <b/>
        <sz val="11"/>
        <color theme="1"/>
        <rFont val="Calibri"/>
        <family val="2"/>
        <scheme val="minor"/>
      </rPr>
      <t>Units</t>
    </r>
    <r>
      <rPr>
        <sz val="11"/>
        <color theme="1"/>
        <rFont val="Calibri"/>
        <family val="2"/>
        <scheme val="minor"/>
      </rPr>
      <t xml:space="preserve"> - Units 
</t>
    </r>
    <r>
      <rPr>
        <b/>
        <sz val="11"/>
        <color theme="1"/>
        <rFont val="Calibri"/>
        <family val="2"/>
        <scheme val="minor"/>
      </rPr>
      <t>CarnegieUnits</t>
    </r>
    <r>
      <rPr>
        <sz val="11"/>
        <color theme="1"/>
        <rFont val="Calibri"/>
        <family val="2"/>
        <scheme val="minor"/>
      </rPr>
      <t xml:space="preserve"> - Carnegie Units 
</t>
    </r>
    <r>
      <rPr>
        <b/>
        <sz val="11"/>
        <color theme="1"/>
        <rFont val="Calibri"/>
        <family val="2"/>
        <scheme val="minor"/>
      </rPr>
      <t>ContinuingEducationUnits</t>
    </r>
    <r>
      <rPr>
        <sz val="11"/>
        <color theme="1"/>
        <rFont val="Calibri"/>
        <family val="2"/>
        <scheme val="minor"/>
      </rPr>
      <t xml:space="preserve"> - Continuing Education Units 
</t>
    </r>
    <r>
      <rPr>
        <b/>
        <sz val="11"/>
        <color theme="1"/>
        <rFont val="Calibri"/>
        <family val="2"/>
        <scheme val="minor"/>
      </rPr>
      <t>ClockHours</t>
    </r>
    <r>
      <rPr>
        <sz val="11"/>
        <color theme="1"/>
        <rFont val="Calibri"/>
        <family val="2"/>
        <scheme val="minor"/>
      </rPr>
      <t xml:space="preserve"> - Clock Hours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Unreported</t>
    </r>
    <r>
      <rPr>
        <sz val="11"/>
        <color theme="1"/>
        <rFont val="Calibri"/>
        <family val="2"/>
        <scheme val="minor"/>
      </rPr>
      <t xml:space="preserve"> - Unreported
</t>
    </r>
  </si>
  <si>
    <r>
      <t>Applicable</t>
    </r>
    <r>
      <rPr>
        <sz val="11"/>
        <color theme="1"/>
        <rFont val="Calibri"/>
        <family val="2"/>
        <scheme val="minor"/>
      </rPr>
      <t xml:space="preserve"> - Applicable in GPA
</t>
    </r>
    <r>
      <rPr>
        <b/>
        <sz val="11"/>
        <color theme="1"/>
        <rFont val="Calibri"/>
        <family val="2"/>
        <scheme val="minor"/>
      </rPr>
      <t>NotApplicable</t>
    </r>
    <r>
      <rPr>
        <sz val="11"/>
        <color theme="1"/>
        <rFont val="Calibri"/>
        <family val="2"/>
        <scheme val="minor"/>
      </rPr>
      <t xml:space="preserve"> - Not Applicable in GPA
</t>
    </r>
    <r>
      <rPr>
        <b/>
        <sz val="11"/>
        <color theme="1"/>
        <rFont val="Calibri"/>
        <family val="2"/>
        <scheme val="minor"/>
      </rPr>
      <t>Weighted</t>
    </r>
    <r>
      <rPr>
        <sz val="11"/>
        <color theme="1"/>
        <rFont val="Calibri"/>
        <family val="2"/>
        <scheme val="minor"/>
      </rPr>
      <t xml:space="preserve"> - Weighted in GPA
</t>
    </r>
  </si>
  <si>
    <r>
      <t>Honors</t>
    </r>
    <r>
      <rPr>
        <sz val="11"/>
        <color theme="1"/>
        <rFont val="Calibri"/>
        <family val="2"/>
        <scheme val="minor"/>
      </rPr>
      <t xml:space="preserve"> - Honors
</t>
    </r>
    <r>
      <rPr>
        <b/>
        <sz val="11"/>
        <color theme="1"/>
        <rFont val="Calibri"/>
        <family val="2"/>
        <scheme val="minor"/>
      </rPr>
      <t>HonorsOption</t>
    </r>
    <r>
      <rPr>
        <sz val="11"/>
        <color theme="1"/>
        <rFont val="Calibri"/>
        <family val="2"/>
        <scheme val="minor"/>
      </rPr>
      <t xml:space="preserve"> - Honors option
</t>
    </r>
  </si>
  <si>
    <r>
      <t>OnCampus</t>
    </r>
    <r>
      <rPr>
        <sz val="11"/>
        <color theme="1"/>
        <rFont val="Calibri"/>
        <family val="2"/>
        <scheme val="minor"/>
      </rPr>
      <t xml:space="preserve"> - On campus
</t>
    </r>
    <r>
      <rPr>
        <b/>
        <sz val="11"/>
        <color theme="1"/>
        <rFont val="Calibri"/>
        <family val="2"/>
        <scheme val="minor"/>
      </rPr>
      <t>OffCampus</t>
    </r>
    <r>
      <rPr>
        <sz val="11"/>
        <color theme="1"/>
        <rFont val="Calibri"/>
        <family val="2"/>
        <scheme val="minor"/>
      </rPr>
      <t xml:space="preserve"> - Off campus (e.g., branch campus, etc.)
</t>
    </r>
    <r>
      <rPr>
        <b/>
        <sz val="11"/>
        <color theme="1"/>
        <rFont val="Calibri"/>
        <family val="2"/>
        <scheme val="minor"/>
      </rPr>
      <t>Extension</t>
    </r>
    <r>
      <rPr>
        <sz val="11"/>
        <color theme="1"/>
        <rFont val="Calibri"/>
        <family val="2"/>
        <scheme val="minor"/>
      </rPr>
      <t xml:space="preserve"> - Extension center or site
</t>
    </r>
    <r>
      <rPr>
        <b/>
        <sz val="11"/>
        <color theme="1"/>
        <rFont val="Calibri"/>
        <family val="2"/>
        <scheme val="minor"/>
      </rPr>
      <t>StudyAbroad</t>
    </r>
    <r>
      <rPr>
        <sz val="11"/>
        <color theme="1"/>
        <rFont val="Calibri"/>
        <family val="2"/>
        <scheme val="minor"/>
      </rPr>
      <t xml:space="preserve"> - Study abroad
</t>
    </r>
    <r>
      <rPr>
        <b/>
        <sz val="11"/>
        <color theme="1"/>
        <rFont val="Calibri"/>
        <family val="2"/>
        <scheme val="minor"/>
      </rPr>
      <t>Correctional</t>
    </r>
    <r>
      <rPr>
        <sz val="11"/>
        <color theme="1"/>
        <rFont val="Calibri"/>
        <family val="2"/>
        <scheme val="minor"/>
      </rPr>
      <t xml:space="preserve"> - Correctional institution
</t>
    </r>
    <r>
      <rPr>
        <b/>
        <sz val="11"/>
        <color theme="1"/>
        <rFont val="Calibri"/>
        <family val="2"/>
        <scheme val="minor"/>
      </rPr>
      <t>Millitary</t>
    </r>
    <r>
      <rPr>
        <sz val="11"/>
        <color theme="1"/>
        <rFont val="Calibri"/>
        <family val="2"/>
        <scheme val="minor"/>
      </rPr>
      <t xml:space="preserve"> - Military Base
</t>
    </r>
    <r>
      <rPr>
        <b/>
        <sz val="11"/>
        <color theme="1"/>
        <rFont val="Calibri"/>
        <family val="2"/>
        <scheme val="minor"/>
      </rPr>
      <t>Telecommunication</t>
    </r>
    <r>
      <rPr>
        <sz val="11"/>
        <color theme="1"/>
        <rFont val="Calibri"/>
        <family val="2"/>
        <scheme val="minor"/>
      </rPr>
      <t xml:space="preserve"> - Instructional telecommunications
</t>
    </r>
    <r>
      <rPr>
        <b/>
        <sz val="11"/>
        <color theme="1"/>
        <rFont val="Calibri"/>
        <family val="2"/>
        <scheme val="minor"/>
      </rPr>
      <t>Auxiliary</t>
    </r>
    <r>
      <rPr>
        <sz val="11"/>
        <color theme="1"/>
        <rFont val="Calibri"/>
        <family val="2"/>
        <scheme val="minor"/>
      </rPr>
      <t xml:space="preserve"> - Auxiliary
</t>
    </r>
    <r>
      <rPr>
        <b/>
        <sz val="11"/>
        <color theme="1"/>
        <rFont val="Calibri"/>
        <family val="2"/>
        <scheme val="minor"/>
      </rPr>
      <t>ClinicHospital</t>
    </r>
    <r>
      <rPr>
        <sz val="11"/>
        <color theme="1"/>
        <rFont val="Calibri"/>
        <family val="2"/>
        <scheme val="minor"/>
      </rPr>
      <t xml:space="preserve"> - Clinic or hospital
</t>
    </r>
  </si>
  <si>
    <r>
      <t>Asynchronous</t>
    </r>
    <r>
      <rPr>
        <sz val="11"/>
        <color theme="1"/>
        <rFont val="Calibri"/>
        <family val="2"/>
        <scheme val="minor"/>
      </rPr>
      <t xml:space="preserve"> - Asynchronous
</t>
    </r>
    <r>
      <rPr>
        <b/>
        <sz val="11"/>
        <color theme="1"/>
        <rFont val="Calibri"/>
        <family val="2"/>
        <scheme val="minor"/>
      </rPr>
      <t>Synchronous</t>
    </r>
    <r>
      <rPr>
        <sz val="11"/>
        <color theme="1"/>
        <rFont val="Calibri"/>
        <family val="2"/>
        <scheme val="minor"/>
      </rPr>
      <t xml:space="preserve"> - Synchronous
</t>
    </r>
  </si>
  <si>
    <r>
      <t>00568</t>
    </r>
    <r>
      <rPr>
        <sz val="11"/>
        <color theme="1"/>
        <rFont val="Calibri"/>
        <family val="2"/>
        <scheme val="minor"/>
      </rPr>
      <t xml:space="preserve"> - Remedial course
</t>
    </r>
    <r>
      <rPr>
        <b/>
        <sz val="11"/>
        <color theme="1"/>
        <rFont val="Calibri"/>
        <family val="2"/>
        <scheme val="minor"/>
      </rPr>
      <t>00569</t>
    </r>
    <r>
      <rPr>
        <sz val="11"/>
        <color theme="1"/>
        <rFont val="Calibri"/>
        <family val="2"/>
        <scheme val="minor"/>
      </rPr>
      <t xml:space="preserve"> - Students with disabilities course
</t>
    </r>
    <r>
      <rPr>
        <b/>
        <sz val="11"/>
        <color theme="1"/>
        <rFont val="Calibri"/>
        <family val="2"/>
        <scheme val="minor"/>
      </rPr>
      <t>00570</t>
    </r>
    <r>
      <rPr>
        <sz val="11"/>
        <color theme="1"/>
        <rFont val="Calibri"/>
        <family val="2"/>
        <scheme val="minor"/>
      </rPr>
      <t xml:space="preserve"> - Basic course
</t>
    </r>
    <r>
      <rPr>
        <b/>
        <sz val="11"/>
        <color theme="1"/>
        <rFont val="Calibri"/>
        <family val="2"/>
        <scheme val="minor"/>
      </rPr>
      <t>00571</t>
    </r>
    <r>
      <rPr>
        <sz val="11"/>
        <color theme="1"/>
        <rFont val="Calibri"/>
        <family val="2"/>
        <scheme val="minor"/>
      </rPr>
      <t xml:space="preserve"> - General course
</t>
    </r>
    <r>
      <rPr>
        <b/>
        <sz val="11"/>
        <color theme="1"/>
        <rFont val="Calibri"/>
        <family val="2"/>
        <scheme val="minor"/>
      </rPr>
      <t>00572</t>
    </r>
    <r>
      <rPr>
        <sz val="11"/>
        <color theme="1"/>
        <rFont val="Calibri"/>
        <family val="2"/>
        <scheme val="minor"/>
      </rPr>
      <t xml:space="preserve"> - Honors level course
</t>
    </r>
    <r>
      <rPr>
        <b/>
        <sz val="11"/>
        <color theme="1"/>
        <rFont val="Calibri"/>
        <family val="2"/>
        <scheme val="minor"/>
      </rPr>
      <t>00573</t>
    </r>
    <r>
      <rPr>
        <sz val="11"/>
        <color theme="1"/>
        <rFont val="Calibri"/>
        <family val="2"/>
        <scheme val="minor"/>
      </rPr>
      <t xml:space="preserve"> - Gifted and talented course
</t>
    </r>
    <r>
      <rPr>
        <b/>
        <sz val="11"/>
        <color theme="1"/>
        <rFont val="Calibri"/>
        <family val="2"/>
        <scheme val="minor"/>
      </rPr>
      <t>00574</t>
    </r>
    <r>
      <rPr>
        <sz val="11"/>
        <color theme="1"/>
        <rFont val="Calibri"/>
        <family val="2"/>
        <scheme val="minor"/>
      </rPr>
      <t xml:space="preserve"> - International Baccalaureate course
</t>
    </r>
    <r>
      <rPr>
        <b/>
        <sz val="11"/>
        <color theme="1"/>
        <rFont val="Calibri"/>
        <family val="2"/>
        <scheme val="minor"/>
      </rPr>
      <t>00575</t>
    </r>
    <r>
      <rPr>
        <sz val="11"/>
        <color theme="1"/>
        <rFont val="Calibri"/>
        <family val="2"/>
        <scheme val="minor"/>
      </rPr>
      <t xml:space="preserve"> - Advanced placement course
</t>
    </r>
    <r>
      <rPr>
        <b/>
        <sz val="11"/>
        <color theme="1"/>
        <rFont val="Calibri"/>
        <family val="2"/>
        <scheme val="minor"/>
      </rPr>
      <t>00576</t>
    </r>
    <r>
      <rPr>
        <sz val="11"/>
        <color theme="1"/>
        <rFont val="Calibri"/>
        <family val="2"/>
        <scheme val="minor"/>
      </rPr>
      <t xml:space="preserve"> - College-level course
</t>
    </r>
    <r>
      <rPr>
        <b/>
        <sz val="11"/>
        <color theme="1"/>
        <rFont val="Calibri"/>
        <family val="2"/>
        <scheme val="minor"/>
      </rPr>
      <t>00577</t>
    </r>
    <r>
      <rPr>
        <sz val="11"/>
        <color theme="1"/>
        <rFont val="Calibri"/>
        <family val="2"/>
        <scheme val="minor"/>
      </rPr>
      <t xml:space="preserve"> - Untracked course
</t>
    </r>
    <r>
      <rPr>
        <b/>
        <sz val="11"/>
        <color theme="1"/>
        <rFont val="Calibri"/>
        <family val="2"/>
        <scheme val="minor"/>
      </rPr>
      <t>00578</t>
    </r>
    <r>
      <rPr>
        <sz val="11"/>
        <color theme="1"/>
        <rFont val="Calibri"/>
        <family val="2"/>
        <scheme val="minor"/>
      </rPr>
      <t xml:space="preserve"> - English Language Learner (ELL) course
</t>
    </r>
    <r>
      <rPr>
        <b/>
        <sz val="11"/>
        <color theme="1"/>
        <rFont val="Calibri"/>
        <family val="2"/>
        <scheme val="minor"/>
      </rPr>
      <t>00579</t>
    </r>
    <r>
      <rPr>
        <sz val="11"/>
        <color theme="1"/>
        <rFont val="Calibri"/>
        <family val="2"/>
        <scheme val="minor"/>
      </rPr>
      <t xml:space="preserve"> - Accepted as a high school equivalent
</t>
    </r>
    <r>
      <rPr>
        <b/>
        <sz val="11"/>
        <color theme="1"/>
        <rFont val="Calibri"/>
        <family val="2"/>
        <scheme val="minor"/>
      </rPr>
      <t>73044</t>
    </r>
    <r>
      <rPr>
        <sz val="11"/>
        <color theme="1"/>
        <rFont val="Calibri"/>
        <family val="2"/>
        <scheme val="minor"/>
      </rPr>
      <t xml:space="preserve"> - Career and technical education general course
</t>
    </r>
    <r>
      <rPr>
        <b/>
        <sz val="11"/>
        <color theme="1"/>
        <rFont val="Calibri"/>
        <family val="2"/>
        <scheme val="minor"/>
      </rPr>
      <t>00741</t>
    </r>
    <r>
      <rPr>
        <sz val="11"/>
        <color theme="1"/>
        <rFont val="Calibri"/>
        <family val="2"/>
        <scheme val="minor"/>
      </rPr>
      <t xml:space="preserve"> - Completion of requirement, but no units of value awarded
</t>
    </r>
    <r>
      <rPr>
        <b/>
        <sz val="11"/>
        <color theme="1"/>
        <rFont val="Calibri"/>
        <family val="2"/>
        <scheme val="minor"/>
      </rPr>
      <t>73045</t>
    </r>
    <r>
      <rPr>
        <sz val="11"/>
        <color theme="1"/>
        <rFont val="Calibri"/>
        <family val="2"/>
        <scheme val="minor"/>
      </rPr>
      <t xml:space="preserve"> - Career and technical education dual-credit course
</t>
    </r>
  </si>
  <si>
    <r>
      <t>Accelerated</t>
    </r>
    <r>
      <rPr>
        <sz val="11"/>
        <color theme="1"/>
        <rFont val="Calibri"/>
        <family val="2"/>
        <scheme val="minor"/>
      </rPr>
      <t xml:space="preserve"> - Accelerated
</t>
    </r>
    <r>
      <rPr>
        <b/>
        <sz val="11"/>
        <color theme="1"/>
        <rFont val="Calibri"/>
        <family val="2"/>
        <scheme val="minor"/>
      </rPr>
      <t>AdultBasic</t>
    </r>
    <r>
      <rPr>
        <sz val="11"/>
        <color theme="1"/>
        <rFont val="Calibri"/>
        <family val="2"/>
        <scheme val="minor"/>
      </rPr>
      <t xml:space="preserve"> - Adult Basic
</t>
    </r>
    <r>
      <rPr>
        <b/>
        <sz val="11"/>
        <color theme="1"/>
        <rFont val="Calibri"/>
        <family val="2"/>
        <scheme val="minor"/>
      </rPr>
      <t>AdvancedPlacement</t>
    </r>
    <r>
      <rPr>
        <sz val="11"/>
        <color theme="1"/>
        <rFont val="Calibri"/>
        <family val="2"/>
        <scheme val="minor"/>
      </rPr>
      <t xml:space="preserve"> - Advanced Placement
</t>
    </r>
    <r>
      <rPr>
        <b/>
        <sz val="11"/>
        <color theme="1"/>
        <rFont val="Calibri"/>
        <family val="2"/>
        <scheme val="minor"/>
      </rPr>
      <t>Basic</t>
    </r>
    <r>
      <rPr>
        <sz val="11"/>
        <color theme="1"/>
        <rFont val="Calibri"/>
        <family val="2"/>
        <scheme val="minor"/>
      </rPr>
      <t xml:space="preserve"> - Basic
</t>
    </r>
    <r>
      <rPr>
        <b/>
        <sz val="11"/>
        <color theme="1"/>
        <rFont val="Calibri"/>
        <family val="2"/>
        <scheme val="minor"/>
      </rPr>
      <t>InternationalBaccalaureate</t>
    </r>
    <r>
      <rPr>
        <sz val="11"/>
        <color theme="1"/>
        <rFont val="Calibri"/>
        <family val="2"/>
        <scheme val="minor"/>
      </rPr>
      <t xml:space="preserve"> - International Baccalaureate
</t>
    </r>
    <r>
      <rPr>
        <b/>
        <sz val="11"/>
        <color theme="1"/>
        <rFont val="Calibri"/>
        <family val="2"/>
        <scheme val="minor"/>
      </rPr>
      <t>CollegeLevel</t>
    </r>
    <r>
      <rPr>
        <sz val="11"/>
        <color theme="1"/>
        <rFont val="Calibri"/>
        <family val="2"/>
        <scheme val="minor"/>
      </rPr>
      <t xml:space="preserve"> - College Level
</t>
    </r>
    <r>
      <rPr>
        <b/>
        <sz val="11"/>
        <color theme="1"/>
        <rFont val="Calibri"/>
        <family val="2"/>
        <scheme val="minor"/>
      </rPr>
      <t>CollegePreparatory</t>
    </r>
    <r>
      <rPr>
        <sz val="11"/>
        <color theme="1"/>
        <rFont val="Calibri"/>
        <family val="2"/>
        <scheme val="minor"/>
      </rPr>
      <t xml:space="preserve"> - College Preparatory
</t>
    </r>
    <r>
      <rPr>
        <b/>
        <sz val="11"/>
        <color theme="1"/>
        <rFont val="Calibri"/>
        <family val="2"/>
        <scheme val="minor"/>
      </rPr>
      <t>GiftedTalented</t>
    </r>
    <r>
      <rPr>
        <sz val="11"/>
        <color theme="1"/>
        <rFont val="Calibri"/>
        <family val="2"/>
        <scheme val="minor"/>
      </rPr>
      <t xml:space="preserve"> - Gifted and Talented
</t>
    </r>
    <r>
      <rPr>
        <b/>
        <sz val="11"/>
        <color theme="1"/>
        <rFont val="Calibri"/>
        <family val="2"/>
        <scheme val="minor"/>
      </rPr>
      <t>Honors</t>
    </r>
    <r>
      <rPr>
        <sz val="11"/>
        <color theme="1"/>
        <rFont val="Calibri"/>
        <family val="2"/>
        <scheme val="minor"/>
      </rPr>
      <t xml:space="preserve"> - Honors
</t>
    </r>
    <r>
      <rPr>
        <b/>
        <sz val="11"/>
        <color theme="1"/>
        <rFont val="Calibri"/>
        <family val="2"/>
        <scheme val="minor"/>
      </rPr>
      <t>NonAcademic</t>
    </r>
    <r>
      <rPr>
        <sz val="11"/>
        <color theme="1"/>
        <rFont val="Calibri"/>
        <family val="2"/>
        <scheme val="minor"/>
      </rPr>
      <t xml:space="preserve"> - Non-Academic
</t>
    </r>
    <r>
      <rPr>
        <b/>
        <sz val="11"/>
        <color theme="1"/>
        <rFont val="Calibri"/>
        <family val="2"/>
        <scheme val="minor"/>
      </rPr>
      <t>SpecialEducation</t>
    </r>
    <r>
      <rPr>
        <sz val="11"/>
        <color theme="1"/>
        <rFont val="Calibri"/>
        <family val="2"/>
        <scheme val="minor"/>
      </rPr>
      <t xml:space="preserve"> - Special Education
</t>
    </r>
    <r>
      <rPr>
        <b/>
        <sz val="11"/>
        <color theme="1"/>
        <rFont val="Calibri"/>
        <family val="2"/>
        <scheme val="minor"/>
      </rPr>
      <t>TechnicalPreparatory</t>
    </r>
    <r>
      <rPr>
        <sz val="11"/>
        <color theme="1"/>
        <rFont val="Calibri"/>
        <family val="2"/>
        <scheme val="minor"/>
      </rPr>
      <t xml:space="preserve"> - Technical Preparatory
</t>
    </r>
    <r>
      <rPr>
        <b/>
        <sz val="11"/>
        <color theme="1"/>
        <rFont val="Calibri"/>
        <family val="2"/>
        <scheme val="minor"/>
      </rPr>
      <t>Vocational</t>
    </r>
    <r>
      <rPr>
        <sz val="11"/>
        <color theme="1"/>
        <rFont val="Calibri"/>
        <family val="2"/>
        <scheme val="minor"/>
      </rPr>
      <t xml:space="preserve"> - Vocational
</t>
    </r>
    <r>
      <rPr>
        <b/>
        <sz val="11"/>
        <color theme="1"/>
        <rFont val="Calibri"/>
        <family val="2"/>
        <scheme val="minor"/>
      </rPr>
      <t>LowerDivision</t>
    </r>
    <r>
      <rPr>
        <sz val="11"/>
        <color theme="1"/>
        <rFont val="Calibri"/>
        <family val="2"/>
        <scheme val="minor"/>
      </rPr>
      <t xml:space="preserve"> - Lower division
</t>
    </r>
    <r>
      <rPr>
        <b/>
        <sz val="11"/>
        <color theme="1"/>
        <rFont val="Calibri"/>
        <family val="2"/>
        <scheme val="minor"/>
      </rPr>
      <t>UpperDivision</t>
    </r>
    <r>
      <rPr>
        <sz val="11"/>
        <color theme="1"/>
        <rFont val="Calibri"/>
        <family val="2"/>
        <scheme val="minor"/>
      </rPr>
      <t xml:space="preserve"> - Upper division
</t>
    </r>
    <r>
      <rPr>
        <b/>
        <sz val="11"/>
        <color theme="1"/>
        <rFont val="Calibri"/>
        <family val="2"/>
        <scheme val="minor"/>
      </rPr>
      <t>Dual</t>
    </r>
    <r>
      <rPr>
        <sz val="11"/>
        <color theme="1"/>
        <rFont val="Calibri"/>
        <family val="2"/>
        <scheme val="minor"/>
      </rPr>
      <t xml:space="preserve"> - Dual level
</t>
    </r>
    <r>
      <rPr>
        <b/>
        <sz val="11"/>
        <color theme="1"/>
        <rFont val="Calibri"/>
        <family val="2"/>
        <scheme val="minor"/>
      </rPr>
      <t>GraduateProfessional</t>
    </r>
    <r>
      <rPr>
        <sz val="11"/>
        <color theme="1"/>
        <rFont val="Calibri"/>
        <family val="2"/>
        <scheme val="minor"/>
      </rPr>
      <t xml:space="preserve"> - Graduate/Professional
</t>
    </r>
    <r>
      <rPr>
        <b/>
        <sz val="11"/>
        <color theme="1"/>
        <rFont val="Calibri"/>
        <family val="2"/>
        <scheme val="minor"/>
      </rPr>
      <t>Regents</t>
    </r>
    <r>
      <rPr>
        <sz val="11"/>
        <color theme="1"/>
        <rFont val="Calibri"/>
        <family val="2"/>
        <scheme val="minor"/>
      </rPr>
      <t xml:space="preserve"> - Regents
</t>
    </r>
    <r>
      <rPr>
        <b/>
        <sz val="11"/>
        <color theme="1"/>
        <rFont val="Calibri"/>
        <family val="2"/>
        <scheme val="minor"/>
      </rPr>
      <t>Remedial</t>
    </r>
    <r>
      <rPr>
        <sz val="11"/>
        <color theme="1"/>
        <rFont val="Calibri"/>
        <family val="2"/>
        <scheme val="minor"/>
      </rPr>
      <t xml:space="preserve"> - Remedial/Developmental
</t>
    </r>
  </si>
  <si>
    <r>
      <t>RepeatCounted</t>
    </r>
    <r>
      <rPr>
        <sz val="11"/>
        <color theme="1"/>
        <rFont val="Calibri"/>
        <family val="2"/>
        <scheme val="minor"/>
      </rPr>
      <t xml:space="preserve"> - Repeated, counted in grade point average
</t>
    </r>
    <r>
      <rPr>
        <b/>
        <sz val="11"/>
        <color theme="1"/>
        <rFont val="Calibri"/>
        <family val="2"/>
        <scheme val="minor"/>
      </rPr>
      <t>RepeatNotCounted</t>
    </r>
    <r>
      <rPr>
        <sz val="11"/>
        <color theme="1"/>
        <rFont val="Calibri"/>
        <family val="2"/>
        <scheme val="minor"/>
      </rPr>
      <t xml:space="preserve"> - Repeated, not counted in grade point average
</t>
    </r>
    <r>
      <rPr>
        <b/>
        <sz val="11"/>
        <color theme="1"/>
        <rFont val="Calibri"/>
        <family val="2"/>
        <scheme val="minor"/>
      </rPr>
      <t>ReplacementCounted</t>
    </r>
    <r>
      <rPr>
        <sz val="11"/>
        <color theme="1"/>
        <rFont val="Calibri"/>
        <family val="2"/>
        <scheme val="minor"/>
      </rPr>
      <t xml:space="preserve"> - Replacement counted
</t>
    </r>
    <r>
      <rPr>
        <b/>
        <sz val="11"/>
        <color theme="1"/>
        <rFont val="Calibri"/>
        <family val="2"/>
        <scheme val="minor"/>
      </rPr>
      <t>ReplacedNotCounted</t>
    </r>
    <r>
      <rPr>
        <sz val="11"/>
        <color theme="1"/>
        <rFont val="Calibri"/>
        <family val="2"/>
        <scheme val="minor"/>
      </rPr>
      <t xml:space="preserve"> - Replacement not counted
</t>
    </r>
    <r>
      <rPr>
        <b/>
        <sz val="11"/>
        <color theme="1"/>
        <rFont val="Calibri"/>
        <family val="2"/>
        <scheme val="minor"/>
      </rPr>
      <t>RepeatOtherInstitution</t>
    </r>
    <r>
      <rPr>
        <sz val="11"/>
        <color theme="1"/>
        <rFont val="Calibri"/>
        <family val="2"/>
        <scheme val="minor"/>
      </rPr>
      <t xml:space="preserve"> - Repeated, other institution
</t>
    </r>
    <r>
      <rPr>
        <b/>
        <sz val="11"/>
        <color theme="1"/>
        <rFont val="Calibri"/>
        <family val="2"/>
        <scheme val="minor"/>
      </rPr>
      <t>NotCountedOther</t>
    </r>
    <r>
      <rPr>
        <sz val="11"/>
        <color theme="1"/>
        <rFont val="Calibri"/>
        <family val="2"/>
        <scheme val="minor"/>
      </rPr>
      <t xml:space="preserve"> - Other, not counted in GPA (e.g., used for academic forgiveness or clemency).
</t>
    </r>
  </si>
  <si>
    <r>
      <t>NewEnrollment</t>
    </r>
    <r>
      <rPr>
        <sz val="11"/>
        <color theme="1"/>
        <rFont val="Calibri"/>
        <family val="2"/>
        <scheme val="minor"/>
      </rPr>
      <t xml:space="preserve"> - New Enrollment
</t>
    </r>
    <r>
      <rPr>
        <b/>
        <sz val="11"/>
        <color theme="1"/>
        <rFont val="Calibri"/>
        <family val="2"/>
        <scheme val="minor"/>
      </rPr>
      <t>Transfer</t>
    </r>
    <r>
      <rPr>
        <sz val="11"/>
        <color theme="1"/>
        <rFont val="Calibri"/>
        <family val="2"/>
        <scheme val="minor"/>
      </rPr>
      <t xml:space="preserve"> - Transfer
</t>
    </r>
  </si>
  <si>
    <r>
      <t>Transfer</t>
    </r>
    <r>
      <rPr>
        <sz val="11"/>
        <color theme="1"/>
        <rFont val="Calibri"/>
        <family val="2"/>
        <scheme val="minor"/>
      </rPr>
      <t xml:space="preserve"> - Student transferred to another Class Section of the same course in the same educational institution.
</t>
    </r>
    <r>
      <rPr>
        <b/>
        <sz val="11"/>
        <color theme="1"/>
        <rFont val="Calibri"/>
        <family val="2"/>
        <scheme val="minor"/>
      </rPr>
      <t>CompletedForCredit</t>
    </r>
    <r>
      <rPr>
        <sz val="11"/>
        <color theme="1"/>
        <rFont val="Calibri"/>
        <family val="2"/>
        <scheme val="minor"/>
      </rPr>
      <t xml:space="preserve"> - Class Section completed, student received credit for the course.
</t>
    </r>
    <r>
      <rPr>
        <b/>
        <sz val="11"/>
        <color theme="1"/>
        <rFont val="Calibri"/>
        <family val="2"/>
        <scheme val="minor"/>
      </rPr>
      <t>CompletedNoCredit</t>
    </r>
    <r>
      <rPr>
        <sz val="11"/>
        <color theme="1"/>
        <rFont val="Calibri"/>
        <family val="2"/>
        <scheme val="minor"/>
      </rPr>
      <t xml:space="preserve"> - Class Section completed, student did not receive credit for the course.
</t>
    </r>
    <r>
      <rPr>
        <b/>
        <sz val="11"/>
        <color theme="1"/>
        <rFont val="Calibri"/>
        <family val="2"/>
        <scheme val="minor"/>
      </rPr>
      <t>Incomplete</t>
    </r>
    <r>
      <rPr>
        <sz val="11"/>
        <color theme="1"/>
        <rFont val="Calibri"/>
        <family val="2"/>
        <scheme val="minor"/>
      </rPr>
      <t xml:space="preserve"> - Class Section completed, student did not complete the work required to complete the course.
</t>
    </r>
  </si>
  <si>
    <r>
      <t>Broadcast</t>
    </r>
    <r>
      <rPr>
        <sz val="11"/>
        <color theme="1"/>
        <rFont val="Calibri"/>
        <family val="2"/>
        <scheme val="minor"/>
      </rPr>
      <t xml:space="preserve"> - Broadcast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EarlyCollege</t>
    </r>
    <r>
      <rPr>
        <sz val="11"/>
        <color theme="1"/>
        <rFont val="Calibri"/>
        <family val="2"/>
        <scheme val="minor"/>
      </rPr>
      <t xml:space="preserve"> - Early College
</t>
    </r>
    <r>
      <rPr>
        <b/>
        <sz val="11"/>
        <color theme="1"/>
        <rFont val="Calibri"/>
        <family val="2"/>
        <scheme val="minor"/>
      </rPr>
      <t>AudioVideo</t>
    </r>
    <r>
      <rPr>
        <sz val="11"/>
        <color theme="1"/>
        <rFont val="Calibri"/>
        <family val="2"/>
        <scheme val="minor"/>
      </rPr>
      <t xml:space="preserve"> - Interactive Audio/Video
</t>
    </r>
    <r>
      <rPr>
        <b/>
        <sz val="11"/>
        <color theme="1"/>
        <rFont val="Calibri"/>
        <family val="2"/>
        <scheme val="minor"/>
      </rPr>
      <t>Online</t>
    </r>
    <r>
      <rPr>
        <sz val="11"/>
        <color theme="1"/>
        <rFont val="Calibri"/>
        <family val="2"/>
        <scheme val="minor"/>
      </rPr>
      <t xml:space="preserve"> - Online
</t>
    </r>
    <r>
      <rPr>
        <b/>
        <sz val="11"/>
        <color theme="1"/>
        <rFont val="Calibri"/>
        <family val="2"/>
        <scheme val="minor"/>
      </rPr>
      <t>IndependentStudy</t>
    </r>
    <r>
      <rPr>
        <sz val="11"/>
        <color theme="1"/>
        <rFont val="Calibri"/>
        <family val="2"/>
        <scheme val="minor"/>
      </rPr>
      <t xml:space="preserve"> - Independent Study
</t>
    </r>
    <r>
      <rPr>
        <b/>
        <sz val="11"/>
        <color theme="1"/>
        <rFont val="Calibri"/>
        <family val="2"/>
        <scheme val="minor"/>
      </rPr>
      <t>FaceToFace</t>
    </r>
    <r>
      <rPr>
        <sz val="11"/>
        <color theme="1"/>
        <rFont val="Calibri"/>
        <family val="2"/>
        <scheme val="minor"/>
      </rPr>
      <t xml:space="preserve"> - Face to Face
</t>
    </r>
    <r>
      <rPr>
        <b/>
        <sz val="11"/>
        <color theme="1"/>
        <rFont val="Calibri"/>
        <family val="2"/>
        <scheme val="minor"/>
      </rPr>
      <t>BlendedLearning</t>
    </r>
    <r>
      <rPr>
        <sz val="11"/>
        <color theme="1"/>
        <rFont val="Calibri"/>
        <family val="2"/>
        <scheme val="minor"/>
      </rPr>
      <t xml:space="preserve"> - Blended Learning
</t>
    </r>
  </si>
  <si>
    <r>
      <t>MaleOnly</t>
    </r>
    <r>
      <rPr>
        <sz val="11"/>
        <color theme="1"/>
        <rFont val="Calibri"/>
        <family val="2"/>
        <scheme val="minor"/>
      </rPr>
      <t xml:space="preserve"> - Male-only
</t>
    </r>
    <r>
      <rPr>
        <b/>
        <sz val="11"/>
        <color theme="1"/>
        <rFont val="Calibri"/>
        <family val="2"/>
        <scheme val="minor"/>
      </rPr>
      <t>FemaleOnly</t>
    </r>
    <r>
      <rPr>
        <sz val="11"/>
        <color theme="1"/>
        <rFont val="Calibri"/>
        <family val="2"/>
        <scheme val="minor"/>
      </rPr>
      <t xml:space="preserve"> - Female-only
</t>
    </r>
    <r>
      <rPr>
        <b/>
        <sz val="11"/>
        <color theme="1"/>
        <rFont val="Calibri"/>
        <family val="2"/>
        <scheme val="minor"/>
      </rPr>
      <t>NotSingleSex</t>
    </r>
    <r>
      <rPr>
        <sz val="11"/>
        <color theme="1"/>
        <rFont val="Calibri"/>
        <family val="2"/>
        <scheme val="minor"/>
      </rPr>
      <t xml:space="preserve"> - Not a single-sex class
</t>
    </r>
  </si>
  <si>
    <r>
      <t>00</t>
    </r>
    <r>
      <rPr>
        <sz val="11"/>
        <color theme="1"/>
        <rFont val="Calibri"/>
        <family val="2"/>
        <scheme val="minor"/>
      </rPr>
      <t xml:space="preserve"> - None
</t>
    </r>
    <r>
      <rPr>
        <b/>
        <sz val="11"/>
        <color theme="1"/>
        <rFont val="Calibri"/>
        <family val="2"/>
        <scheme val="minor"/>
      </rPr>
      <t>01</t>
    </r>
    <r>
      <rPr>
        <sz val="11"/>
        <color theme="1"/>
        <rFont val="Calibri"/>
        <family val="2"/>
        <scheme val="minor"/>
      </rPr>
      <t xml:space="preserve"> - Undergraduate hours applied towards graduate degree
</t>
    </r>
    <r>
      <rPr>
        <b/>
        <sz val="11"/>
        <color theme="1"/>
        <rFont val="Calibri"/>
        <family val="2"/>
        <scheme val="minor"/>
      </rPr>
      <t>02</t>
    </r>
    <r>
      <rPr>
        <sz val="11"/>
        <color theme="1"/>
        <rFont val="Calibri"/>
        <family val="2"/>
        <scheme val="minor"/>
      </rPr>
      <t xml:space="preserve"> - Credit hours taken at the postbaccalaureate level
</t>
    </r>
    <r>
      <rPr>
        <b/>
        <sz val="11"/>
        <color theme="1"/>
        <rFont val="Calibri"/>
        <family val="2"/>
        <scheme val="minor"/>
      </rPr>
      <t>03</t>
    </r>
    <r>
      <rPr>
        <sz val="11"/>
        <color theme="1"/>
        <rFont val="Calibri"/>
        <family val="2"/>
        <scheme val="minor"/>
      </rPr>
      <t xml:space="preserve"> - Credit hours taken as unclassified student
</t>
    </r>
    <r>
      <rPr>
        <b/>
        <sz val="11"/>
        <color theme="1"/>
        <rFont val="Calibri"/>
        <family val="2"/>
        <scheme val="minor"/>
      </rPr>
      <t>04</t>
    </r>
    <r>
      <rPr>
        <sz val="11"/>
        <color theme="1"/>
        <rFont val="Calibri"/>
        <family val="2"/>
        <scheme val="minor"/>
      </rPr>
      <t xml:space="preserve"> - Credit hours taken as an independent student
</t>
    </r>
    <r>
      <rPr>
        <b/>
        <sz val="11"/>
        <color theme="1"/>
        <rFont val="Calibri"/>
        <family val="2"/>
        <scheme val="minor"/>
      </rPr>
      <t>05</t>
    </r>
    <r>
      <rPr>
        <sz val="11"/>
        <color theme="1"/>
        <rFont val="Calibri"/>
        <family val="2"/>
        <scheme val="minor"/>
      </rPr>
      <t xml:space="preserve"> - Credit hours taken as traveling scholar at another university
</t>
    </r>
    <r>
      <rPr>
        <b/>
        <sz val="11"/>
        <color theme="1"/>
        <rFont val="Calibri"/>
        <family val="2"/>
        <scheme val="minor"/>
      </rPr>
      <t>06</t>
    </r>
    <r>
      <rPr>
        <sz val="11"/>
        <color theme="1"/>
        <rFont val="Calibri"/>
        <family val="2"/>
        <scheme val="minor"/>
      </rPr>
      <t xml:space="preserve"> - Credit hours taken at master's level
</t>
    </r>
    <r>
      <rPr>
        <b/>
        <sz val="11"/>
        <color theme="1"/>
        <rFont val="Calibri"/>
        <family val="2"/>
        <scheme val="minor"/>
      </rPr>
      <t>07</t>
    </r>
    <r>
      <rPr>
        <sz val="11"/>
        <color theme="1"/>
        <rFont val="Calibri"/>
        <family val="2"/>
        <scheme val="minor"/>
      </rPr>
      <t xml:space="preserve"> - Credit hours taken as a master's student in one program, applied towards another master's program
</t>
    </r>
    <r>
      <rPr>
        <b/>
        <sz val="11"/>
        <color theme="1"/>
        <rFont val="Calibri"/>
        <family val="2"/>
        <scheme val="minor"/>
      </rPr>
      <t>98</t>
    </r>
    <r>
      <rPr>
        <sz val="11"/>
        <color theme="1"/>
        <rFont val="Calibri"/>
        <family val="2"/>
        <scheme val="minor"/>
      </rPr>
      <t xml:space="preserve"> - Unknown
</t>
    </r>
    <r>
      <rPr>
        <b/>
        <sz val="11"/>
        <color theme="1"/>
        <rFont val="Calibri"/>
        <family val="2"/>
        <scheme val="minor"/>
      </rPr>
      <t>99</t>
    </r>
    <r>
      <rPr>
        <sz val="11"/>
        <color theme="1"/>
        <rFont val="Calibri"/>
        <family val="2"/>
        <scheme val="minor"/>
      </rPr>
      <t xml:space="preserve"> - Other
</t>
    </r>
  </si>
  <si>
    <r>
      <t>00585</t>
    </r>
    <r>
      <rPr>
        <sz val="11"/>
        <color theme="1"/>
        <rFont val="Calibri"/>
        <family val="2"/>
        <scheme val="minor"/>
      </rPr>
      <t xml:space="preserve"> - Carnegie unit
</t>
    </r>
    <r>
      <rPr>
        <b/>
        <sz val="11"/>
        <color theme="1"/>
        <rFont val="Calibri"/>
        <family val="2"/>
        <scheme val="minor"/>
      </rPr>
      <t>00586</t>
    </r>
    <r>
      <rPr>
        <sz val="11"/>
        <color theme="1"/>
        <rFont val="Calibri"/>
        <family val="2"/>
        <scheme val="minor"/>
      </rPr>
      <t xml:space="preserve"> - Semester hour credit
</t>
    </r>
    <r>
      <rPr>
        <b/>
        <sz val="11"/>
        <color theme="1"/>
        <rFont val="Calibri"/>
        <family val="2"/>
        <scheme val="minor"/>
      </rPr>
      <t>00587</t>
    </r>
    <r>
      <rPr>
        <sz val="11"/>
        <color theme="1"/>
        <rFont val="Calibri"/>
        <family val="2"/>
        <scheme val="minor"/>
      </rPr>
      <t xml:space="preserve"> - Trimester hour credit
</t>
    </r>
    <r>
      <rPr>
        <b/>
        <sz val="11"/>
        <color theme="1"/>
        <rFont val="Calibri"/>
        <family val="2"/>
        <scheme val="minor"/>
      </rPr>
      <t>00588</t>
    </r>
    <r>
      <rPr>
        <sz val="11"/>
        <color theme="1"/>
        <rFont val="Calibri"/>
        <family val="2"/>
        <scheme val="minor"/>
      </rPr>
      <t xml:space="preserve"> - Quarter hour credit
</t>
    </r>
    <r>
      <rPr>
        <b/>
        <sz val="11"/>
        <color theme="1"/>
        <rFont val="Calibri"/>
        <family val="2"/>
        <scheme val="minor"/>
      </rPr>
      <t>00589</t>
    </r>
    <r>
      <rPr>
        <sz val="11"/>
        <color theme="1"/>
        <rFont val="Calibri"/>
        <family val="2"/>
        <scheme val="minor"/>
      </rPr>
      <t xml:space="preserve"> - Quinmester hour credit
</t>
    </r>
    <r>
      <rPr>
        <b/>
        <sz val="11"/>
        <color theme="1"/>
        <rFont val="Calibri"/>
        <family val="2"/>
        <scheme val="minor"/>
      </rPr>
      <t>00590</t>
    </r>
    <r>
      <rPr>
        <sz val="11"/>
        <color theme="1"/>
        <rFont val="Calibri"/>
        <family val="2"/>
        <scheme val="minor"/>
      </rPr>
      <t xml:space="preserve"> - Mini-term hour credit
</t>
    </r>
    <r>
      <rPr>
        <b/>
        <sz val="11"/>
        <color theme="1"/>
        <rFont val="Calibri"/>
        <family val="2"/>
        <scheme val="minor"/>
      </rPr>
      <t>00591</t>
    </r>
    <r>
      <rPr>
        <sz val="11"/>
        <color theme="1"/>
        <rFont val="Calibri"/>
        <family val="2"/>
        <scheme val="minor"/>
      </rPr>
      <t xml:space="preserve"> - Summer term hour credit
</t>
    </r>
    <r>
      <rPr>
        <b/>
        <sz val="11"/>
        <color theme="1"/>
        <rFont val="Calibri"/>
        <family val="2"/>
        <scheme val="minor"/>
      </rPr>
      <t>00592</t>
    </r>
    <r>
      <rPr>
        <sz val="11"/>
        <color theme="1"/>
        <rFont val="Calibri"/>
        <family val="2"/>
        <scheme val="minor"/>
      </rPr>
      <t xml:space="preserve"> - Intersession hour credit
</t>
    </r>
    <r>
      <rPr>
        <b/>
        <sz val="11"/>
        <color theme="1"/>
        <rFont val="Calibri"/>
        <family val="2"/>
        <scheme val="minor"/>
      </rPr>
      <t>00595</t>
    </r>
    <r>
      <rPr>
        <sz val="11"/>
        <color theme="1"/>
        <rFont val="Calibri"/>
        <family val="2"/>
        <scheme val="minor"/>
      </rPr>
      <t xml:space="preserve"> - Long session hour credit
</t>
    </r>
    <r>
      <rPr>
        <b/>
        <sz val="11"/>
        <color theme="1"/>
        <rFont val="Calibri"/>
        <family val="2"/>
        <scheme val="minor"/>
      </rPr>
      <t>00596</t>
    </r>
    <r>
      <rPr>
        <sz val="11"/>
        <color theme="1"/>
        <rFont val="Calibri"/>
        <family val="2"/>
        <scheme val="minor"/>
      </rPr>
      <t xml:space="preserve"> - Twelve month hour credit
</t>
    </r>
    <r>
      <rPr>
        <b/>
        <sz val="11"/>
        <color theme="1"/>
        <rFont val="Calibri"/>
        <family val="2"/>
        <scheme val="minor"/>
      </rPr>
      <t>00597</t>
    </r>
    <r>
      <rPr>
        <sz val="11"/>
        <color theme="1"/>
        <rFont val="Calibri"/>
        <family val="2"/>
        <scheme val="minor"/>
      </rPr>
      <t xml:space="preserve"> - Career and Technical Education credit
</t>
    </r>
    <r>
      <rPr>
        <b/>
        <sz val="11"/>
        <color theme="1"/>
        <rFont val="Calibri"/>
        <family val="2"/>
        <scheme val="minor"/>
      </rPr>
      <t>73062</t>
    </r>
    <r>
      <rPr>
        <sz val="11"/>
        <color theme="1"/>
        <rFont val="Calibri"/>
        <family val="2"/>
        <scheme val="minor"/>
      </rPr>
      <t xml:space="preserve"> - Adult high school credit
</t>
    </r>
    <r>
      <rPr>
        <b/>
        <sz val="11"/>
        <color theme="1"/>
        <rFont val="Calibri"/>
        <family val="2"/>
        <scheme val="minor"/>
      </rPr>
      <t>00599</t>
    </r>
    <r>
      <rPr>
        <sz val="11"/>
        <color theme="1"/>
        <rFont val="Calibri"/>
        <family val="2"/>
        <scheme val="minor"/>
      </rPr>
      <t xml:space="preserve"> - Credit by examination
</t>
    </r>
    <r>
      <rPr>
        <b/>
        <sz val="11"/>
        <color theme="1"/>
        <rFont val="Calibri"/>
        <family val="2"/>
        <scheme val="minor"/>
      </rPr>
      <t>00600</t>
    </r>
    <r>
      <rPr>
        <sz val="11"/>
        <color theme="1"/>
        <rFont val="Calibri"/>
        <family val="2"/>
        <scheme val="minor"/>
      </rPr>
      <t xml:space="preserve"> - Correspondence credit
</t>
    </r>
    <r>
      <rPr>
        <b/>
        <sz val="11"/>
        <color theme="1"/>
        <rFont val="Calibri"/>
        <family val="2"/>
        <scheme val="minor"/>
      </rPr>
      <t>00601</t>
    </r>
    <r>
      <rPr>
        <sz val="11"/>
        <color theme="1"/>
        <rFont val="Calibri"/>
        <family val="2"/>
        <scheme val="minor"/>
      </rPr>
      <t xml:space="preserve"> - Converted occupational experience credit
</t>
    </r>
    <r>
      <rPr>
        <b/>
        <sz val="11"/>
        <color theme="1"/>
        <rFont val="Calibri"/>
        <family val="2"/>
        <scheme val="minor"/>
      </rPr>
      <t>09999</t>
    </r>
    <r>
      <rPr>
        <sz val="11"/>
        <color theme="1"/>
        <rFont val="Calibri"/>
        <family val="2"/>
        <scheme val="minor"/>
      </rPr>
      <t xml:space="preserve"> - Other
</t>
    </r>
  </si>
  <si>
    <r>
      <t>LEA</t>
    </r>
    <r>
      <rPr>
        <sz val="11"/>
        <color theme="1"/>
        <rFont val="Calibri"/>
        <family val="2"/>
        <scheme val="minor"/>
      </rPr>
      <t xml:space="preserve"> - Local Education Agency (LEA) curriculum framework
</t>
    </r>
    <r>
      <rPr>
        <b/>
        <sz val="11"/>
        <color theme="1"/>
        <rFont val="Calibri"/>
        <family val="2"/>
        <scheme val="minor"/>
      </rPr>
      <t>NationalStandard</t>
    </r>
    <r>
      <rPr>
        <sz val="11"/>
        <color theme="1"/>
        <rFont val="Calibri"/>
        <family val="2"/>
        <scheme val="minor"/>
      </rPr>
      <t xml:space="preserve"> - National curriculum standard
</t>
    </r>
    <r>
      <rPr>
        <b/>
        <sz val="11"/>
        <color theme="1"/>
        <rFont val="Calibri"/>
        <family val="2"/>
        <scheme val="minor"/>
      </rPr>
      <t>PrivateOrReligious</t>
    </r>
    <r>
      <rPr>
        <sz val="11"/>
        <color theme="1"/>
        <rFont val="Calibri"/>
        <family val="2"/>
        <scheme val="minor"/>
      </rPr>
      <t xml:space="preserve"> - Private, religious curriculum
</t>
    </r>
    <r>
      <rPr>
        <b/>
        <sz val="11"/>
        <color theme="1"/>
        <rFont val="Calibri"/>
        <family val="2"/>
        <scheme val="minor"/>
      </rPr>
      <t>School</t>
    </r>
    <r>
      <rPr>
        <sz val="11"/>
        <color theme="1"/>
        <rFont val="Calibri"/>
        <family val="2"/>
        <scheme val="minor"/>
      </rPr>
      <t xml:space="preserve"> - School curriculum framework
</t>
    </r>
    <r>
      <rPr>
        <b/>
        <sz val="11"/>
        <color theme="1"/>
        <rFont val="Calibri"/>
        <family val="2"/>
        <scheme val="minor"/>
      </rPr>
      <t>State</t>
    </r>
    <r>
      <rPr>
        <sz val="11"/>
        <color theme="1"/>
        <rFont val="Calibri"/>
        <family val="2"/>
        <scheme val="minor"/>
      </rPr>
      <t xml:space="preserve"> - State curriculum framework
</t>
    </r>
    <r>
      <rPr>
        <b/>
        <sz val="11"/>
        <color theme="1"/>
        <rFont val="Calibri"/>
        <family val="2"/>
        <scheme val="minor"/>
      </rPr>
      <t>Other</t>
    </r>
    <r>
      <rPr>
        <sz val="11"/>
        <color theme="1"/>
        <rFont val="Calibri"/>
        <family val="2"/>
        <scheme val="minor"/>
      </rPr>
      <t xml:space="preserve"> - Other
</t>
    </r>
  </si>
  <si>
    <r>
      <t>Mother</t>
    </r>
    <r>
      <rPr>
        <sz val="11"/>
        <color theme="1"/>
        <rFont val="Calibri"/>
        <family val="2"/>
        <scheme val="minor"/>
      </rPr>
      <t xml:space="preserve"> - Mother
</t>
    </r>
    <r>
      <rPr>
        <b/>
        <sz val="11"/>
        <color theme="1"/>
        <rFont val="Calibri"/>
        <family val="2"/>
        <scheme val="minor"/>
      </rPr>
      <t>Father</t>
    </r>
    <r>
      <rPr>
        <sz val="11"/>
        <color theme="1"/>
        <rFont val="Calibri"/>
        <family val="2"/>
        <scheme val="minor"/>
      </rPr>
      <t xml:space="preserve"> - Father
</t>
    </r>
    <r>
      <rPr>
        <b/>
        <sz val="11"/>
        <color theme="1"/>
        <rFont val="Calibri"/>
        <family val="2"/>
        <scheme val="minor"/>
      </rPr>
      <t>Grandparent</t>
    </r>
    <r>
      <rPr>
        <sz val="11"/>
        <color theme="1"/>
        <rFont val="Calibri"/>
        <family val="2"/>
        <scheme val="minor"/>
      </rPr>
      <t xml:space="preserve"> - Grandparent
</t>
    </r>
    <r>
      <rPr>
        <b/>
        <sz val="11"/>
        <color theme="1"/>
        <rFont val="Calibri"/>
        <family val="2"/>
        <scheme val="minor"/>
      </rPr>
      <t>Aunt</t>
    </r>
    <r>
      <rPr>
        <sz val="11"/>
        <color theme="1"/>
        <rFont val="Calibri"/>
        <family val="2"/>
        <scheme val="minor"/>
      </rPr>
      <t xml:space="preserve"> - Aunt
</t>
    </r>
    <r>
      <rPr>
        <b/>
        <sz val="11"/>
        <color theme="1"/>
        <rFont val="Calibri"/>
        <family val="2"/>
        <scheme val="minor"/>
      </rPr>
      <t>Uncle</t>
    </r>
    <r>
      <rPr>
        <sz val="11"/>
        <color theme="1"/>
        <rFont val="Calibri"/>
        <family val="2"/>
        <scheme val="minor"/>
      </rPr>
      <t xml:space="preserve"> - Uncle
</t>
    </r>
    <r>
      <rPr>
        <b/>
        <sz val="11"/>
        <color theme="1"/>
        <rFont val="Calibri"/>
        <family val="2"/>
        <scheme val="minor"/>
      </rPr>
      <t>Sibling</t>
    </r>
    <r>
      <rPr>
        <sz val="11"/>
        <color theme="1"/>
        <rFont val="Calibri"/>
        <family val="2"/>
        <scheme val="minor"/>
      </rPr>
      <t xml:space="preserve"> - Sibling
</t>
    </r>
    <r>
      <rPr>
        <b/>
        <sz val="11"/>
        <color theme="1"/>
        <rFont val="Calibri"/>
        <family val="2"/>
        <scheme val="minor"/>
      </rPr>
      <t>FosterParent</t>
    </r>
    <r>
      <rPr>
        <sz val="11"/>
        <color theme="1"/>
        <rFont val="Calibri"/>
        <family val="2"/>
        <scheme val="minor"/>
      </rPr>
      <t xml:space="preserve"> - Foster parent
</t>
    </r>
    <r>
      <rPr>
        <b/>
        <sz val="11"/>
        <color theme="1"/>
        <rFont val="Calibri"/>
        <family val="2"/>
        <scheme val="minor"/>
      </rPr>
      <t>CourtSystem</t>
    </r>
    <r>
      <rPr>
        <sz val="11"/>
        <color theme="1"/>
        <rFont val="Calibri"/>
        <family val="2"/>
        <scheme val="minor"/>
      </rPr>
      <t xml:space="preserve"> - In court system - not yet in foster care
</t>
    </r>
    <r>
      <rPr>
        <b/>
        <sz val="11"/>
        <color theme="1"/>
        <rFont val="Calibri"/>
        <family val="2"/>
        <scheme val="minor"/>
      </rPr>
      <t>Other</t>
    </r>
    <r>
      <rPr>
        <sz val="11"/>
        <color theme="1"/>
        <rFont val="Calibri"/>
        <family val="2"/>
        <scheme val="minor"/>
      </rPr>
      <t xml:space="preserve"> - Other
</t>
    </r>
  </si>
  <si>
    <r>
      <t>73063</t>
    </r>
    <r>
      <rPr>
        <sz val="11"/>
        <color theme="1"/>
        <rFont val="Calibri"/>
        <family val="2"/>
        <scheme val="minor"/>
      </rPr>
      <t xml:space="preserve"> - Adult education certification, endorsement, or degree
</t>
    </r>
    <r>
      <rPr>
        <b/>
        <sz val="11"/>
        <color theme="1"/>
        <rFont val="Calibri"/>
        <family val="2"/>
        <scheme val="minor"/>
      </rPr>
      <t>01050</t>
    </r>
    <r>
      <rPr>
        <sz val="11"/>
        <color theme="1"/>
        <rFont val="Calibri"/>
        <family val="2"/>
        <scheme val="minor"/>
      </rPr>
      <t xml:space="preserve"> - Associate's degree (two years or more)
</t>
    </r>
    <r>
      <rPr>
        <b/>
        <sz val="11"/>
        <color theme="1"/>
        <rFont val="Calibri"/>
        <family val="2"/>
        <scheme val="minor"/>
      </rPr>
      <t>01051</t>
    </r>
    <r>
      <rPr>
        <sz val="11"/>
        <color theme="1"/>
        <rFont val="Calibri"/>
        <family val="2"/>
        <scheme val="minor"/>
      </rPr>
      <t xml:space="preserve"> - Bachelor's (Baccalaureate) degree
</t>
    </r>
    <r>
      <rPr>
        <b/>
        <sz val="11"/>
        <color theme="1"/>
        <rFont val="Calibri"/>
        <family val="2"/>
        <scheme val="minor"/>
      </rPr>
      <t>01057</t>
    </r>
    <r>
      <rPr>
        <sz val="11"/>
        <color theme="1"/>
        <rFont val="Calibri"/>
        <family val="2"/>
        <scheme val="minor"/>
      </rPr>
      <t xml:space="preserve"> - Doctoral (Doctor's) degree
</t>
    </r>
    <r>
      <rPr>
        <b/>
        <sz val="11"/>
        <color theme="1"/>
        <rFont val="Calibri"/>
        <family val="2"/>
        <scheme val="minor"/>
      </rPr>
      <t>01053</t>
    </r>
    <r>
      <rPr>
        <sz val="11"/>
        <color theme="1"/>
        <rFont val="Calibri"/>
        <family val="2"/>
        <scheme val="minor"/>
      </rPr>
      <t xml:space="preserve"> - First-professional degree
</t>
    </r>
    <r>
      <rPr>
        <b/>
        <sz val="11"/>
        <color theme="1"/>
        <rFont val="Calibri"/>
        <family val="2"/>
        <scheme val="minor"/>
      </rPr>
      <t>01047</t>
    </r>
    <r>
      <rPr>
        <sz val="11"/>
        <color theme="1"/>
        <rFont val="Calibri"/>
        <family val="2"/>
        <scheme val="minor"/>
      </rPr>
      <t xml:space="preserve"> - Formal award, certificate or diploma (less than one year)
</t>
    </r>
    <r>
      <rPr>
        <b/>
        <sz val="11"/>
        <color theme="1"/>
        <rFont val="Calibri"/>
        <family val="2"/>
        <scheme val="minor"/>
      </rPr>
      <t>01048</t>
    </r>
    <r>
      <rPr>
        <sz val="11"/>
        <color theme="1"/>
        <rFont val="Calibri"/>
        <family val="2"/>
        <scheme val="minor"/>
      </rPr>
      <t xml:space="preserve"> - Formal award, certificate or diploma (more than or equal to one year)
</t>
    </r>
    <r>
      <rPr>
        <b/>
        <sz val="11"/>
        <color theme="1"/>
        <rFont val="Calibri"/>
        <family val="2"/>
        <scheme val="minor"/>
      </rPr>
      <t>01052</t>
    </r>
    <r>
      <rPr>
        <sz val="11"/>
        <color theme="1"/>
        <rFont val="Calibri"/>
        <family val="2"/>
        <scheme val="minor"/>
      </rPr>
      <t xml:space="preserve"> - Graduate certificate
</t>
    </r>
    <r>
      <rPr>
        <b/>
        <sz val="11"/>
        <color theme="1"/>
        <rFont val="Calibri"/>
        <family val="2"/>
        <scheme val="minor"/>
      </rPr>
      <t>01045</t>
    </r>
    <r>
      <rPr>
        <sz val="11"/>
        <color theme="1"/>
        <rFont val="Calibri"/>
        <family val="2"/>
        <scheme val="minor"/>
      </rPr>
      <t xml:space="preserve"> - High school diploma or the equivalent (e.g., GED or recognized home school)
</t>
    </r>
    <r>
      <rPr>
        <b/>
        <sz val="11"/>
        <color theme="1"/>
        <rFont val="Calibri"/>
        <family val="2"/>
        <scheme val="minor"/>
      </rPr>
      <t>01054</t>
    </r>
    <r>
      <rPr>
        <sz val="11"/>
        <color theme="1"/>
        <rFont val="Calibri"/>
        <family val="2"/>
        <scheme val="minor"/>
      </rPr>
      <t xml:space="preserve"> - Master's degree (e.g., M.A., M.S., M. Eng., M.Ed., M.S.W., M.B.A., M.L.S.)
</t>
    </r>
    <r>
      <rPr>
        <b/>
        <sz val="11"/>
        <color theme="1"/>
        <rFont val="Calibri"/>
        <family val="2"/>
        <scheme val="minor"/>
      </rPr>
      <t>01056</t>
    </r>
    <r>
      <rPr>
        <sz val="11"/>
        <color theme="1"/>
        <rFont val="Calibri"/>
        <family val="2"/>
        <scheme val="minor"/>
      </rPr>
      <t xml:space="preserve"> - Post-professional degree
</t>
    </r>
    <r>
      <rPr>
        <b/>
        <sz val="11"/>
        <color theme="1"/>
        <rFont val="Calibri"/>
        <family val="2"/>
        <scheme val="minor"/>
      </rPr>
      <t>01049</t>
    </r>
    <r>
      <rPr>
        <sz val="11"/>
        <color theme="1"/>
        <rFont val="Calibri"/>
        <family val="2"/>
        <scheme val="minor"/>
      </rPr>
      <t xml:space="preserve"> - Some college but no degree
</t>
    </r>
    <r>
      <rPr>
        <b/>
        <sz val="11"/>
        <color theme="1"/>
        <rFont val="Calibri"/>
        <family val="2"/>
        <scheme val="minor"/>
      </rPr>
      <t>01055</t>
    </r>
    <r>
      <rPr>
        <sz val="11"/>
        <color theme="1"/>
        <rFont val="Calibri"/>
        <family val="2"/>
        <scheme val="minor"/>
      </rPr>
      <t xml:space="preserve"> - Specialist's degree (e.g., Ed.S.)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09999</t>
    </r>
    <r>
      <rPr>
        <sz val="11"/>
        <color theme="1"/>
        <rFont val="Calibri"/>
        <family val="2"/>
        <scheme val="minor"/>
      </rPr>
      <t xml:space="preserve"> - Other
</t>
    </r>
  </si>
  <si>
    <r>
      <t>NonWorkplace</t>
    </r>
    <r>
      <rPr>
        <sz val="11"/>
        <color theme="1"/>
        <rFont val="Calibri"/>
        <family val="2"/>
        <scheme val="minor"/>
      </rPr>
      <t xml:space="preserve"> - Non-workplace or personal
</t>
    </r>
    <r>
      <rPr>
        <b/>
        <sz val="11"/>
        <color theme="1"/>
        <rFont val="Calibri"/>
        <family val="2"/>
        <scheme val="minor"/>
      </rPr>
      <t>Workplace</t>
    </r>
    <r>
      <rPr>
        <sz val="11"/>
        <color theme="1"/>
        <rFont val="Calibri"/>
        <family val="2"/>
        <scheme val="minor"/>
      </rPr>
      <t xml:space="preserve"> - Workplace
</t>
    </r>
    <r>
      <rPr>
        <b/>
        <sz val="11"/>
        <color theme="1"/>
        <rFont val="Calibri"/>
        <family val="2"/>
        <scheme val="minor"/>
      </rPr>
      <t>Medicaid</t>
    </r>
    <r>
      <rPr>
        <sz val="11"/>
        <color theme="1"/>
        <rFont val="Calibri"/>
        <family val="2"/>
        <scheme val="minor"/>
      </rPr>
      <t xml:space="preserve"> - Medicaid
</t>
    </r>
    <r>
      <rPr>
        <b/>
        <sz val="11"/>
        <color theme="1"/>
        <rFont val="Calibri"/>
        <family val="2"/>
        <scheme val="minor"/>
      </rPr>
      <t>CHIP</t>
    </r>
    <r>
      <rPr>
        <sz val="11"/>
        <color theme="1"/>
        <rFont val="Calibri"/>
        <family val="2"/>
        <scheme val="minor"/>
      </rPr>
      <t xml:space="preserve"> - Children's health insurance program
</t>
    </r>
    <r>
      <rPr>
        <b/>
        <sz val="11"/>
        <color theme="1"/>
        <rFont val="Calibri"/>
        <family val="2"/>
        <scheme val="minor"/>
      </rPr>
      <t>StateOnlyFunded</t>
    </r>
    <r>
      <rPr>
        <sz val="11"/>
        <color theme="1"/>
        <rFont val="Calibri"/>
        <family val="2"/>
        <scheme val="minor"/>
      </rPr>
      <t xml:space="preserve"> - State-only funded insurance
</t>
    </r>
    <r>
      <rPr>
        <b/>
        <sz val="11"/>
        <color theme="1"/>
        <rFont val="Calibri"/>
        <family val="2"/>
        <scheme val="minor"/>
      </rPr>
      <t>SSI</t>
    </r>
    <r>
      <rPr>
        <sz val="11"/>
        <color theme="1"/>
        <rFont val="Calibri"/>
        <family val="2"/>
        <scheme val="minor"/>
      </rPr>
      <t xml:space="preserve"> - Supplemental security income
</t>
    </r>
    <r>
      <rPr>
        <b/>
        <sz val="11"/>
        <color theme="1"/>
        <rFont val="Calibri"/>
        <family val="2"/>
        <scheme val="minor"/>
      </rPr>
      <t>Military</t>
    </r>
    <r>
      <rPr>
        <sz val="11"/>
        <color theme="1"/>
        <rFont val="Calibri"/>
        <family val="2"/>
        <scheme val="minor"/>
      </rPr>
      <t xml:space="preserve"> - Military medical
</t>
    </r>
    <r>
      <rPr>
        <b/>
        <sz val="11"/>
        <color theme="1"/>
        <rFont val="Calibri"/>
        <family val="2"/>
        <scheme val="minor"/>
      </rPr>
      <t>Veteran</t>
    </r>
    <r>
      <rPr>
        <sz val="11"/>
        <color theme="1"/>
        <rFont val="Calibri"/>
        <family val="2"/>
        <scheme val="minor"/>
      </rPr>
      <t xml:space="preserve"> - Veteran's medical
</t>
    </r>
    <r>
      <rPr>
        <b/>
        <sz val="11"/>
        <color theme="1"/>
        <rFont val="Calibri"/>
        <family val="2"/>
        <scheme val="minor"/>
      </rPr>
      <t>None</t>
    </r>
    <r>
      <rPr>
        <sz val="11"/>
        <color theme="1"/>
        <rFont val="Calibri"/>
        <family val="2"/>
        <scheme val="minor"/>
      </rPr>
      <t xml:space="preserve"> - None
</t>
    </r>
    <r>
      <rPr>
        <b/>
        <sz val="11"/>
        <color theme="1"/>
        <rFont val="Calibri"/>
        <family val="2"/>
        <scheme val="minor"/>
      </rPr>
      <t>Other</t>
    </r>
    <r>
      <rPr>
        <sz val="11"/>
        <color theme="1"/>
        <rFont val="Calibri"/>
        <family val="2"/>
        <scheme val="minor"/>
      </rPr>
      <t xml:space="preserve"> - Other
</t>
    </r>
  </si>
  <si>
    <r>
      <t>NoTreatmentNeeded</t>
    </r>
    <r>
      <rPr>
        <sz val="11"/>
        <color theme="1"/>
        <rFont val="Calibri"/>
        <family val="2"/>
        <scheme val="minor"/>
      </rPr>
      <t xml:space="preserve"> - No Treatment Needed
</t>
    </r>
    <r>
      <rPr>
        <b/>
        <sz val="11"/>
        <color theme="1"/>
        <rFont val="Calibri"/>
        <family val="2"/>
        <scheme val="minor"/>
      </rPr>
      <t>TreatmentNeeded</t>
    </r>
    <r>
      <rPr>
        <sz val="11"/>
        <color theme="1"/>
        <rFont val="Calibri"/>
        <family val="2"/>
        <scheme val="minor"/>
      </rPr>
      <t xml:space="preserve"> - Treatment Needed
</t>
    </r>
    <r>
      <rPr>
        <b/>
        <sz val="11"/>
        <color theme="1"/>
        <rFont val="Calibri"/>
        <family val="2"/>
        <scheme val="minor"/>
      </rPr>
      <t>TreatmentReceived</t>
    </r>
    <r>
      <rPr>
        <sz val="11"/>
        <color theme="1"/>
        <rFont val="Calibri"/>
        <family val="2"/>
        <scheme val="minor"/>
      </rPr>
      <t xml:space="preserve"> - Treatment Received
</t>
    </r>
  </si>
  <si>
    <r>
      <t>Adaptive</t>
    </r>
    <r>
      <rPr>
        <sz val="11"/>
        <color theme="1"/>
        <rFont val="Calibri"/>
        <family val="2"/>
        <scheme val="minor"/>
      </rPr>
      <t xml:space="preserve"> - Adaptive development delay
</t>
    </r>
    <r>
      <rPr>
        <b/>
        <sz val="11"/>
        <color theme="1"/>
        <rFont val="Calibri"/>
        <family val="2"/>
        <scheme val="minor"/>
      </rPr>
      <t>Cognitive</t>
    </r>
    <r>
      <rPr>
        <sz val="11"/>
        <color theme="1"/>
        <rFont val="Calibri"/>
        <family val="2"/>
        <scheme val="minor"/>
      </rPr>
      <t xml:space="preserve"> - Cognitive development delay
</t>
    </r>
    <r>
      <rPr>
        <b/>
        <sz val="11"/>
        <color theme="1"/>
        <rFont val="Calibri"/>
        <family val="2"/>
        <scheme val="minor"/>
      </rPr>
      <t>Communication</t>
    </r>
    <r>
      <rPr>
        <sz val="11"/>
        <color theme="1"/>
        <rFont val="Calibri"/>
        <family val="2"/>
        <scheme val="minor"/>
      </rPr>
      <t xml:space="preserve"> - Communication development delay
</t>
    </r>
    <r>
      <rPr>
        <b/>
        <sz val="11"/>
        <color theme="1"/>
        <rFont val="Calibri"/>
        <family val="2"/>
        <scheme val="minor"/>
      </rPr>
      <t>NoDelay</t>
    </r>
    <r>
      <rPr>
        <sz val="11"/>
        <color theme="1"/>
        <rFont val="Calibri"/>
        <family val="2"/>
        <scheme val="minor"/>
      </rPr>
      <t xml:space="preserve"> - No delay, needs follow-up
</t>
    </r>
    <r>
      <rPr>
        <b/>
        <sz val="11"/>
        <color theme="1"/>
        <rFont val="Calibri"/>
        <family val="2"/>
        <scheme val="minor"/>
      </rPr>
      <t>None</t>
    </r>
    <r>
      <rPr>
        <sz val="11"/>
        <color theme="1"/>
        <rFont val="Calibri"/>
        <family val="2"/>
        <scheme val="minor"/>
      </rPr>
      <t xml:space="preserve"> - None
</t>
    </r>
    <r>
      <rPr>
        <b/>
        <sz val="11"/>
        <color theme="1"/>
        <rFont val="Calibri"/>
        <family val="2"/>
        <scheme val="minor"/>
      </rPr>
      <t>CarnegieUnits</t>
    </r>
    <r>
      <rPr>
        <sz val="11"/>
        <color theme="1"/>
        <rFont val="Calibri"/>
        <family val="2"/>
        <scheme val="minor"/>
      </rPr>
      <t xml:space="preserve"> - Carnegie Units 
</t>
    </r>
    <r>
      <rPr>
        <b/>
        <sz val="11"/>
        <color theme="1"/>
        <rFont val="Calibri"/>
        <family val="2"/>
        <scheme val="minor"/>
      </rPr>
      <t>Physical</t>
    </r>
    <r>
      <rPr>
        <sz val="11"/>
        <color theme="1"/>
        <rFont val="Calibri"/>
        <family val="2"/>
        <scheme val="minor"/>
      </rPr>
      <t xml:space="preserve"> - Physical development delay
</t>
    </r>
    <r>
      <rPr>
        <b/>
        <sz val="11"/>
        <color theme="1"/>
        <rFont val="Calibri"/>
        <family val="2"/>
        <scheme val="minor"/>
      </rPr>
      <t>SocialEmotional</t>
    </r>
    <r>
      <rPr>
        <sz val="11"/>
        <color theme="1"/>
        <rFont val="Calibri"/>
        <family val="2"/>
        <scheme val="minor"/>
      </rPr>
      <t xml:space="preserve"> - Social or emotional development delay
</t>
    </r>
    <r>
      <rPr>
        <b/>
        <sz val="11"/>
        <color theme="1"/>
        <rFont val="Calibri"/>
        <family val="2"/>
        <scheme val="minor"/>
      </rPr>
      <t>NoDelayDetected</t>
    </r>
    <r>
      <rPr>
        <sz val="11"/>
        <color theme="1"/>
        <rFont val="Calibri"/>
        <family val="2"/>
        <scheme val="minor"/>
      </rPr>
      <t xml:space="preserve"> - No delay detected
</t>
    </r>
    <r>
      <rPr>
        <b/>
        <sz val="11"/>
        <color theme="1"/>
        <rFont val="Calibri"/>
        <family val="2"/>
        <scheme val="minor"/>
      </rPr>
      <t>EstablishedCondition</t>
    </r>
    <r>
      <rPr>
        <sz val="11"/>
        <color theme="1"/>
        <rFont val="Calibri"/>
        <family val="2"/>
        <scheme val="minor"/>
      </rPr>
      <t xml:space="preserve"> - Established condition
</t>
    </r>
    <r>
      <rPr>
        <b/>
        <sz val="11"/>
        <color theme="1"/>
        <rFont val="Calibri"/>
        <family val="2"/>
        <scheme val="minor"/>
      </rPr>
      <t>AtRisk</t>
    </r>
    <r>
      <rPr>
        <sz val="11"/>
        <color theme="1"/>
        <rFont val="Calibri"/>
        <family val="2"/>
        <scheme val="minor"/>
      </rPr>
      <t xml:space="preserve"> - At-risk of developing delay
</t>
    </r>
  </si>
  <si>
    <r>
      <t>Permanent</t>
    </r>
    <r>
      <rPr>
        <sz val="11"/>
        <color theme="1"/>
        <rFont val="Calibri"/>
        <family val="2"/>
        <scheme val="minor"/>
      </rPr>
      <t xml:space="preserve"> - Disability has been confirmed as a permanent disability
</t>
    </r>
    <r>
      <rPr>
        <b/>
        <sz val="11"/>
        <color theme="1"/>
        <rFont val="Calibri"/>
        <family val="2"/>
        <scheme val="minor"/>
      </rPr>
      <t>Temporary</t>
    </r>
    <r>
      <rPr>
        <sz val="11"/>
        <color theme="1"/>
        <rFont val="Calibri"/>
        <family val="2"/>
        <scheme val="minor"/>
      </rPr>
      <t xml:space="preserve"> - Disability has been confirmed as a temporary disability
</t>
    </r>
  </si>
  <si>
    <r>
      <t>00</t>
    </r>
    <r>
      <rPr>
        <sz val="11"/>
        <color theme="1"/>
        <rFont val="Calibri"/>
        <family val="2"/>
        <scheme val="minor"/>
      </rPr>
      <t xml:space="preserve"> - No disability or impairment known or reported
</t>
    </r>
    <r>
      <rPr>
        <b/>
        <sz val="11"/>
        <color theme="1"/>
        <rFont val="Calibri"/>
        <family val="2"/>
        <scheme val="minor"/>
      </rPr>
      <t>01</t>
    </r>
    <r>
      <rPr>
        <sz val="11"/>
        <color theme="1"/>
        <rFont val="Calibri"/>
        <family val="2"/>
        <scheme val="minor"/>
      </rPr>
      <t xml:space="preserve"> - Blindness or Visual Impairment
</t>
    </r>
    <r>
      <rPr>
        <b/>
        <sz val="11"/>
        <color theme="1"/>
        <rFont val="Calibri"/>
        <family val="2"/>
        <scheme val="minor"/>
      </rPr>
      <t>02</t>
    </r>
    <r>
      <rPr>
        <sz val="11"/>
        <color theme="1"/>
        <rFont val="Calibri"/>
        <family val="2"/>
        <scheme val="minor"/>
      </rPr>
      <t xml:space="preserve"> - Cerebral Palsy
</t>
    </r>
    <r>
      <rPr>
        <b/>
        <sz val="11"/>
        <color theme="1"/>
        <rFont val="Calibri"/>
        <family val="2"/>
        <scheme val="minor"/>
      </rPr>
      <t>03</t>
    </r>
    <r>
      <rPr>
        <sz val="11"/>
        <color theme="1"/>
        <rFont val="Calibri"/>
        <family val="2"/>
        <scheme val="minor"/>
      </rPr>
      <t xml:space="preserve"> - Chronic Illness
</t>
    </r>
    <r>
      <rPr>
        <b/>
        <sz val="11"/>
        <color theme="1"/>
        <rFont val="Calibri"/>
        <family val="2"/>
        <scheme val="minor"/>
      </rPr>
      <t>04</t>
    </r>
    <r>
      <rPr>
        <sz val="11"/>
        <color theme="1"/>
        <rFont val="Calibri"/>
        <family val="2"/>
        <scheme val="minor"/>
      </rPr>
      <t xml:space="preserve"> - Deafness or Hearing Impairment
</t>
    </r>
    <r>
      <rPr>
        <b/>
        <sz val="11"/>
        <color theme="1"/>
        <rFont val="Calibri"/>
        <family val="2"/>
        <scheme val="minor"/>
      </rPr>
      <t>05</t>
    </r>
    <r>
      <rPr>
        <sz val="11"/>
        <color theme="1"/>
        <rFont val="Calibri"/>
        <family val="2"/>
        <scheme val="minor"/>
      </rPr>
      <t xml:space="preserve"> - Drug or Alcohol Addiction
</t>
    </r>
    <r>
      <rPr>
        <b/>
        <sz val="11"/>
        <color theme="1"/>
        <rFont val="Calibri"/>
        <family val="2"/>
        <scheme val="minor"/>
      </rPr>
      <t>06</t>
    </r>
    <r>
      <rPr>
        <sz val="11"/>
        <color theme="1"/>
        <rFont val="Calibri"/>
        <family val="2"/>
        <scheme val="minor"/>
      </rPr>
      <t xml:space="preserve"> - Emotionally/Psychologically Disabled: e.g., schizophrenia or depression
</t>
    </r>
    <r>
      <rPr>
        <b/>
        <sz val="11"/>
        <color theme="1"/>
        <rFont val="Calibri"/>
        <family val="2"/>
        <scheme val="minor"/>
      </rPr>
      <t>07</t>
    </r>
    <r>
      <rPr>
        <sz val="11"/>
        <color theme="1"/>
        <rFont val="Calibri"/>
        <family val="2"/>
        <scheme val="minor"/>
      </rPr>
      <t xml:space="preserve"> - Epilepsy or Seizure Disorders
</t>
    </r>
    <r>
      <rPr>
        <b/>
        <sz val="11"/>
        <color theme="1"/>
        <rFont val="Calibri"/>
        <family val="2"/>
        <scheme val="minor"/>
      </rPr>
      <t>08</t>
    </r>
    <r>
      <rPr>
        <sz val="11"/>
        <color theme="1"/>
        <rFont val="Calibri"/>
        <family val="2"/>
        <scheme val="minor"/>
      </rPr>
      <t xml:space="preserve"> - Intellectual Disability
</t>
    </r>
    <r>
      <rPr>
        <b/>
        <sz val="11"/>
        <color theme="1"/>
        <rFont val="Calibri"/>
        <family val="2"/>
        <scheme val="minor"/>
      </rPr>
      <t>09</t>
    </r>
    <r>
      <rPr>
        <sz val="11"/>
        <color theme="1"/>
        <rFont val="Calibri"/>
        <family val="2"/>
        <scheme val="minor"/>
      </rPr>
      <t xml:space="preserve"> - Orthopedic Impairment
</t>
    </r>
    <r>
      <rPr>
        <b/>
        <sz val="11"/>
        <color theme="1"/>
        <rFont val="Calibri"/>
        <family val="2"/>
        <scheme val="minor"/>
      </rPr>
      <t>10</t>
    </r>
    <r>
      <rPr>
        <sz val="11"/>
        <color theme="1"/>
        <rFont val="Calibri"/>
        <family val="2"/>
        <scheme val="minor"/>
      </rPr>
      <t xml:space="preserve"> - Specific learning disability
</t>
    </r>
    <r>
      <rPr>
        <b/>
        <sz val="11"/>
        <color theme="1"/>
        <rFont val="Calibri"/>
        <family val="2"/>
        <scheme val="minor"/>
      </rPr>
      <t>11</t>
    </r>
    <r>
      <rPr>
        <sz val="11"/>
        <color theme="1"/>
        <rFont val="Calibri"/>
        <family val="2"/>
        <scheme val="minor"/>
      </rPr>
      <t xml:space="preserve"> - Speech or Language impairment
</t>
    </r>
    <r>
      <rPr>
        <b/>
        <sz val="11"/>
        <color theme="1"/>
        <rFont val="Calibri"/>
        <family val="2"/>
        <scheme val="minor"/>
      </rPr>
      <t>99</t>
    </r>
    <r>
      <rPr>
        <sz val="11"/>
        <color theme="1"/>
        <rFont val="Calibri"/>
        <family val="2"/>
        <scheme val="minor"/>
      </rPr>
      <t xml:space="preserve"> - Other type of impairment
</t>
    </r>
  </si>
  <si>
    <r>
      <t>01</t>
    </r>
    <r>
      <rPr>
        <sz val="11"/>
        <color theme="1"/>
        <rFont val="Calibri"/>
        <family val="2"/>
        <scheme val="minor"/>
      </rPr>
      <t xml:space="preserve"> - By physician
</t>
    </r>
    <r>
      <rPr>
        <b/>
        <sz val="11"/>
        <color theme="1"/>
        <rFont val="Calibri"/>
        <family val="2"/>
        <scheme val="minor"/>
      </rPr>
      <t>02</t>
    </r>
    <r>
      <rPr>
        <sz val="11"/>
        <color theme="1"/>
        <rFont val="Calibri"/>
        <family val="2"/>
        <scheme val="minor"/>
      </rPr>
      <t xml:space="preserve"> - By health care provider
</t>
    </r>
    <r>
      <rPr>
        <b/>
        <sz val="11"/>
        <color theme="1"/>
        <rFont val="Calibri"/>
        <family val="2"/>
        <scheme val="minor"/>
      </rPr>
      <t>03</t>
    </r>
    <r>
      <rPr>
        <sz val="11"/>
        <color theme="1"/>
        <rFont val="Calibri"/>
        <family val="2"/>
        <scheme val="minor"/>
      </rPr>
      <t xml:space="preserve"> - By school psychologist or other psychologist
</t>
    </r>
    <r>
      <rPr>
        <b/>
        <sz val="11"/>
        <color theme="1"/>
        <rFont val="Calibri"/>
        <family val="2"/>
        <scheme val="minor"/>
      </rPr>
      <t>04</t>
    </r>
    <r>
      <rPr>
        <sz val="11"/>
        <color theme="1"/>
        <rFont val="Calibri"/>
        <family val="2"/>
        <scheme val="minor"/>
      </rPr>
      <t xml:space="preserve"> - By licensed physical therapist
</t>
    </r>
    <r>
      <rPr>
        <b/>
        <sz val="11"/>
        <color theme="1"/>
        <rFont val="Calibri"/>
        <family val="2"/>
        <scheme val="minor"/>
      </rPr>
      <t>05</t>
    </r>
    <r>
      <rPr>
        <sz val="11"/>
        <color theme="1"/>
        <rFont val="Calibri"/>
        <family val="2"/>
        <scheme val="minor"/>
      </rPr>
      <t xml:space="preserve"> - Self-reported
</t>
    </r>
    <r>
      <rPr>
        <b/>
        <sz val="11"/>
        <color theme="1"/>
        <rFont val="Calibri"/>
        <family val="2"/>
        <scheme val="minor"/>
      </rPr>
      <t>06</t>
    </r>
    <r>
      <rPr>
        <sz val="11"/>
        <color theme="1"/>
        <rFont val="Calibri"/>
        <family val="2"/>
        <scheme val="minor"/>
      </rPr>
      <t xml:space="preserve"> - By social service or other type of agency
</t>
    </r>
    <r>
      <rPr>
        <b/>
        <sz val="11"/>
        <color theme="1"/>
        <rFont val="Calibri"/>
        <family val="2"/>
        <scheme val="minor"/>
      </rPr>
      <t>97</t>
    </r>
    <r>
      <rPr>
        <sz val="11"/>
        <color theme="1"/>
        <rFont val="Calibri"/>
        <family val="2"/>
        <scheme val="minor"/>
      </rPr>
      <t xml:space="preserve"> - Not applicable to the student
</t>
    </r>
    <r>
      <rPr>
        <b/>
        <sz val="11"/>
        <color theme="1"/>
        <rFont val="Calibri"/>
        <family val="2"/>
        <scheme val="minor"/>
      </rPr>
      <t>98</t>
    </r>
    <r>
      <rPr>
        <sz val="11"/>
        <color theme="1"/>
        <rFont val="Calibri"/>
        <family val="2"/>
        <scheme val="minor"/>
      </rPr>
      <t xml:space="preserve"> - Unknown or Unreported
</t>
    </r>
    <r>
      <rPr>
        <b/>
        <sz val="11"/>
        <color theme="1"/>
        <rFont val="Calibri"/>
        <family val="2"/>
        <scheme val="minor"/>
      </rPr>
      <t>99</t>
    </r>
    <r>
      <rPr>
        <sz val="11"/>
        <color theme="1"/>
        <rFont val="Calibri"/>
        <family val="2"/>
        <scheme val="minor"/>
      </rPr>
      <t xml:space="preserve"> - Other
</t>
    </r>
  </si>
  <si>
    <r>
      <t>03071</t>
    </r>
    <r>
      <rPr>
        <sz val="11"/>
        <color theme="1"/>
        <rFont val="Calibri"/>
        <family val="2"/>
        <scheme val="minor"/>
      </rPr>
      <t xml:space="preserve"> - Bus suspension
</t>
    </r>
    <r>
      <rPr>
        <b/>
        <sz val="11"/>
        <color theme="1"/>
        <rFont val="Calibri"/>
        <family val="2"/>
        <scheme val="minor"/>
      </rPr>
      <t>03072</t>
    </r>
    <r>
      <rPr>
        <sz val="11"/>
        <color theme="1"/>
        <rFont val="Calibri"/>
        <family val="2"/>
        <scheme val="minor"/>
      </rPr>
      <t xml:space="preserve"> - Change of placement (long-term)
</t>
    </r>
    <r>
      <rPr>
        <b/>
        <sz val="11"/>
        <color theme="1"/>
        <rFont val="Calibri"/>
        <family val="2"/>
        <scheme val="minor"/>
      </rPr>
      <t>03073</t>
    </r>
    <r>
      <rPr>
        <sz val="11"/>
        <color theme="1"/>
        <rFont val="Calibri"/>
        <family val="2"/>
        <scheme val="minor"/>
      </rPr>
      <t xml:space="preserve"> - Change of placement (reassignment), pending an expulsion hearing
</t>
    </r>
    <r>
      <rPr>
        <b/>
        <sz val="11"/>
        <color theme="1"/>
        <rFont val="Calibri"/>
        <family val="2"/>
        <scheme val="minor"/>
      </rPr>
      <t>03074</t>
    </r>
    <r>
      <rPr>
        <sz val="11"/>
        <color theme="1"/>
        <rFont val="Calibri"/>
        <family val="2"/>
        <scheme val="minor"/>
      </rPr>
      <t xml:space="preserve"> - Change of placement (reassignment), resulting from an expulsion hearing
</t>
    </r>
    <r>
      <rPr>
        <b/>
        <sz val="11"/>
        <color theme="1"/>
        <rFont val="Calibri"/>
        <family val="2"/>
        <scheme val="minor"/>
      </rPr>
      <t>03075</t>
    </r>
    <r>
      <rPr>
        <sz val="11"/>
        <color theme="1"/>
        <rFont val="Calibri"/>
        <family val="2"/>
        <scheme val="minor"/>
      </rPr>
      <t xml:space="preserve"> - Change of placement (reassignment), temporary
</t>
    </r>
    <r>
      <rPr>
        <b/>
        <sz val="11"/>
        <color theme="1"/>
        <rFont val="Calibri"/>
        <family val="2"/>
        <scheme val="minor"/>
      </rPr>
      <t>03076</t>
    </r>
    <r>
      <rPr>
        <sz val="11"/>
        <color theme="1"/>
        <rFont val="Calibri"/>
        <family val="2"/>
        <scheme val="minor"/>
      </rPr>
      <t xml:space="preserve"> - Community service
</t>
    </r>
    <r>
      <rPr>
        <b/>
        <sz val="11"/>
        <color theme="1"/>
        <rFont val="Calibri"/>
        <family val="2"/>
        <scheme val="minor"/>
      </rPr>
      <t>03077</t>
    </r>
    <r>
      <rPr>
        <sz val="11"/>
        <color theme="1"/>
        <rFont val="Calibri"/>
        <family val="2"/>
        <scheme val="minor"/>
      </rPr>
      <t xml:space="preserve"> - Conference with and warning to student
</t>
    </r>
    <r>
      <rPr>
        <b/>
        <sz val="11"/>
        <color theme="1"/>
        <rFont val="Calibri"/>
        <family val="2"/>
        <scheme val="minor"/>
      </rPr>
      <t>03078</t>
    </r>
    <r>
      <rPr>
        <sz val="11"/>
        <color theme="1"/>
        <rFont val="Calibri"/>
        <family val="2"/>
        <scheme val="minor"/>
      </rPr>
      <t xml:space="preserve"> - Conference with and warning to student and parent/guardian
</t>
    </r>
    <r>
      <rPr>
        <b/>
        <sz val="11"/>
        <color theme="1"/>
        <rFont val="Calibri"/>
        <family val="2"/>
        <scheme val="minor"/>
      </rPr>
      <t>03079</t>
    </r>
    <r>
      <rPr>
        <sz val="11"/>
        <color theme="1"/>
        <rFont val="Calibri"/>
        <family val="2"/>
        <scheme val="minor"/>
      </rPr>
      <t xml:space="preserve"> - Confiscation of contraband
</t>
    </r>
    <r>
      <rPr>
        <b/>
        <sz val="11"/>
        <color theme="1"/>
        <rFont val="Calibri"/>
        <family val="2"/>
        <scheme val="minor"/>
      </rPr>
      <t>03080</t>
    </r>
    <r>
      <rPr>
        <sz val="11"/>
        <color theme="1"/>
        <rFont val="Calibri"/>
        <family val="2"/>
        <scheme val="minor"/>
      </rPr>
      <t xml:space="preserve"> - Conflict resolution or anger management services mandated
</t>
    </r>
    <r>
      <rPr>
        <b/>
        <sz val="11"/>
        <color theme="1"/>
        <rFont val="Calibri"/>
        <family val="2"/>
        <scheme val="minor"/>
      </rPr>
      <t>03081</t>
    </r>
    <r>
      <rPr>
        <sz val="11"/>
        <color theme="1"/>
        <rFont val="Calibri"/>
        <family val="2"/>
        <scheme val="minor"/>
      </rPr>
      <t xml:space="preserve"> - Corporal punishment
</t>
    </r>
    <r>
      <rPr>
        <b/>
        <sz val="11"/>
        <color theme="1"/>
        <rFont val="Calibri"/>
        <family val="2"/>
        <scheme val="minor"/>
      </rPr>
      <t>03082</t>
    </r>
    <r>
      <rPr>
        <sz val="11"/>
        <color theme="1"/>
        <rFont val="Calibri"/>
        <family val="2"/>
        <scheme val="minor"/>
      </rPr>
      <t xml:space="preserve"> - Counseling mandated
</t>
    </r>
    <r>
      <rPr>
        <b/>
        <sz val="11"/>
        <color theme="1"/>
        <rFont val="Calibri"/>
        <family val="2"/>
        <scheme val="minor"/>
      </rPr>
      <t>03083</t>
    </r>
    <r>
      <rPr>
        <sz val="11"/>
        <color theme="1"/>
        <rFont val="Calibri"/>
        <family val="2"/>
        <scheme val="minor"/>
      </rPr>
      <t xml:space="preserve"> - Demerit
</t>
    </r>
    <r>
      <rPr>
        <b/>
        <sz val="11"/>
        <color theme="1"/>
        <rFont val="Calibri"/>
        <family val="2"/>
        <scheme val="minor"/>
      </rPr>
      <t>03084</t>
    </r>
    <r>
      <rPr>
        <sz val="11"/>
        <color theme="1"/>
        <rFont val="Calibri"/>
        <family val="2"/>
        <scheme val="minor"/>
      </rPr>
      <t xml:space="preserve"> - Detention
</t>
    </r>
    <r>
      <rPr>
        <b/>
        <sz val="11"/>
        <color theme="1"/>
        <rFont val="Calibri"/>
        <family val="2"/>
        <scheme val="minor"/>
      </rPr>
      <t>03085</t>
    </r>
    <r>
      <rPr>
        <sz val="11"/>
        <color theme="1"/>
        <rFont val="Calibri"/>
        <family val="2"/>
        <scheme val="minor"/>
      </rPr>
      <t xml:space="preserve"> - Expulsion recommendation
</t>
    </r>
    <r>
      <rPr>
        <b/>
        <sz val="11"/>
        <color theme="1"/>
        <rFont val="Calibri"/>
        <family val="2"/>
        <scheme val="minor"/>
      </rPr>
      <t>03086</t>
    </r>
    <r>
      <rPr>
        <sz val="11"/>
        <color theme="1"/>
        <rFont val="Calibri"/>
        <family val="2"/>
        <scheme val="minor"/>
      </rPr>
      <t xml:space="preserve"> - Expulsion with services
</t>
    </r>
    <r>
      <rPr>
        <b/>
        <sz val="11"/>
        <color theme="1"/>
        <rFont val="Calibri"/>
        <family val="2"/>
        <scheme val="minor"/>
      </rPr>
      <t>03087</t>
    </r>
    <r>
      <rPr>
        <sz val="11"/>
        <color theme="1"/>
        <rFont val="Calibri"/>
        <family val="2"/>
        <scheme val="minor"/>
      </rPr>
      <t xml:space="preserve"> - Expulsion without services
</t>
    </r>
    <r>
      <rPr>
        <b/>
        <sz val="11"/>
        <color theme="1"/>
        <rFont val="Calibri"/>
        <family val="2"/>
        <scheme val="minor"/>
      </rPr>
      <t>03088</t>
    </r>
    <r>
      <rPr>
        <sz val="11"/>
        <color theme="1"/>
        <rFont val="Calibri"/>
        <family val="2"/>
        <scheme val="minor"/>
      </rPr>
      <t xml:space="preserve"> - Juvenile justice referral
</t>
    </r>
    <r>
      <rPr>
        <b/>
        <sz val="11"/>
        <color theme="1"/>
        <rFont val="Calibri"/>
        <family val="2"/>
        <scheme val="minor"/>
      </rPr>
      <t>03089</t>
    </r>
    <r>
      <rPr>
        <sz val="11"/>
        <color theme="1"/>
        <rFont val="Calibri"/>
        <family val="2"/>
        <scheme val="minor"/>
      </rPr>
      <t xml:space="preserve"> - Law enforcement referral
</t>
    </r>
    <r>
      <rPr>
        <b/>
        <sz val="11"/>
        <color theme="1"/>
        <rFont val="Calibri"/>
        <family val="2"/>
        <scheme val="minor"/>
      </rPr>
      <t>03090</t>
    </r>
    <r>
      <rPr>
        <sz val="11"/>
        <color theme="1"/>
        <rFont val="Calibri"/>
        <family val="2"/>
        <scheme val="minor"/>
      </rPr>
      <t xml:space="preserve"> - Letter of apology
</t>
    </r>
    <r>
      <rPr>
        <b/>
        <sz val="11"/>
        <color theme="1"/>
        <rFont val="Calibri"/>
        <family val="2"/>
        <scheme val="minor"/>
      </rPr>
      <t>03091</t>
    </r>
    <r>
      <rPr>
        <sz val="11"/>
        <color theme="1"/>
        <rFont val="Calibri"/>
        <family val="2"/>
        <scheme val="minor"/>
      </rPr>
      <t xml:space="preserve"> - Loss of privileges
</t>
    </r>
    <r>
      <rPr>
        <b/>
        <sz val="11"/>
        <color theme="1"/>
        <rFont val="Calibri"/>
        <family val="2"/>
        <scheme val="minor"/>
      </rPr>
      <t>13357</t>
    </r>
    <r>
      <rPr>
        <sz val="11"/>
        <color theme="1"/>
        <rFont val="Calibri"/>
        <family val="2"/>
        <scheme val="minor"/>
      </rPr>
      <t xml:space="preserve"> - Mechanical Restraint
</t>
    </r>
    <r>
      <rPr>
        <b/>
        <sz val="11"/>
        <color theme="1"/>
        <rFont val="Calibri"/>
        <family val="2"/>
        <scheme val="minor"/>
      </rPr>
      <t>03105</t>
    </r>
    <r>
      <rPr>
        <sz val="11"/>
        <color theme="1"/>
        <rFont val="Calibri"/>
        <family val="2"/>
        <scheme val="minor"/>
      </rPr>
      <t xml:space="preserve"> - No action
</t>
    </r>
    <r>
      <rPr>
        <b/>
        <sz val="11"/>
        <color theme="1"/>
        <rFont val="Calibri"/>
        <family val="2"/>
        <scheme val="minor"/>
      </rPr>
      <t>09998</t>
    </r>
    <r>
      <rPr>
        <sz val="11"/>
        <color theme="1"/>
        <rFont val="Calibri"/>
        <family val="2"/>
        <scheme val="minor"/>
      </rPr>
      <t xml:space="preserve"> - None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03092</t>
    </r>
    <r>
      <rPr>
        <sz val="11"/>
        <color theme="1"/>
        <rFont val="Calibri"/>
        <family val="2"/>
        <scheme val="minor"/>
      </rPr>
      <t xml:space="preserve"> - Physical activity
</t>
    </r>
    <r>
      <rPr>
        <b/>
        <sz val="11"/>
        <color theme="1"/>
        <rFont val="Calibri"/>
        <family val="2"/>
        <scheme val="minor"/>
      </rPr>
      <t>13358</t>
    </r>
    <r>
      <rPr>
        <sz val="11"/>
        <color theme="1"/>
        <rFont val="Calibri"/>
        <family val="2"/>
        <scheme val="minor"/>
      </rPr>
      <t xml:space="preserve"> - Physical Restraint
</t>
    </r>
    <r>
      <rPr>
        <b/>
        <sz val="11"/>
        <color theme="1"/>
        <rFont val="Calibri"/>
        <family val="2"/>
        <scheme val="minor"/>
      </rPr>
      <t>03158</t>
    </r>
    <r>
      <rPr>
        <sz val="11"/>
        <color theme="1"/>
        <rFont val="Calibri"/>
        <family val="2"/>
        <scheme val="minor"/>
      </rPr>
      <t xml:space="preserve"> - Removal by a hearing officer
</t>
    </r>
    <r>
      <rPr>
        <b/>
        <sz val="11"/>
        <color theme="1"/>
        <rFont val="Calibri"/>
        <family val="2"/>
        <scheme val="minor"/>
      </rPr>
      <t>03093</t>
    </r>
    <r>
      <rPr>
        <sz val="11"/>
        <color theme="1"/>
        <rFont val="Calibri"/>
        <family val="2"/>
        <scheme val="minor"/>
      </rPr>
      <t xml:space="preserve"> - Reprimand
</t>
    </r>
    <r>
      <rPr>
        <b/>
        <sz val="11"/>
        <color theme="1"/>
        <rFont val="Calibri"/>
        <family val="2"/>
        <scheme val="minor"/>
      </rPr>
      <t>03094</t>
    </r>
    <r>
      <rPr>
        <sz val="11"/>
        <color theme="1"/>
        <rFont val="Calibri"/>
        <family val="2"/>
        <scheme val="minor"/>
      </rPr>
      <t xml:space="preserve"> - Restitution
</t>
    </r>
    <r>
      <rPr>
        <b/>
        <sz val="11"/>
        <color theme="1"/>
        <rFont val="Calibri"/>
        <family val="2"/>
        <scheme val="minor"/>
      </rPr>
      <t>03095</t>
    </r>
    <r>
      <rPr>
        <sz val="11"/>
        <color theme="1"/>
        <rFont val="Calibri"/>
        <family val="2"/>
        <scheme val="minor"/>
      </rPr>
      <t xml:space="preserve"> - Saturday school
</t>
    </r>
    <r>
      <rPr>
        <b/>
        <sz val="11"/>
        <color theme="1"/>
        <rFont val="Calibri"/>
        <family val="2"/>
        <scheme val="minor"/>
      </rPr>
      <t>03096</t>
    </r>
    <r>
      <rPr>
        <sz val="11"/>
        <color theme="1"/>
        <rFont val="Calibri"/>
        <family val="2"/>
        <scheme val="minor"/>
      </rPr>
      <t xml:space="preserve"> - School probation
</t>
    </r>
    <r>
      <rPr>
        <b/>
        <sz val="11"/>
        <color theme="1"/>
        <rFont val="Calibri"/>
        <family val="2"/>
        <scheme val="minor"/>
      </rPr>
      <t>13359</t>
    </r>
    <r>
      <rPr>
        <sz val="11"/>
        <color theme="1"/>
        <rFont val="Calibri"/>
        <family val="2"/>
        <scheme val="minor"/>
      </rPr>
      <t xml:space="preserve"> - Seclusion
</t>
    </r>
    <r>
      <rPr>
        <b/>
        <sz val="11"/>
        <color theme="1"/>
        <rFont val="Calibri"/>
        <family val="2"/>
        <scheme val="minor"/>
      </rPr>
      <t>03097</t>
    </r>
    <r>
      <rPr>
        <sz val="11"/>
        <color theme="1"/>
        <rFont val="Calibri"/>
        <family val="2"/>
        <scheme val="minor"/>
      </rPr>
      <t xml:space="preserve"> - Substance abuse counseling mandated
</t>
    </r>
    <r>
      <rPr>
        <b/>
        <sz val="11"/>
        <color theme="1"/>
        <rFont val="Calibri"/>
        <family val="2"/>
        <scheme val="minor"/>
      </rPr>
      <t>03098</t>
    </r>
    <r>
      <rPr>
        <sz val="11"/>
        <color theme="1"/>
        <rFont val="Calibri"/>
        <family val="2"/>
        <scheme val="minor"/>
      </rPr>
      <t xml:space="preserve"> - Substance abuse treatment mandated
</t>
    </r>
    <r>
      <rPr>
        <b/>
        <sz val="11"/>
        <color theme="1"/>
        <rFont val="Calibri"/>
        <family val="2"/>
        <scheme val="minor"/>
      </rPr>
      <t>03099</t>
    </r>
    <r>
      <rPr>
        <sz val="11"/>
        <color theme="1"/>
        <rFont val="Calibri"/>
        <family val="2"/>
        <scheme val="minor"/>
      </rPr>
      <t xml:space="preserve"> - Suspension after school
</t>
    </r>
    <r>
      <rPr>
        <b/>
        <sz val="11"/>
        <color theme="1"/>
        <rFont val="Calibri"/>
        <family val="2"/>
        <scheme val="minor"/>
      </rPr>
      <t>03100</t>
    </r>
    <r>
      <rPr>
        <sz val="11"/>
        <color theme="1"/>
        <rFont val="Calibri"/>
        <family val="2"/>
        <scheme val="minor"/>
      </rPr>
      <t xml:space="preserve"> - Suspension, in-school
</t>
    </r>
    <r>
      <rPr>
        <b/>
        <sz val="11"/>
        <color theme="1"/>
        <rFont val="Calibri"/>
        <family val="2"/>
        <scheme val="minor"/>
      </rPr>
      <t>03154</t>
    </r>
    <r>
      <rPr>
        <sz val="11"/>
        <color theme="1"/>
        <rFont val="Calibri"/>
        <family val="2"/>
        <scheme val="minor"/>
      </rPr>
      <t xml:space="preserve"> - Suspension, out of school, greater than 10 consecutive school days
</t>
    </r>
    <r>
      <rPr>
        <b/>
        <sz val="11"/>
        <color theme="1"/>
        <rFont val="Calibri"/>
        <family val="2"/>
        <scheme val="minor"/>
      </rPr>
      <t>03155</t>
    </r>
    <r>
      <rPr>
        <sz val="11"/>
        <color theme="1"/>
        <rFont val="Calibri"/>
        <family val="2"/>
        <scheme val="minor"/>
      </rPr>
      <t xml:space="preserve"> - Suspension, out of school, separate days cumulating to more than 10 school days
</t>
    </r>
    <r>
      <rPr>
        <b/>
        <sz val="11"/>
        <color theme="1"/>
        <rFont val="Calibri"/>
        <family val="2"/>
        <scheme val="minor"/>
      </rPr>
      <t>03101</t>
    </r>
    <r>
      <rPr>
        <sz val="11"/>
        <color theme="1"/>
        <rFont val="Calibri"/>
        <family val="2"/>
        <scheme val="minor"/>
      </rPr>
      <t xml:space="preserve"> - Suspension, out-of-school, with services
</t>
    </r>
    <r>
      <rPr>
        <b/>
        <sz val="11"/>
        <color theme="1"/>
        <rFont val="Calibri"/>
        <family val="2"/>
        <scheme val="minor"/>
      </rPr>
      <t>03102</t>
    </r>
    <r>
      <rPr>
        <sz val="11"/>
        <color theme="1"/>
        <rFont val="Calibri"/>
        <family val="2"/>
        <scheme val="minor"/>
      </rPr>
      <t xml:space="preserve"> - Suspension, out-of-school, without services
</t>
    </r>
    <r>
      <rPr>
        <b/>
        <sz val="11"/>
        <color theme="1"/>
        <rFont val="Calibri"/>
        <family val="2"/>
        <scheme val="minor"/>
      </rPr>
      <t>03157</t>
    </r>
    <r>
      <rPr>
        <sz val="11"/>
        <color theme="1"/>
        <rFont val="Calibri"/>
        <family val="2"/>
        <scheme val="minor"/>
      </rPr>
      <t xml:space="preserve"> - Unilateral removal - drug incident
</t>
    </r>
    <r>
      <rPr>
        <b/>
        <sz val="11"/>
        <color theme="1"/>
        <rFont val="Calibri"/>
        <family val="2"/>
        <scheme val="minor"/>
      </rPr>
      <t>03156</t>
    </r>
    <r>
      <rPr>
        <sz val="11"/>
        <color theme="1"/>
        <rFont val="Calibri"/>
        <family val="2"/>
        <scheme val="minor"/>
      </rPr>
      <t xml:space="preserve"> - Unilateral removal - weapon incident
</t>
    </r>
    <r>
      <rPr>
        <b/>
        <sz val="11"/>
        <color theme="1"/>
        <rFont val="Calibri"/>
        <family val="2"/>
        <scheme val="minor"/>
      </rPr>
      <t>09997</t>
    </r>
    <r>
      <rPr>
        <sz val="11"/>
        <color theme="1"/>
        <rFont val="Calibri"/>
        <family val="2"/>
        <scheme val="minor"/>
      </rPr>
      <t xml:space="preserve"> - Unknown
</t>
    </r>
    <r>
      <rPr>
        <b/>
        <sz val="11"/>
        <color theme="1"/>
        <rFont val="Calibri"/>
        <family val="2"/>
        <scheme val="minor"/>
      </rPr>
      <t>03103</t>
    </r>
    <r>
      <rPr>
        <sz val="11"/>
        <color theme="1"/>
        <rFont val="Calibri"/>
        <family val="2"/>
        <scheme val="minor"/>
      </rPr>
      <t xml:space="preserve"> - Unsatisfactory behavior grade
</t>
    </r>
    <r>
      <rPr>
        <b/>
        <sz val="11"/>
        <color theme="1"/>
        <rFont val="Calibri"/>
        <family val="2"/>
        <scheme val="minor"/>
      </rPr>
      <t>03104</t>
    </r>
    <r>
      <rPr>
        <sz val="11"/>
        <color theme="1"/>
        <rFont val="Calibri"/>
        <family val="2"/>
        <scheme val="minor"/>
      </rPr>
      <t xml:space="preserve"> - Work detail
</t>
    </r>
  </si>
  <si>
    <r>
      <t>01</t>
    </r>
    <r>
      <rPr>
        <sz val="11"/>
        <color theme="1"/>
        <rFont val="Calibri"/>
        <family val="2"/>
        <scheme val="minor"/>
      </rPr>
      <t xml:space="preserve"> - No Difference
</t>
    </r>
    <r>
      <rPr>
        <b/>
        <sz val="11"/>
        <color theme="1"/>
        <rFont val="Calibri"/>
        <family val="2"/>
        <scheme val="minor"/>
      </rPr>
      <t>02</t>
    </r>
    <r>
      <rPr>
        <sz val="11"/>
        <color theme="1"/>
        <rFont val="Calibri"/>
        <family val="2"/>
        <scheme val="minor"/>
      </rPr>
      <t xml:space="preserve"> - Term Modified By District
</t>
    </r>
    <r>
      <rPr>
        <b/>
        <sz val="11"/>
        <color theme="1"/>
        <rFont val="Calibri"/>
        <family val="2"/>
        <scheme val="minor"/>
      </rPr>
      <t>03</t>
    </r>
    <r>
      <rPr>
        <sz val="11"/>
        <color theme="1"/>
        <rFont val="Calibri"/>
        <family val="2"/>
        <scheme val="minor"/>
      </rPr>
      <t xml:space="preserve"> - Term Modified By Court Order
</t>
    </r>
    <r>
      <rPr>
        <b/>
        <sz val="11"/>
        <color theme="1"/>
        <rFont val="Calibri"/>
        <family val="2"/>
        <scheme val="minor"/>
      </rPr>
      <t>04</t>
    </r>
    <r>
      <rPr>
        <sz val="11"/>
        <color theme="1"/>
        <rFont val="Calibri"/>
        <family val="2"/>
        <scheme val="minor"/>
      </rPr>
      <t xml:space="preserve"> - Term Modified By Mutual Agreement
</t>
    </r>
    <r>
      <rPr>
        <b/>
        <sz val="11"/>
        <color theme="1"/>
        <rFont val="Calibri"/>
        <family val="2"/>
        <scheme val="minor"/>
      </rPr>
      <t>05</t>
    </r>
    <r>
      <rPr>
        <sz val="11"/>
        <color theme="1"/>
        <rFont val="Calibri"/>
        <family val="2"/>
        <scheme val="minor"/>
      </rPr>
      <t xml:space="preserve"> - Student Completed Term Requirements Sooner Than Expected
</t>
    </r>
    <r>
      <rPr>
        <b/>
        <sz val="11"/>
        <color theme="1"/>
        <rFont val="Calibri"/>
        <family val="2"/>
        <scheme val="minor"/>
      </rPr>
      <t>06</t>
    </r>
    <r>
      <rPr>
        <sz val="11"/>
        <color theme="1"/>
        <rFont val="Calibri"/>
        <family val="2"/>
        <scheme val="minor"/>
      </rPr>
      <t xml:space="preserve"> - Student Incarcerated
</t>
    </r>
    <r>
      <rPr>
        <b/>
        <sz val="11"/>
        <color theme="1"/>
        <rFont val="Calibri"/>
        <family val="2"/>
        <scheme val="minor"/>
      </rPr>
      <t>07</t>
    </r>
    <r>
      <rPr>
        <sz val="11"/>
        <color theme="1"/>
        <rFont val="Calibri"/>
        <family val="2"/>
        <scheme val="minor"/>
      </rPr>
      <t xml:space="preserve"> - Term Decreased Due To Extenuating Health-Related Circumstances
</t>
    </r>
    <r>
      <rPr>
        <b/>
        <sz val="11"/>
        <color theme="1"/>
        <rFont val="Calibri"/>
        <family val="2"/>
        <scheme val="minor"/>
      </rPr>
      <t>08</t>
    </r>
    <r>
      <rPr>
        <sz val="11"/>
        <color theme="1"/>
        <rFont val="Calibri"/>
        <family val="2"/>
        <scheme val="minor"/>
      </rPr>
      <t xml:space="preserve"> - Student Withdrew From School
</t>
    </r>
    <r>
      <rPr>
        <b/>
        <sz val="11"/>
        <color theme="1"/>
        <rFont val="Calibri"/>
        <family val="2"/>
        <scheme val="minor"/>
      </rPr>
      <t>09</t>
    </r>
    <r>
      <rPr>
        <sz val="11"/>
        <color theme="1"/>
        <rFont val="Calibri"/>
        <family val="2"/>
        <scheme val="minor"/>
      </rPr>
      <t xml:space="preserve"> - School Year Ended
</t>
    </r>
    <r>
      <rPr>
        <b/>
        <sz val="11"/>
        <color theme="1"/>
        <rFont val="Calibri"/>
        <family val="2"/>
        <scheme val="minor"/>
      </rPr>
      <t>10</t>
    </r>
    <r>
      <rPr>
        <sz val="11"/>
        <color theme="1"/>
        <rFont val="Calibri"/>
        <family val="2"/>
        <scheme val="minor"/>
      </rPr>
      <t xml:space="preserve"> - Continuation Of Previous Year's Disciplinary Action Assignment
</t>
    </r>
    <r>
      <rPr>
        <b/>
        <sz val="11"/>
        <color theme="1"/>
        <rFont val="Calibri"/>
        <family val="2"/>
        <scheme val="minor"/>
      </rPr>
      <t>11</t>
    </r>
    <r>
      <rPr>
        <sz val="11"/>
        <color theme="1"/>
        <rFont val="Calibri"/>
        <family val="2"/>
        <scheme val="minor"/>
      </rPr>
      <t xml:space="preserve"> - Term Modified By Placement Program Due To Student Behavior While In The Placement
</t>
    </r>
    <r>
      <rPr>
        <b/>
        <sz val="11"/>
        <color theme="1"/>
        <rFont val="Calibri"/>
        <family val="2"/>
        <scheme val="minor"/>
      </rPr>
      <t>12</t>
    </r>
    <r>
      <rPr>
        <sz val="11"/>
        <color theme="1"/>
        <rFont val="Calibri"/>
        <family val="2"/>
        <scheme val="minor"/>
      </rPr>
      <t xml:space="preserve"> - Other
</t>
    </r>
  </si>
  <si>
    <r>
      <t>EXPNOTMODNOALT</t>
    </r>
    <r>
      <rPr>
        <sz val="11"/>
        <color theme="1"/>
        <rFont val="Calibri"/>
        <family val="2"/>
        <scheme val="minor"/>
      </rPr>
      <t xml:space="preserve"> - One year expulsion and no educational services
</t>
    </r>
    <r>
      <rPr>
        <b/>
        <sz val="11"/>
        <color theme="1"/>
        <rFont val="Calibri"/>
        <family val="2"/>
        <scheme val="minor"/>
      </rPr>
      <t>EXPMODALT</t>
    </r>
    <r>
      <rPr>
        <sz val="11"/>
        <color theme="1"/>
        <rFont val="Calibri"/>
        <family val="2"/>
        <scheme val="minor"/>
      </rPr>
      <t xml:space="preserve"> - Expulsion modified to less than one year with educational services
</t>
    </r>
    <r>
      <rPr>
        <b/>
        <sz val="11"/>
        <color theme="1"/>
        <rFont val="Calibri"/>
        <family val="2"/>
        <scheme val="minor"/>
      </rPr>
      <t>EXPMODNOALT</t>
    </r>
    <r>
      <rPr>
        <sz val="11"/>
        <color theme="1"/>
        <rFont val="Calibri"/>
        <family val="2"/>
        <scheme val="minor"/>
      </rPr>
      <t xml:space="preserve"> - Expulsion modified to less than one year without educational services
</t>
    </r>
    <r>
      <rPr>
        <b/>
        <sz val="11"/>
        <color theme="1"/>
        <rFont val="Calibri"/>
        <family val="2"/>
        <scheme val="minor"/>
      </rPr>
      <t>EXPALT</t>
    </r>
    <r>
      <rPr>
        <sz val="11"/>
        <color theme="1"/>
        <rFont val="Calibri"/>
        <family val="2"/>
        <scheme val="minor"/>
      </rPr>
      <t xml:space="preserve"> - One year expulsion and educational services
</t>
    </r>
    <r>
      <rPr>
        <b/>
        <sz val="11"/>
        <color theme="1"/>
        <rFont val="Calibri"/>
        <family val="2"/>
        <scheme val="minor"/>
      </rPr>
      <t>REMOVEOTHER</t>
    </r>
    <r>
      <rPr>
        <sz val="11"/>
        <color theme="1"/>
        <rFont val="Calibri"/>
        <family val="2"/>
        <scheme val="minor"/>
      </rPr>
      <t xml:space="preserve"> - Other reasons such as death, withdrawal, or incarceration
</t>
    </r>
    <r>
      <rPr>
        <b/>
        <sz val="11"/>
        <color theme="1"/>
        <rFont val="Calibri"/>
        <family val="2"/>
        <scheme val="minor"/>
      </rPr>
      <t>OTHERDISACTION</t>
    </r>
    <r>
      <rPr>
        <sz val="11"/>
        <color theme="1"/>
        <rFont val="Calibri"/>
        <family val="2"/>
        <scheme val="minor"/>
      </rPr>
      <t xml:space="preserve"> - Another type of disciplinary action
</t>
    </r>
    <r>
      <rPr>
        <b/>
        <sz val="11"/>
        <color theme="1"/>
        <rFont val="Calibri"/>
        <family val="2"/>
        <scheme val="minor"/>
      </rPr>
      <t>NOACTION</t>
    </r>
    <r>
      <rPr>
        <sz val="11"/>
        <color theme="1"/>
        <rFont val="Calibri"/>
        <family val="2"/>
        <scheme val="minor"/>
      </rPr>
      <t xml:space="preserve"> - No disciplinary action taken
</t>
    </r>
  </si>
  <si>
    <r>
      <t>OutOfSchool</t>
    </r>
    <r>
      <rPr>
        <sz val="11"/>
        <color theme="1"/>
        <rFont val="Calibri"/>
        <family val="2"/>
        <scheme val="minor"/>
      </rPr>
      <t xml:space="preserve"> - Out of School Suspensions/Expulsions
</t>
    </r>
    <r>
      <rPr>
        <b/>
        <sz val="11"/>
        <color theme="1"/>
        <rFont val="Calibri"/>
        <family val="2"/>
        <scheme val="minor"/>
      </rPr>
      <t>InSchool</t>
    </r>
    <r>
      <rPr>
        <sz val="11"/>
        <color theme="1"/>
        <rFont val="Calibri"/>
        <family val="2"/>
        <scheme val="minor"/>
      </rPr>
      <t xml:space="preserve"> - In School Suspensions
</t>
    </r>
  </si>
  <si>
    <r>
      <t>DrugRelated</t>
    </r>
    <r>
      <rPr>
        <sz val="11"/>
        <color theme="1"/>
        <rFont val="Calibri"/>
        <family val="2"/>
        <scheme val="minor"/>
      </rPr>
      <t xml:space="preserve"> - Illicit drug related
</t>
    </r>
    <r>
      <rPr>
        <b/>
        <sz val="11"/>
        <color theme="1"/>
        <rFont val="Calibri"/>
        <family val="2"/>
        <scheme val="minor"/>
      </rPr>
      <t>AlcoholRelated</t>
    </r>
    <r>
      <rPr>
        <sz val="11"/>
        <color theme="1"/>
        <rFont val="Calibri"/>
        <family val="2"/>
        <scheme val="minor"/>
      </rPr>
      <t xml:space="preserve"> - Alcohol related
</t>
    </r>
    <r>
      <rPr>
        <b/>
        <sz val="11"/>
        <color theme="1"/>
        <rFont val="Calibri"/>
        <family val="2"/>
        <scheme val="minor"/>
      </rPr>
      <t>WeaponsPossession</t>
    </r>
    <r>
      <rPr>
        <sz val="11"/>
        <color theme="1"/>
        <rFont val="Calibri"/>
        <family val="2"/>
        <scheme val="minor"/>
      </rPr>
      <t xml:space="preserve"> - Weapons possession
</t>
    </r>
    <r>
      <rPr>
        <b/>
        <sz val="11"/>
        <color theme="1"/>
        <rFont val="Calibri"/>
        <family val="2"/>
        <scheme val="minor"/>
      </rPr>
      <t>WithPhysicalInjury</t>
    </r>
    <r>
      <rPr>
        <sz val="11"/>
        <color theme="1"/>
        <rFont val="Calibri"/>
        <family val="2"/>
        <scheme val="minor"/>
      </rPr>
      <t xml:space="preserve"> - Violent Incident (with Physical Injury)
</t>
    </r>
    <r>
      <rPr>
        <b/>
        <sz val="11"/>
        <color theme="1"/>
        <rFont val="Calibri"/>
        <family val="2"/>
        <scheme val="minor"/>
      </rPr>
      <t>WithoutPhysicalInjury</t>
    </r>
    <r>
      <rPr>
        <sz val="11"/>
        <color theme="1"/>
        <rFont val="Calibri"/>
        <family val="2"/>
        <scheme val="minor"/>
      </rPr>
      <t xml:space="preserve"> - Violent Incident (without Physical Injury)
</t>
    </r>
    <r>
      <rPr>
        <b/>
        <sz val="11"/>
        <color theme="1"/>
        <rFont val="Calibri"/>
        <family val="2"/>
        <scheme val="minor"/>
      </rPr>
      <t>Other</t>
    </r>
    <r>
      <rPr>
        <sz val="11"/>
        <color theme="1"/>
        <rFont val="Calibri"/>
        <family val="2"/>
        <scheme val="minor"/>
      </rPr>
      <t xml:space="preserve"> - Other reasons for out of school suspensions related to drug use and violence
</t>
    </r>
  </si>
  <si>
    <r>
      <t>EnrolledExclusively</t>
    </r>
    <r>
      <rPr>
        <sz val="11"/>
        <color theme="1"/>
        <rFont val="Calibri"/>
        <family val="2"/>
        <scheme val="minor"/>
      </rPr>
      <t xml:space="preserve"> - Enrolled exclusively in distance education courses
</t>
    </r>
    <r>
      <rPr>
        <b/>
        <sz val="11"/>
        <color theme="1"/>
        <rFont val="Calibri"/>
        <family val="2"/>
        <scheme val="minor"/>
      </rPr>
      <t>EnrolledInSome</t>
    </r>
    <r>
      <rPr>
        <sz val="11"/>
        <color theme="1"/>
        <rFont val="Calibri"/>
        <family val="2"/>
        <scheme val="minor"/>
      </rPr>
      <t xml:space="preserve"> - Enrolled in some but not all distance education courses
</t>
    </r>
    <r>
      <rPr>
        <b/>
        <sz val="11"/>
        <color theme="1"/>
        <rFont val="Calibri"/>
        <family val="2"/>
        <scheme val="minor"/>
      </rPr>
      <t>NotEnrolled</t>
    </r>
    <r>
      <rPr>
        <sz val="11"/>
        <color theme="1"/>
        <rFont val="Calibri"/>
        <family val="2"/>
        <scheme val="minor"/>
      </rPr>
      <t xml:space="preserve"> - Not enrolled in distance education courses
</t>
    </r>
  </si>
  <si>
    <r>
      <t>True</t>
    </r>
    <r>
      <rPr>
        <sz val="11"/>
        <color theme="1"/>
        <rFont val="Calibri"/>
        <family val="2"/>
        <scheme val="minor"/>
      </rPr>
      <t xml:space="preserve"> - Student was admitted as a doctoral candidate
</t>
    </r>
    <r>
      <rPr>
        <b/>
        <sz val="11"/>
        <color theme="1"/>
        <rFont val="Calibri"/>
        <family val="2"/>
        <scheme val="minor"/>
      </rPr>
      <t>False</t>
    </r>
    <r>
      <rPr>
        <sz val="11"/>
        <color theme="1"/>
        <rFont val="Calibri"/>
        <family val="2"/>
        <scheme val="minor"/>
      </rPr>
      <t xml:space="preserve"> - Student was not admitted as a doctoral candidate
</t>
    </r>
  </si>
  <si>
    <r>
      <t>Qualifying</t>
    </r>
    <r>
      <rPr>
        <sz val="11"/>
        <color theme="1"/>
        <rFont val="Calibri"/>
        <family val="2"/>
        <scheme val="minor"/>
      </rPr>
      <t xml:space="preserve"> - Qualifying exam
</t>
    </r>
    <r>
      <rPr>
        <b/>
        <sz val="11"/>
        <color theme="1"/>
        <rFont val="Calibri"/>
        <family val="2"/>
        <scheme val="minor"/>
      </rPr>
      <t>OralComprehensive</t>
    </r>
    <r>
      <rPr>
        <sz val="11"/>
        <color theme="1"/>
        <rFont val="Calibri"/>
        <family val="2"/>
        <scheme val="minor"/>
      </rPr>
      <t xml:space="preserve"> - Oral comprehensive exam
</t>
    </r>
    <r>
      <rPr>
        <b/>
        <sz val="11"/>
        <color theme="1"/>
        <rFont val="Calibri"/>
        <family val="2"/>
        <scheme val="minor"/>
      </rPr>
      <t>WrittenComprehensive</t>
    </r>
    <r>
      <rPr>
        <sz val="11"/>
        <color theme="1"/>
        <rFont val="Calibri"/>
        <family val="2"/>
        <scheme val="minor"/>
      </rPr>
      <t xml:space="preserve"> - Written comprehensive exam
</t>
    </r>
    <r>
      <rPr>
        <b/>
        <sz val="11"/>
        <color theme="1"/>
        <rFont val="Calibri"/>
        <family val="2"/>
        <scheme val="minor"/>
      </rPr>
      <t>Candidacy</t>
    </r>
    <r>
      <rPr>
        <sz val="11"/>
        <color theme="1"/>
        <rFont val="Calibri"/>
        <family val="2"/>
        <scheme val="minor"/>
      </rPr>
      <t xml:space="preserve"> - Candidacy exam
</t>
    </r>
    <r>
      <rPr>
        <b/>
        <sz val="11"/>
        <color theme="1"/>
        <rFont val="Calibri"/>
        <family val="2"/>
        <scheme val="minor"/>
      </rPr>
      <t>Other</t>
    </r>
    <r>
      <rPr>
        <sz val="11"/>
        <color theme="1"/>
        <rFont val="Calibri"/>
        <family val="2"/>
        <scheme val="minor"/>
      </rPr>
      <t xml:space="preserve"> - Other departmental or institutional exam
</t>
    </r>
  </si>
  <si>
    <r>
      <t>ChildDevelopmentAssociate</t>
    </r>
    <r>
      <rPr>
        <sz val="11"/>
        <color theme="1"/>
        <rFont val="Calibri"/>
        <family val="2"/>
        <scheme val="minor"/>
      </rPr>
      <t xml:space="preserve"> - Child Development Associate (CDA)
</t>
    </r>
    <r>
      <rPr>
        <b/>
        <sz val="11"/>
        <color theme="1"/>
        <rFont val="Calibri"/>
        <family val="2"/>
        <scheme val="minor"/>
      </rPr>
      <t>DirectorsLevelCredential</t>
    </r>
    <r>
      <rPr>
        <sz val="11"/>
        <color theme="1"/>
        <rFont val="Calibri"/>
        <family val="2"/>
        <scheme val="minor"/>
      </rPr>
      <t xml:space="preserve"> - Directors Level Credential
</t>
    </r>
    <r>
      <rPr>
        <b/>
        <sz val="11"/>
        <color theme="1"/>
        <rFont val="Calibri"/>
        <family val="2"/>
        <scheme val="minor"/>
      </rPr>
      <t>StateInfantToddler</t>
    </r>
    <r>
      <rPr>
        <sz val="11"/>
        <color theme="1"/>
        <rFont val="Calibri"/>
        <family val="2"/>
        <scheme val="minor"/>
      </rPr>
      <t xml:space="preserve"> - State Awarded Credential for Infant/Toddler
</t>
    </r>
    <r>
      <rPr>
        <b/>
        <sz val="11"/>
        <color theme="1"/>
        <rFont val="Calibri"/>
        <family val="2"/>
        <scheme val="minor"/>
      </rPr>
      <t>StatePreschool</t>
    </r>
    <r>
      <rPr>
        <sz val="11"/>
        <color theme="1"/>
        <rFont val="Calibri"/>
        <family val="2"/>
        <scheme val="minor"/>
      </rPr>
      <t xml:space="preserve"> - State Awarded Preschool Credential
</t>
    </r>
    <r>
      <rPr>
        <b/>
        <sz val="11"/>
        <color theme="1"/>
        <rFont val="Calibri"/>
        <family val="2"/>
        <scheme val="minor"/>
      </rPr>
      <t>StateSchoolAge</t>
    </r>
    <r>
      <rPr>
        <sz val="11"/>
        <color theme="1"/>
        <rFont val="Calibri"/>
        <family val="2"/>
        <scheme val="minor"/>
      </rPr>
      <t xml:space="preserve"> - State Awarded School-Age Credential
</t>
    </r>
    <r>
      <rPr>
        <b/>
        <sz val="11"/>
        <color theme="1"/>
        <rFont val="Calibri"/>
        <family val="2"/>
        <scheme val="minor"/>
      </rPr>
      <t>Other</t>
    </r>
    <r>
      <rPr>
        <sz val="11"/>
        <color theme="1"/>
        <rFont val="Calibri"/>
        <family val="2"/>
        <scheme val="minor"/>
      </rPr>
      <t xml:space="preserve"> - Other
</t>
    </r>
  </si>
  <si>
    <r>
      <t>HeadStart</t>
    </r>
    <r>
      <rPr>
        <sz val="11"/>
        <color theme="1"/>
        <rFont val="Calibri"/>
        <family val="2"/>
        <scheme val="minor"/>
      </rPr>
      <t xml:space="preserve"> - Head Start
</t>
    </r>
    <r>
      <rPr>
        <b/>
        <sz val="11"/>
        <color theme="1"/>
        <rFont val="Calibri"/>
        <family val="2"/>
        <scheme val="minor"/>
      </rPr>
      <t>EarlyHeadStart</t>
    </r>
    <r>
      <rPr>
        <sz val="11"/>
        <color theme="1"/>
        <rFont val="Calibri"/>
        <family val="2"/>
        <scheme val="minor"/>
      </rPr>
      <t xml:space="preserve"> - Early Head Start
</t>
    </r>
    <r>
      <rPr>
        <b/>
        <sz val="11"/>
        <color theme="1"/>
        <rFont val="Calibri"/>
        <family val="2"/>
        <scheme val="minor"/>
      </rPr>
      <t>PublicPreschool</t>
    </r>
    <r>
      <rPr>
        <sz val="11"/>
        <color theme="1"/>
        <rFont val="Calibri"/>
        <family val="2"/>
        <scheme val="minor"/>
      </rPr>
      <t xml:space="preserve"> - Public Preschool
</t>
    </r>
    <r>
      <rPr>
        <b/>
        <sz val="11"/>
        <color theme="1"/>
        <rFont val="Calibri"/>
        <family val="2"/>
        <scheme val="minor"/>
      </rPr>
      <t>FeeForService</t>
    </r>
    <r>
      <rPr>
        <sz val="11"/>
        <color theme="1"/>
        <rFont val="Calibri"/>
        <family val="2"/>
        <scheme val="minor"/>
      </rPr>
      <t xml:space="preserve"> - Fee For Service
</t>
    </r>
    <r>
      <rPr>
        <b/>
        <sz val="11"/>
        <color theme="1"/>
        <rFont val="Calibri"/>
        <family val="2"/>
        <scheme val="minor"/>
      </rPr>
      <t>PreschoolSpecialEducation</t>
    </r>
    <r>
      <rPr>
        <sz val="11"/>
        <color theme="1"/>
        <rFont val="Calibri"/>
        <family val="2"/>
        <scheme val="minor"/>
      </rPr>
      <t xml:space="preserve"> - Preschool Special Education
</t>
    </r>
    <r>
      <rPr>
        <b/>
        <sz val="11"/>
        <color theme="1"/>
        <rFont val="Calibri"/>
        <family val="2"/>
        <scheme val="minor"/>
      </rPr>
      <t>HomeVisiting</t>
    </r>
    <r>
      <rPr>
        <sz val="11"/>
        <color theme="1"/>
        <rFont val="Calibri"/>
        <family val="2"/>
        <scheme val="minor"/>
      </rPr>
      <t xml:space="preserve"> - Home Visiting
</t>
    </r>
    <r>
      <rPr>
        <b/>
        <sz val="11"/>
        <color theme="1"/>
        <rFont val="Calibri"/>
        <family val="2"/>
        <scheme val="minor"/>
      </rPr>
      <t>EarlyInterventionPartC</t>
    </r>
    <r>
      <rPr>
        <sz val="11"/>
        <color theme="1"/>
        <rFont val="Calibri"/>
        <family val="2"/>
        <scheme val="minor"/>
      </rPr>
      <t xml:space="preserve"> - Early Intervention Services Part C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None</t>
    </r>
    <r>
      <rPr>
        <sz val="11"/>
        <color theme="1"/>
        <rFont val="Calibri"/>
        <family val="2"/>
        <scheme val="minor"/>
      </rPr>
      <t xml:space="preserve"> - None
</t>
    </r>
  </si>
  <si>
    <r>
      <t>HeadStart</t>
    </r>
    <r>
      <rPr>
        <sz val="11"/>
        <color theme="1"/>
        <rFont val="Calibri"/>
        <family val="2"/>
        <scheme val="minor"/>
      </rPr>
      <t xml:space="preserve"> - Head Start
</t>
    </r>
    <r>
      <rPr>
        <b/>
        <sz val="11"/>
        <color theme="1"/>
        <rFont val="Calibri"/>
        <family val="2"/>
        <scheme val="minor"/>
      </rPr>
      <t>EarlyHeadStart</t>
    </r>
    <r>
      <rPr>
        <sz val="11"/>
        <color theme="1"/>
        <rFont val="Calibri"/>
        <family val="2"/>
        <scheme val="minor"/>
      </rPr>
      <t xml:space="preserve"> - Early Head Start
</t>
    </r>
    <r>
      <rPr>
        <b/>
        <sz val="11"/>
        <color theme="1"/>
        <rFont val="Calibri"/>
        <family val="2"/>
        <scheme val="minor"/>
      </rPr>
      <t>PublicPreschool</t>
    </r>
    <r>
      <rPr>
        <sz val="11"/>
        <color theme="1"/>
        <rFont val="Calibri"/>
        <family val="2"/>
        <scheme val="minor"/>
      </rPr>
      <t xml:space="preserve"> - Public Preschool
</t>
    </r>
    <r>
      <rPr>
        <b/>
        <sz val="11"/>
        <color theme="1"/>
        <rFont val="Calibri"/>
        <family val="2"/>
        <scheme val="minor"/>
      </rPr>
      <t>PrivatePreschool</t>
    </r>
    <r>
      <rPr>
        <sz val="11"/>
        <color theme="1"/>
        <rFont val="Calibri"/>
        <family val="2"/>
        <scheme val="minor"/>
      </rPr>
      <t xml:space="preserve"> - Private Preschool
</t>
    </r>
    <r>
      <rPr>
        <b/>
        <sz val="11"/>
        <color theme="1"/>
        <rFont val="Calibri"/>
        <family val="2"/>
        <scheme val="minor"/>
      </rPr>
      <t>PreschoolSpecialEducation</t>
    </r>
    <r>
      <rPr>
        <sz val="11"/>
        <color theme="1"/>
        <rFont val="Calibri"/>
        <family val="2"/>
        <scheme val="minor"/>
      </rPr>
      <t xml:space="preserve"> - Preschool Special Education
</t>
    </r>
    <r>
      <rPr>
        <b/>
        <sz val="11"/>
        <color theme="1"/>
        <rFont val="Calibri"/>
        <family val="2"/>
        <scheme val="minor"/>
      </rPr>
      <t>HomeVisiting</t>
    </r>
    <r>
      <rPr>
        <sz val="11"/>
        <color theme="1"/>
        <rFont val="Calibri"/>
        <family val="2"/>
        <scheme val="minor"/>
      </rPr>
      <t xml:space="preserve"> - Home Visiting
</t>
    </r>
    <r>
      <rPr>
        <b/>
        <sz val="11"/>
        <color theme="1"/>
        <rFont val="Calibri"/>
        <family val="2"/>
        <scheme val="minor"/>
      </rPr>
      <t>EarlyInterventionPartC</t>
    </r>
    <r>
      <rPr>
        <sz val="11"/>
        <color theme="1"/>
        <rFont val="Calibri"/>
        <family val="2"/>
        <scheme val="minor"/>
      </rPr>
      <t xml:space="preserve"> - Early Intervention Services Part C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None</t>
    </r>
    <r>
      <rPr>
        <sz val="11"/>
        <color theme="1"/>
        <rFont val="Calibri"/>
        <family val="2"/>
        <scheme val="minor"/>
      </rPr>
      <t xml:space="preserve"> - None
</t>
    </r>
  </si>
  <si>
    <r>
      <t>HomeBased</t>
    </r>
    <r>
      <rPr>
        <sz val="11"/>
        <color theme="1"/>
        <rFont val="Calibri"/>
        <family val="2"/>
        <scheme val="minor"/>
      </rPr>
      <t xml:space="preserve"> - Home-based (Child's Home)
</t>
    </r>
    <r>
      <rPr>
        <b/>
        <sz val="11"/>
        <color theme="1"/>
        <rFont val="Calibri"/>
        <family val="2"/>
        <scheme val="minor"/>
      </rPr>
      <t>CenterBased</t>
    </r>
    <r>
      <rPr>
        <sz val="11"/>
        <color theme="1"/>
        <rFont val="Calibri"/>
        <family val="2"/>
        <scheme val="minor"/>
      </rPr>
      <t xml:space="preserve"> - Center-based (including a school setting)
</t>
    </r>
    <r>
      <rPr>
        <b/>
        <sz val="11"/>
        <color theme="1"/>
        <rFont val="Calibri"/>
        <family val="2"/>
        <scheme val="minor"/>
      </rPr>
      <t>CenterBasedSpecial</t>
    </r>
    <r>
      <rPr>
        <sz val="11"/>
        <color theme="1"/>
        <rFont val="Calibri"/>
        <family val="2"/>
        <scheme val="minor"/>
      </rPr>
      <t xml:space="preserve"> - Center-based for children with special needs
</t>
    </r>
    <r>
      <rPr>
        <b/>
        <sz val="11"/>
        <color theme="1"/>
        <rFont val="Calibri"/>
        <family val="2"/>
        <scheme val="minor"/>
      </rPr>
      <t>FamilyChildCare</t>
    </r>
    <r>
      <rPr>
        <sz val="11"/>
        <color theme="1"/>
        <rFont val="Calibri"/>
        <family val="2"/>
        <scheme val="minor"/>
      </rPr>
      <t xml:space="preserve"> - Family Child Care Home (Provider's Home)
</t>
    </r>
    <r>
      <rPr>
        <b/>
        <sz val="11"/>
        <color theme="1"/>
        <rFont val="Calibri"/>
        <family val="2"/>
        <scheme val="minor"/>
      </rPr>
      <t>MultiSetting</t>
    </r>
    <r>
      <rPr>
        <sz val="11"/>
        <color theme="1"/>
        <rFont val="Calibri"/>
        <family val="2"/>
        <scheme val="minor"/>
      </rPr>
      <t xml:space="preserve"> - Multi-setting
</t>
    </r>
    <r>
      <rPr>
        <b/>
        <sz val="11"/>
        <color theme="1"/>
        <rFont val="Calibri"/>
        <family val="2"/>
        <scheme val="minor"/>
      </rPr>
      <t>LocallyDesigned</t>
    </r>
    <r>
      <rPr>
        <sz val="11"/>
        <color theme="1"/>
        <rFont val="Calibri"/>
        <family val="2"/>
        <scheme val="minor"/>
      </rPr>
      <t xml:space="preserve"> - Locally designed
</t>
    </r>
  </si>
  <si>
    <r>
      <t>01</t>
    </r>
    <r>
      <rPr>
        <sz val="11"/>
        <color theme="1"/>
        <rFont val="Calibri"/>
        <family val="2"/>
        <scheme val="minor"/>
      </rPr>
      <t xml:space="preserve"> - Assistive technology services
</t>
    </r>
    <r>
      <rPr>
        <b/>
        <sz val="11"/>
        <color theme="1"/>
        <rFont val="Calibri"/>
        <family val="2"/>
        <scheme val="minor"/>
      </rPr>
      <t>02</t>
    </r>
    <r>
      <rPr>
        <sz val="11"/>
        <color theme="1"/>
        <rFont val="Calibri"/>
        <family val="2"/>
        <scheme val="minor"/>
      </rPr>
      <t xml:space="preserve"> - Audiology services
</t>
    </r>
    <r>
      <rPr>
        <b/>
        <sz val="11"/>
        <color theme="1"/>
        <rFont val="Calibri"/>
        <family val="2"/>
        <scheme val="minor"/>
      </rPr>
      <t>03</t>
    </r>
    <r>
      <rPr>
        <sz val="11"/>
        <color theme="1"/>
        <rFont val="Calibri"/>
        <family val="2"/>
        <scheme val="minor"/>
      </rPr>
      <t xml:space="preserve"> - Family training/counseling services
</t>
    </r>
    <r>
      <rPr>
        <b/>
        <sz val="11"/>
        <color theme="1"/>
        <rFont val="Calibri"/>
        <family val="2"/>
        <scheme val="minor"/>
      </rPr>
      <t>04</t>
    </r>
    <r>
      <rPr>
        <sz val="11"/>
        <color theme="1"/>
        <rFont val="Calibri"/>
        <family val="2"/>
        <scheme val="minor"/>
      </rPr>
      <t xml:space="preserve"> - Health services
</t>
    </r>
    <r>
      <rPr>
        <b/>
        <sz val="11"/>
        <color theme="1"/>
        <rFont val="Calibri"/>
        <family val="2"/>
        <scheme val="minor"/>
      </rPr>
      <t>05</t>
    </r>
    <r>
      <rPr>
        <sz val="11"/>
        <color theme="1"/>
        <rFont val="Calibri"/>
        <family val="2"/>
        <scheme val="minor"/>
      </rPr>
      <t xml:space="preserve"> - Medical services
</t>
    </r>
    <r>
      <rPr>
        <b/>
        <sz val="11"/>
        <color theme="1"/>
        <rFont val="Calibri"/>
        <family val="2"/>
        <scheme val="minor"/>
      </rPr>
      <t>06</t>
    </r>
    <r>
      <rPr>
        <sz val="11"/>
        <color theme="1"/>
        <rFont val="Calibri"/>
        <family val="2"/>
        <scheme val="minor"/>
      </rPr>
      <t xml:space="preserve"> - Nursing services
</t>
    </r>
    <r>
      <rPr>
        <b/>
        <sz val="11"/>
        <color theme="1"/>
        <rFont val="Calibri"/>
        <family val="2"/>
        <scheme val="minor"/>
      </rPr>
      <t>07</t>
    </r>
    <r>
      <rPr>
        <sz val="11"/>
        <color theme="1"/>
        <rFont val="Calibri"/>
        <family val="2"/>
        <scheme val="minor"/>
      </rPr>
      <t xml:space="preserve"> - Nutrition services
</t>
    </r>
    <r>
      <rPr>
        <b/>
        <sz val="11"/>
        <color theme="1"/>
        <rFont val="Calibri"/>
        <family val="2"/>
        <scheme val="minor"/>
      </rPr>
      <t>08</t>
    </r>
    <r>
      <rPr>
        <sz val="11"/>
        <color theme="1"/>
        <rFont val="Calibri"/>
        <family val="2"/>
        <scheme val="minor"/>
      </rPr>
      <t xml:space="preserve"> - Occupational therapy
</t>
    </r>
    <r>
      <rPr>
        <b/>
        <sz val="11"/>
        <color theme="1"/>
        <rFont val="Calibri"/>
        <family val="2"/>
        <scheme val="minor"/>
      </rPr>
      <t>09</t>
    </r>
    <r>
      <rPr>
        <sz val="11"/>
        <color theme="1"/>
        <rFont val="Calibri"/>
        <family val="2"/>
        <scheme val="minor"/>
      </rPr>
      <t xml:space="preserve"> - Physical therapy
</t>
    </r>
    <r>
      <rPr>
        <b/>
        <sz val="11"/>
        <color theme="1"/>
        <rFont val="Calibri"/>
        <family val="2"/>
        <scheme val="minor"/>
      </rPr>
      <t>10</t>
    </r>
    <r>
      <rPr>
        <sz val="11"/>
        <color theme="1"/>
        <rFont val="Calibri"/>
        <family val="2"/>
        <scheme val="minor"/>
      </rPr>
      <t xml:space="preserve"> - Psychological services
</t>
    </r>
    <r>
      <rPr>
        <b/>
        <sz val="11"/>
        <color theme="1"/>
        <rFont val="Calibri"/>
        <family val="2"/>
        <scheme val="minor"/>
      </rPr>
      <t>11</t>
    </r>
    <r>
      <rPr>
        <sz val="11"/>
        <color theme="1"/>
        <rFont val="Calibri"/>
        <family val="2"/>
        <scheme val="minor"/>
      </rPr>
      <t xml:space="preserve"> - Sign language and cued language services
</t>
    </r>
    <r>
      <rPr>
        <b/>
        <sz val="11"/>
        <color theme="1"/>
        <rFont val="Calibri"/>
        <family val="2"/>
        <scheme val="minor"/>
      </rPr>
      <t>12</t>
    </r>
    <r>
      <rPr>
        <sz val="11"/>
        <color theme="1"/>
        <rFont val="Calibri"/>
        <family val="2"/>
        <scheme val="minor"/>
      </rPr>
      <t xml:space="preserve"> - Service coordination
</t>
    </r>
    <r>
      <rPr>
        <b/>
        <sz val="11"/>
        <color theme="1"/>
        <rFont val="Calibri"/>
        <family val="2"/>
        <scheme val="minor"/>
      </rPr>
      <t>13</t>
    </r>
    <r>
      <rPr>
        <sz val="11"/>
        <color theme="1"/>
        <rFont val="Calibri"/>
        <family val="2"/>
        <scheme val="minor"/>
      </rPr>
      <t xml:space="preserve"> - Social work services
</t>
    </r>
    <r>
      <rPr>
        <b/>
        <sz val="11"/>
        <color theme="1"/>
        <rFont val="Calibri"/>
        <family val="2"/>
        <scheme val="minor"/>
      </rPr>
      <t>14</t>
    </r>
    <r>
      <rPr>
        <sz val="11"/>
        <color theme="1"/>
        <rFont val="Calibri"/>
        <family val="2"/>
        <scheme val="minor"/>
      </rPr>
      <t xml:space="preserve"> - Special instruction
</t>
    </r>
    <r>
      <rPr>
        <b/>
        <sz val="11"/>
        <color theme="1"/>
        <rFont val="Calibri"/>
        <family val="2"/>
        <scheme val="minor"/>
      </rPr>
      <t>15</t>
    </r>
    <r>
      <rPr>
        <sz val="11"/>
        <color theme="1"/>
        <rFont val="Calibri"/>
        <family val="2"/>
        <scheme val="minor"/>
      </rPr>
      <t xml:space="preserve"> - Speech-language pathology services
</t>
    </r>
    <r>
      <rPr>
        <b/>
        <sz val="11"/>
        <color theme="1"/>
        <rFont val="Calibri"/>
        <family val="2"/>
        <scheme val="minor"/>
      </rPr>
      <t>16</t>
    </r>
    <r>
      <rPr>
        <sz val="11"/>
        <color theme="1"/>
        <rFont val="Calibri"/>
        <family val="2"/>
        <scheme val="minor"/>
      </rPr>
      <t xml:space="preserve"> - Vision services
</t>
    </r>
    <r>
      <rPr>
        <b/>
        <sz val="11"/>
        <color theme="1"/>
        <rFont val="Calibri"/>
        <family val="2"/>
        <scheme val="minor"/>
      </rPr>
      <t>99</t>
    </r>
    <r>
      <rPr>
        <sz val="11"/>
        <color theme="1"/>
        <rFont val="Calibri"/>
        <family val="2"/>
        <scheme val="minor"/>
      </rPr>
      <t xml:space="preserve"> - Other
</t>
    </r>
  </si>
  <si>
    <r>
      <t>RegularECProgram</t>
    </r>
    <r>
      <rPr>
        <sz val="11"/>
        <color theme="1"/>
        <rFont val="Calibri"/>
        <family val="2"/>
        <scheme val="minor"/>
      </rPr>
      <t xml:space="preserve"> - Regular early childhood program
</t>
    </r>
    <r>
      <rPr>
        <b/>
        <sz val="11"/>
        <color theme="1"/>
        <rFont val="Calibri"/>
        <family val="2"/>
        <scheme val="minor"/>
      </rPr>
      <t>SpecialEducationProgram</t>
    </r>
    <r>
      <rPr>
        <sz val="11"/>
        <color theme="1"/>
        <rFont val="Calibri"/>
        <family val="2"/>
        <scheme val="minor"/>
      </rPr>
      <t xml:space="preserve"> - Special education program 
</t>
    </r>
    <r>
      <rPr>
        <b/>
        <sz val="11"/>
        <color theme="1"/>
        <rFont val="Calibri"/>
        <family val="2"/>
        <scheme val="minor"/>
      </rPr>
      <t>SeparateClass</t>
    </r>
    <r>
      <rPr>
        <sz val="11"/>
        <color theme="1"/>
        <rFont val="Calibri"/>
        <family val="2"/>
        <scheme val="minor"/>
      </rPr>
      <t xml:space="preserve"> - Separate class
</t>
    </r>
    <r>
      <rPr>
        <b/>
        <sz val="11"/>
        <color theme="1"/>
        <rFont val="Calibri"/>
        <family val="2"/>
        <scheme val="minor"/>
      </rPr>
      <t>SeparateSchool</t>
    </r>
    <r>
      <rPr>
        <sz val="11"/>
        <color theme="1"/>
        <rFont val="Calibri"/>
        <family val="2"/>
        <scheme val="minor"/>
      </rPr>
      <t xml:space="preserve"> - Separate school
</t>
    </r>
    <r>
      <rPr>
        <b/>
        <sz val="11"/>
        <color theme="1"/>
        <rFont val="Calibri"/>
        <family val="2"/>
        <scheme val="minor"/>
      </rPr>
      <t>ResidentialFacility</t>
    </r>
    <r>
      <rPr>
        <sz val="11"/>
        <color theme="1"/>
        <rFont val="Calibri"/>
        <family val="2"/>
        <scheme val="minor"/>
      </rPr>
      <t xml:space="preserve"> - Residential facility
</t>
    </r>
    <r>
      <rPr>
        <b/>
        <sz val="11"/>
        <color theme="1"/>
        <rFont val="Calibri"/>
        <family val="2"/>
        <scheme val="minor"/>
      </rPr>
      <t>Home</t>
    </r>
    <r>
      <rPr>
        <sz val="11"/>
        <color theme="1"/>
        <rFont val="Calibri"/>
        <family val="2"/>
        <scheme val="minor"/>
      </rPr>
      <t xml:space="preserve"> - Home
</t>
    </r>
    <r>
      <rPr>
        <b/>
        <sz val="11"/>
        <color theme="1"/>
        <rFont val="Calibri"/>
        <family val="2"/>
        <scheme val="minor"/>
      </rPr>
      <t>ServiceProviderLocation</t>
    </r>
    <r>
      <rPr>
        <sz val="11"/>
        <color theme="1"/>
        <rFont val="Calibri"/>
        <family val="2"/>
        <scheme val="minor"/>
      </rPr>
      <t xml:space="preserve"> - Service Provider Location
</t>
    </r>
    <r>
      <rPr>
        <b/>
        <sz val="11"/>
        <color theme="1"/>
        <rFont val="Calibri"/>
        <family val="2"/>
        <scheme val="minor"/>
      </rPr>
      <t>CommunityBasedSetting</t>
    </r>
    <r>
      <rPr>
        <sz val="11"/>
        <color theme="1"/>
        <rFont val="Calibri"/>
        <family val="2"/>
        <scheme val="minor"/>
      </rPr>
      <t xml:space="preserve"> - Community-based setting
</t>
    </r>
    <r>
      <rPr>
        <b/>
        <sz val="11"/>
        <color theme="1"/>
        <rFont val="Calibri"/>
        <family val="2"/>
        <scheme val="minor"/>
      </rPr>
      <t>OtherSetting</t>
    </r>
    <r>
      <rPr>
        <sz val="11"/>
        <color theme="1"/>
        <rFont val="Calibri"/>
        <family val="2"/>
        <scheme val="minor"/>
      </rPr>
      <t xml:space="preserve"> - Other setting
</t>
    </r>
  </si>
  <si>
    <r>
      <t>FurtherEvaluationNeeded</t>
    </r>
    <r>
      <rPr>
        <sz val="11"/>
        <color theme="1"/>
        <rFont val="Calibri"/>
        <family val="2"/>
        <scheme val="minor"/>
      </rPr>
      <t xml:space="preserve"> - Further evaluation needed
</t>
    </r>
    <r>
      <rPr>
        <b/>
        <sz val="11"/>
        <color theme="1"/>
        <rFont val="Calibri"/>
        <family val="2"/>
        <scheme val="minor"/>
      </rPr>
      <t>NoFurtherEvaluationNeeded</t>
    </r>
    <r>
      <rPr>
        <sz val="11"/>
        <color theme="1"/>
        <rFont val="Calibri"/>
        <family val="2"/>
        <scheme val="minor"/>
      </rPr>
      <t xml:space="preserve"> - No further evaluation needed
</t>
    </r>
    <r>
      <rPr>
        <b/>
        <sz val="11"/>
        <color theme="1"/>
        <rFont val="Calibri"/>
        <family val="2"/>
        <scheme val="minor"/>
      </rPr>
      <t>NoScreeningPerformed</t>
    </r>
    <r>
      <rPr>
        <sz val="11"/>
        <color theme="1"/>
        <rFont val="Calibri"/>
        <family val="2"/>
        <scheme val="minor"/>
      </rPr>
      <t xml:space="preserve"> - No Screening Performed
</t>
    </r>
  </si>
  <si>
    <r>
      <t>01</t>
    </r>
    <r>
      <rPr>
        <sz val="11"/>
        <color theme="1"/>
        <rFont val="Calibri"/>
        <family val="2"/>
        <scheme val="minor"/>
      </rPr>
      <t xml:space="preserve"> - Creative curriculum infants/toddlers
</t>
    </r>
    <r>
      <rPr>
        <b/>
        <sz val="11"/>
        <color theme="1"/>
        <rFont val="Calibri"/>
        <family val="2"/>
        <scheme val="minor"/>
      </rPr>
      <t>02</t>
    </r>
    <r>
      <rPr>
        <sz val="11"/>
        <color theme="1"/>
        <rFont val="Calibri"/>
        <family val="2"/>
        <scheme val="minor"/>
      </rPr>
      <t xml:space="preserve"> - Creative curriculum preschool
</t>
    </r>
    <r>
      <rPr>
        <b/>
        <sz val="11"/>
        <color theme="1"/>
        <rFont val="Calibri"/>
        <family val="2"/>
        <scheme val="minor"/>
      </rPr>
      <t>03</t>
    </r>
    <r>
      <rPr>
        <sz val="11"/>
        <color theme="1"/>
        <rFont val="Calibri"/>
        <family val="2"/>
        <scheme val="minor"/>
      </rPr>
      <t xml:space="preserve"> - Creative curriculum family child care
</t>
    </r>
    <r>
      <rPr>
        <b/>
        <sz val="11"/>
        <color theme="1"/>
        <rFont val="Calibri"/>
        <family val="2"/>
        <scheme val="minor"/>
      </rPr>
      <t>04</t>
    </r>
    <r>
      <rPr>
        <sz val="11"/>
        <color theme="1"/>
        <rFont val="Calibri"/>
        <family val="2"/>
        <scheme val="minor"/>
      </rPr>
      <t xml:space="preserve"> - Highscope preschoolers
</t>
    </r>
    <r>
      <rPr>
        <b/>
        <sz val="11"/>
        <color theme="1"/>
        <rFont val="Calibri"/>
        <family val="2"/>
        <scheme val="minor"/>
      </rPr>
      <t>05</t>
    </r>
    <r>
      <rPr>
        <sz val="11"/>
        <color theme="1"/>
        <rFont val="Calibri"/>
        <family val="2"/>
        <scheme val="minor"/>
      </rPr>
      <t xml:space="preserve"> - Highscope infants/toddlers
</t>
    </r>
    <r>
      <rPr>
        <b/>
        <sz val="11"/>
        <color theme="1"/>
        <rFont val="Calibri"/>
        <family val="2"/>
        <scheme val="minor"/>
      </rPr>
      <t>06</t>
    </r>
    <r>
      <rPr>
        <sz val="11"/>
        <color theme="1"/>
        <rFont val="Calibri"/>
        <family val="2"/>
        <scheme val="minor"/>
      </rPr>
      <t xml:space="preserve"> - Montessori curriculum
</t>
    </r>
    <r>
      <rPr>
        <b/>
        <sz val="11"/>
        <color theme="1"/>
        <rFont val="Calibri"/>
        <family val="2"/>
        <scheme val="minor"/>
      </rPr>
      <t>07</t>
    </r>
    <r>
      <rPr>
        <sz val="11"/>
        <color theme="1"/>
        <rFont val="Calibri"/>
        <family val="2"/>
        <scheme val="minor"/>
      </rPr>
      <t xml:space="preserve"> - Locally designed curriculum
</t>
    </r>
    <r>
      <rPr>
        <b/>
        <sz val="11"/>
        <color theme="1"/>
        <rFont val="Calibri"/>
        <family val="2"/>
        <scheme val="minor"/>
      </rPr>
      <t>08</t>
    </r>
    <r>
      <rPr>
        <sz val="11"/>
        <color theme="1"/>
        <rFont val="Calibri"/>
        <family val="2"/>
        <scheme val="minor"/>
      </rPr>
      <t xml:space="preserve"> - Other curriculum
</t>
    </r>
    <r>
      <rPr>
        <b/>
        <sz val="11"/>
        <color theme="1"/>
        <rFont val="Calibri"/>
        <family val="2"/>
        <scheme val="minor"/>
      </rPr>
      <t>09</t>
    </r>
    <r>
      <rPr>
        <sz val="11"/>
        <color theme="1"/>
        <rFont val="Calibri"/>
        <family val="2"/>
        <scheme val="minor"/>
      </rPr>
      <t xml:space="preserve"> - None
</t>
    </r>
  </si>
  <si>
    <r>
      <t>01</t>
    </r>
    <r>
      <rPr>
        <sz val="11"/>
        <color theme="1"/>
        <rFont val="Calibri"/>
        <family val="2"/>
        <scheme val="minor"/>
      </rPr>
      <t xml:space="preserve"> - Child growth and development
</t>
    </r>
    <r>
      <rPr>
        <b/>
        <sz val="11"/>
        <color theme="1"/>
        <rFont val="Calibri"/>
        <family val="2"/>
        <scheme val="minor"/>
      </rPr>
      <t>02</t>
    </r>
    <r>
      <rPr>
        <sz val="11"/>
        <color theme="1"/>
        <rFont val="Calibri"/>
        <family val="2"/>
        <scheme val="minor"/>
      </rPr>
      <t xml:space="preserve"> - Health safety and nutrition
</t>
    </r>
    <r>
      <rPr>
        <b/>
        <sz val="11"/>
        <color theme="1"/>
        <rFont val="Calibri"/>
        <family val="2"/>
        <scheme val="minor"/>
      </rPr>
      <t>03</t>
    </r>
    <r>
      <rPr>
        <sz val="11"/>
        <color theme="1"/>
        <rFont val="Calibri"/>
        <family val="2"/>
        <scheme val="minor"/>
      </rPr>
      <t xml:space="preserve"> - Teaching and learning
</t>
    </r>
    <r>
      <rPr>
        <b/>
        <sz val="11"/>
        <color theme="1"/>
        <rFont val="Calibri"/>
        <family val="2"/>
        <scheme val="minor"/>
      </rPr>
      <t>04</t>
    </r>
    <r>
      <rPr>
        <sz val="11"/>
        <color theme="1"/>
        <rFont val="Calibri"/>
        <family val="2"/>
        <scheme val="minor"/>
      </rPr>
      <t xml:space="preserve"> - Observing, documenting and assessing
</t>
    </r>
    <r>
      <rPr>
        <b/>
        <sz val="11"/>
        <color theme="1"/>
        <rFont val="Calibri"/>
        <family val="2"/>
        <scheme val="minor"/>
      </rPr>
      <t>05</t>
    </r>
    <r>
      <rPr>
        <sz val="11"/>
        <color theme="1"/>
        <rFont val="Calibri"/>
        <family val="2"/>
        <scheme val="minor"/>
      </rPr>
      <t xml:space="preserve"> - Family and community relationships
</t>
    </r>
    <r>
      <rPr>
        <b/>
        <sz val="11"/>
        <color theme="1"/>
        <rFont val="Calibri"/>
        <family val="2"/>
        <scheme val="minor"/>
      </rPr>
      <t>06</t>
    </r>
    <r>
      <rPr>
        <sz val="11"/>
        <color theme="1"/>
        <rFont val="Calibri"/>
        <family val="2"/>
        <scheme val="minor"/>
      </rPr>
      <t xml:space="preserve"> - Administration and management
</t>
    </r>
    <r>
      <rPr>
        <b/>
        <sz val="11"/>
        <color theme="1"/>
        <rFont val="Calibri"/>
        <family val="2"/>
        <scheme val="minor"/>
      </rPr>
      <t>07</t>
    </r>
    <r>
      <rPr>
        <sz val="11"/>
        <color theme="1"/>
        <rFont val="Calibri"/>
        <family val="2"/>
        <scheme val="minor"/>
      </rPr>
      <t xml:space="preserve"> - Early childhood education profession and policy
</t>
    </r>
  </si>
  <si>
    <r>
      <t>01</t>
    </r>
    <r>
      <rPr>
        <sz val="11"/>
        <color theme="1"/>
        <rFont val="Calibri"/>
        <family val="2"/>
        <scheme val="minor"/>
      </rPr>
      <t xml:space="preserve"> - Head Start
</t>
    </r>
    <r>
      <rPr>
        <b/>
        <sz val="11"/>
        <color theme="1"/>
        <rFont val="Calibri"/>
        <family val="2"/>
        <scheme val="minor"/>
      </rPr>
      <t>02</t>
    </r>
    <r>
      <rPr>
        <sz val="11"/>
        <color theme="1"/>
        <rFont val="Calibri"/>
        <family val="2"/>
        <scheme val="minor"/>
      </rPr>
      <t xml:space="preserve"> - Early Head Start
</t>
    </r>
    <r>
      <rPr>
        <b/>
        <sz val="11"/>
        <color theme="1"/>
        <rFont val="Calibri"/>
        <family val="2"/>
        <scheme val="minor"/>
      </rPr>
      <t>03</t>
    </r>
    <r>
      <rPr>
        <sz val="11"/>
        <color theme="1"/>
        <rFont val="Calibri"/>
        <family val="2"/>
        <scheme val="minor"/>
      </rPr>
      <t xml:space="preserve"> - Office of Child Care-CCDF
</t>
    </r>
    <r>
      <rPr>
        <b/>
        <sz val="11"/>
        <color theme="1"/>
        <rFont val="Calibri"/>
        <family val="2"/>
        <scheme val="minor"/>
      </rPr>
      <t>04</t>
    </r>
    <r>
      <rPr>
        <sz val="11"/>
        <color theme="1"/>
        <rFont val="Calibri"/>
        <family val="2"/>
        <scheme val="minor"/>
      </rPr>
      <t xml:space="preserve"> - Early Intervention Part C
</t>
    </r>
    <r>
      <rPr>
        <b/>
        <sz val="11"/>
        <color theme="1"/>
        <rFont val="Calibri"/>
        <family val="2"/>
        <scheme val="minor"/>
      </rPr>
      <t>05</t>
    </r>
    <r>
      <rPr>
        <sz val="11"/>
        <color theme="1"/>
        <rFont val="Calibri"/>
        <family val="2"/>
        <scheme val="minor"/>
      </rPr>
      <t xml:space="preserve"> - Special Education Preschool Part B 619
</t>
    </r>
    <r>
      <rPr>
        <b/>
        <sz val="11"/>
        <color theme="1"/>
        <rFont val="Calibri"/>
        <family val="2"/>
        <scheme val="minor"/>
      </rPr>
      <t>06</t>
    </r>
    <r>
      <rPr>
        <sz val="11"/>
        <color theme="1"/>
        <rFont val="Calibri"/>
        <family val="2"/>
        <scheme val="minor"/>
      </rPr>
      <t xml:space="preserve"> - Title 1
</t>
    </r>
    <r>
      <rPr>
        <b/>
        <sz val="11"/>
        <color theme="1"/>
        <rFont val="Calibri"/>
        <family val="2"/>
        <scheme val="minor"/>
      </rPr>
      <t>07</t>
    </r>
    <r>
      <rPr>
        <sz val="11"/>
        <color theme="1"/>
        <rFont val="Calibri"/>
        <family val="2"/>
        <scheme val="minor"/>
      </rPr>
      <t xml:space="preserve"> - Maternal, Infant, and Early Childhood Home Visiting (MIECHV)
</t>
    </r>
    <r>
      <rPr>
        <b/>
        <sz val="11"/>
        <color theme="1"/>
        <rFont val="Calibri"/>
        <family val="2"/>
        <scheme val="minor"/>
      </rPr>
      <t>99</t>
    </r>
    <r>
      <rPr>
        <sz val="11"/>
        <color theme="1"/>
        <rFont val="Calibri"/>
        <family val="2"/>
        <scheme val="minor"/>
      </rPr>
      <t xml:space="preserve"> - Other
</t>
    </r>
  </si>
  <si>
    <r>
      <t>Infants</t>
    </r>
    <r>
      <rPr>
        <sz val="11"/>
        <color theme="1"/>
        <rFont val="Calibri"/>
        <family val="2"/>
        <scheme val="minor"/>
      </rPr>
      <t xml:space="preserve"> - Meets or exceeds standards for infants
</t>
    </r>
    <r>
      <rPr>
        <b/>
        <sz val="11"/>
        <color theme="1"/>
        <rFont val="Calibri"/>
        <family val="2"/>
        <scheme val="minor"/>
      </rPr>
      <t>Toddlers</t>
    </r>
    <r>
      <rPr>
        <sz val="11"/>
        <color theme="1"/>
        <rFont val="Calibri"/>
        <family val="2"/>
        <scheme val="minor"/>
      </rPr>
      <t xml:space="preserve"> - Meets or exceeds standards for toddlers
</t>
    </r>
    <r>
      <rPr>
        <b/>
        <sz val="11"/>
        <color theme="1"/>
        <rFont val="Calibri"/>
        <family val="2"/>
        <scheme val="minor"/>
      </rPr>
      <t>Preschoolers</t>
    </r>
    <r>
      <rPr>
        <sz val="11"/>
        <color theme="1"/>
        <rFont val="Calibri"/>
        <family val="2"/>
        <scheme val="minor"/>
      </rPr>
      <t xml:space="preserve"> - Meets or exceeds standards for preschoolers
</t>
    </r>
    <r>
      <rPr>
        <b/>
        <sz val="11"/>
        <color theme="1"/>
        <rFont val="Calibri"/>
        <family val="2"/>
        <scheme val="minor"/>
      </rPr>
      <t>School-Age</t>
    </r>
    <r>
      <rPr>
        <sz val="11"/>
        <color theme="1"/>
        <rFont val="Calibri"/>
        <family val="2"/>
        <scheme val="minor"/>
      </rPr>
      <t xml:space="preserve"> - Meets or exceeds standards for school-age
</t>
    </r>
  </si>
  <si>
    <r>
      <t>01</t>
    </r>
    <r>
      <rPr>
        <sz val="11"/>
        <color theme="1"/>
        <rFont val="Calibri"/>
        <family val="2"/>
        <scheme val="minor"/>
      </rPr>
      <t xml:space="preserve"> - Head Start
</t>
    </r>
    <r>
      <rPr>
        <b/>
        <sz val="11"/>
        <color theme="1"/>
        <rFont val="Calibri"/>
        <family val="2"/>
        <scheme val="minor"/>
      </rPr>
      <t>02</t>
    </r>
    <r>
      <rPr>
        <sz val="11"/>
        <color theme="1"/>
        <rFont val="Calibri"/>
        <family val="2"/>
        <scheme val="minor"/>
      </rPr>
      <t xml:space="preserve"> - Early Head Start
</t>
    </r>
    <r>
      <rPr>
        <b/>
        <sz val="11"/>
        <color theme="1"/>
        <rFont val="Calibri"/>
        <family val="2"/>
        <scheme val="minor"/>
      </rPr>
      <t>03</t>
    </r>
    <r>
      <rPr>
        <sz val="11"/>
        <color theme="1"/>
        <rFont val="Calibri"/>
        <family val="2"/>
        <scheme val="minor"/>
      </rPr>
      <t xml:space="preserve"> - Office of Child Care-CCDF
</t>
    </r>
    <r>
      <rPr>
        <b/>
        <sz val="11"/>
        <color theme="1"/>
        <rFont val="Calibri"/>
        <family val="2"/>
        <scheme val="minor"/>
      </rPr>
      <t>04</t>
    </r>
    <r>
      <rPr>
        <sz val="11"/>
        <color theme="1"/>
        <rFont val="Calibri"/>
        <family val="2"/>
        <scheme val="minor"/>
      </rPr>
      <t xml:space="preserve"> - Early Intervention Part C
</t>
    </r>
    <r>
      <rPr>
        <b/>
        <sz val="11"/>
        <color theme="1"/>
        <rFont val="Calibri"/>
        <family val="2"/>
        <scheme val="minor"/>
      </rPr>
      <t>05</t>
    </r>
    <r>
      <rPr>
        <sz val="11"/>
        <color theme="1"/>
        <rFont val="Calibri"/>
        <family val="2"/>
        <scheme val="minor"/>
      </rPr>
      <t xml:space="preserve"> - Special Education Preschool Part B 619
</t>
    </r>
    <r>
      <rPr>
        <b/>
        <sz val="11"/>
        <color theme="1"/>
        <rFont val="Calibri"/>
        <family val="2"/>
        <scheme val="minor"/>
      </rPr>
      <t>99</t>
    </r>
    <r>
      <rPr>
        <sz val="11"/>
        <color theme="1"/>
        <rFont val="Calibri"/>
        <family val="2"/>
        <scheme val="minor"/>
      </rPr>
      <t xml:space="preserve"> - Other
</t>
    </r>
  </si>
  <si>
    <r>
      <t>Baseline</t>
    </r>
    <r>
      <rPr>
        <sz val="11"/>
        <color theme="1"/>
        <rFont val="Calibri"/>
        <family val="2"/>
        <scheme val="minor"/>
      </rPr>
      <t xml:space="preserve"> - Baseline - at entry
</t>
    </r>
    <r>
      <rPr>
        <b/>
        <sz val="11"/>
        <color theme="1"/>
        <rFont val="Calibri"/>
        <family val="2"/>
        <scheme val="minor"/>
      </rPr>
      <t>AtExit</t>
    </r>
    <r>
      <rPr>
        <sz val="11"/>
        <color theme="1"/>
        <rFont val="Calibri"/>
        <family val="2"/>
        <scheme val="minor"/>
      </rPr>
      <t xml:space="preserve"> - At exit
</t>
    </r>
    <r>
      <rPr>
        <b/>
        <sz val="11"/>
        <color theme="1"/>
        <rFont val="Calibri"/>
        <family val="2"/>
        <scheme val="minor"/>
      </rPr>
      <t>No</t>
    </r>
    <r>
      <rPr>
        <sz val="11"/>
        <color theme="1"/>
        <rFont val="Calibri"/>
        <family val="2"/>
        <scheme val="minor"/>
      </rPr>
      <t xml:space="preserve"> - No
</t>
    </r>
    <r>
      <rPr>
        <b/>
        <sz val="11"/>
        <color theme="1"/>
        <rFont val="Calibri"/>
        <family val="2"/>
        <scheme val="minor"/>
      </rPr>
      <t>Other</t>
    </r>
    <r>
      <rPr>
        <sz val="11"/>
        <color theme="1"/>
        <rFont val="Calibri"/>
        <family val="2"/>
        <scheme val="minor"/>
      </rPr>
      <t xml:space="preserve"> - Other
</t>
    </r>
  </si>
  <si>
    <r>
      <t>Baseline</t>
    </r>
    <r>
      <rPr>
        <sz val="11"/>
        <color theme="1"/>
        <rFont val="Calibri"/>
        <family val="2"/>
        <scheme val="minor"/>
      </rPr>
      <t xml:space="preserve"> - Baseline - at entry
</t>
    </r>
    <r>
      <rPr>
        <b/>
        <sz val="11"/>
        <color theme="1"/>
        <rFont val="Calibri"/>
        <family val="2"/>
        <scheme val="minor"/>
      </rPr>
      <t>AtExit</t>
    </r>
    <r>
      <rPr>
        <sz val="11"/>
        <color theme="1"/>
        <rFont val="Calibri"/>
        <family val="2"/>
        <scheme val="minor"/>
      </rPr>
      <t xml:space="preserve"> - At exit
</t>
    </r>
    <r>
      <rPr>
        <b/>
        <sz val="11"/>
        <color theme="1"/>
        <rFont val="Calibri"/>
        <family val="2"/>
        <scheme val="minor"/>
      </rPr>
      <t>NA</t>
    </r>
    <r>
      <rPr>
        <sz val="11"/>
        <color theme="1"/>
        <rFont val="Calibri"/>
        <family val="2"/>
        <scheme val="minor"/>
      </rPr>
      <t xml:space="preserve"> - Not applicable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</si>
  <si>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Child Growth and Development
</t>
    </r>
    <r>
      <rPr>
        <b/>
        <sz val="11"/>
        <color theme="1"/>
        <rFont val="Calibri"/>
        <family val="2"/>
        <scheme val="minor"/>
      </rPr>
      <t>02</t>
    </r>
    <r>
      <rPr>
        <sz val="11"/>
        <color theme="1"/>
        <rFont val="Calibri"/>
        <family val="2"/>
        <scheme val="minor"/>
      </rPr>
      <t xml:space="preserve"> - Health Safety and Nutrition
</t>
    </r>
    <r>
      <rPr>
        <b/>
        <sz val="11"/>
        <color theme="1"/>
        <rFont val="Calibri"/>
        <family val="2"/>
        <scheme val="minor"/>
      </rPr>
      <t>03</t>
    </r>
    <r>
      <rPr>
        <sz val="11"/>
        <color theme="1"/>
        <rFont val="Calibri"/>
        <family val="2"/>
        <scheme val="minor"/>
      </rPr>
      <t xml:space="preserve"> - Teaching and Learning
</t>
    </r>
    <r>
      <rPr>
        <b/>
        <sz val="11"/>
        <color theme="1"/>
        <rFont val="Calibri"/>
        <family val="2"/>
        <scheme val="minor"/>
      </rPr>
      <t>04</t>
    </r>
    <r>
      <rPr>
        <sz val="11"/>
        <color theme="1"/>
        <rFont val="Calibri"/>
        <family val="2"/>
        <scheme val="minor"/>
      </rPr>
      <t xml:space="preserve"> - Observing
</t>
    </r>
    <r>
      <rPr>
        <b/>
        <sz val="11"/>
        <color theme="1"/>
        <rFont val="Calibri"/>
        <family val="2"/>
        <scheme val="minor"/>
      </rPr>
      <t>05</t>
    </r>
    <r>
      <rPr>
        <sz val="11"/>
        <color theme="1"/>
        <rFont val="Calibri"/>
        <family val="2"/>
        <scheme val="minor"/>
      </rPr>
      <t xml:space="preserve"> - Documenting and Assessing Family and Community Relationships
</t>
    </r>
    <r>
      <rPr>
        <b/>
        <sz val="11"/>
        <color theme="1"/>
        <rFont val="Calibri"/>
        <family val="2"/>
        <scheme val="minor"/>
      </rPr>
      <t>06</t>
    </r>
    <r>
      <rPr>
        <sz val="11"/>
        <color theme="1"/>
        <rFont val="Calibri"/>
        <family val="2"/>
        <scheme val="minor"/>
      </rPr>
      <t xml:space="preserve"> - Administration and Management
</t>
    </r>
    <r>
      <rPr>
        <b/>
        <sz val="11"/>
        <color theme="1"/>
        <rFont val="Calibri"/>
        <family val="2"/>
        <scheme val="minor"/>
      </rPr>
      <t>07</t>
    </r>
    <r>
      <rPr>
        <sz val="11"/>
        <color theme="1"/>
        <rFont val="Calibri"/>
        <family val="2"/>
        <scheme val="minor"/>
      </rPr>
      <t xml:space="preserve"> - Early Childhood Education Profession and Policy
</t>
    </r>
    <r>
      <rPr>
        <b/>
        <sz val="11"/>
        <color theme="1"/>
        <rFont val="Calibri"/>
        <family val="2"/>
        <scheme val="minor"/>
      </rPr>
      <t>99</t>
    </r>
    <r>
      <rPr>
        <sz val="11"/>
        <color theme="1"/>
        <rFont val="Calibri"/>
        <family val="2"/>
        <scheme val="minor"/>
      </rPr>
      <t xml:space="preserve"> - Other
</t>
    </r>
  </si>
  <si>
    <r>
      <t>Age</t>
    </r>
    <r>
      <rPr>
        <sz val="11"/>
        <color theme="1"/>
        <rFont val="Calibri"/>
        <family val="2"/>
        <scheme val="minor"/>
      </rPr>
      <t xml:space="preserve"> - Age
</t>
    </r>
    <r>
      <rPr>
        <b/>
        <sz val="11"/>
        <color theme="1"/>
        <rFont val="Calibri"/>
        <family val="2"/>
        <scheme val="minor"/>
      </rPr>
      <t>FamilyIncome</t>
    </r>
    <r>
      <rPr>
        <sz val="11"/>
        <color theme="1"/>
        <rFont val="Calibri"/>
        <family val="2"/>
        <scheme val="minor"/>
      </rPr>
      <t xml:space="preserve"> - Family income
</t>
    </r>
    <r>
      <rPr>
        <b/>
        <sz val="11"/>
        <color theme="1"/>
        <rFont val="Calibri"/>
        <family val="2"/>
        <scheme val="minor"/>
      </rPr>
      <t>DisabilityStatus</t>
    </r>
    <r>
      <rPr>
        <sz val="11"/>
        <color theme="1"/>
        <rFont val="Calibri"/>
        <family val="2"/>
        <scheme val="minor"/>
      </rPr>
      <t xml:space="preserve"> - Disability Status
</t>
    </r>
    <r>
      <rPr>
        <b/>
        <sz val="11"/>
        <color theme="1"/>
        <rFont val="Calibri"/>
        <family val="2"/>
        <scheme val="minor"/>
      </rPr>
      <t>SSSI</t>
    </r>
    <r>
      <rPr>
        <sz val="11"/>
        <color theme="1"/>
        <rFont val="Calibri"/>
        <family val="2"/>
        <scheme val="minor"/>
      </rPr>
      <t xml:space="preserve"> - Supplemental social security income
</t>
    </r>
    <r>
      <rPr>
        <b/>
        <sz val="11"/>
        <color theme="1"/>
        <rFont val="Calibri"/>
        <family val="2"/>
        <scheme val="minor"/>
      </rPr>
      <t>WIC</t>
    </r>
    <r>
      <rPr>
        <sz val="11"/>
        <color theme="1"/>
        <rFont val="Calibri"/>
        <family val="2"/>
        <scheme val="minor"/>
      </rPr>
      <t xml:space="preserve"> - Women, infants, and children
</t>
    </r>
    <r>
      <rPr>
        <b/>
        <sz val="11"/>
        <color theme="1"/>
        <rFont val="Calibri"/>
        <family val="2"/>
        <scheme val="minor"/>
      </rPr>
      <t>TANF</t>
    </r>
    <r>
      <rPr>
        <sz val="11"/>
        <color theme="1"/>
        <rFont val="Calibri"/>
        <family val="2"/>
        <scheme val="minor"/>
      </rPr>
      <t xml:space="preserve"> - Temporary assistance for needy families
</t>
    </r>
    <r>
      <rPr>
        <b/>
        <sz val="11"/>
        <color theme="1"/>
        <rFont val="Calibri"/>
        <family val="2"/>
        <scheme val="minor"/>
      </rPr>
      <t>OtherPublicAssistance</t>
    </r>
    <r>
      <rPr>
        <sz val="11"/>
        <color theme="1"/>
        <rFont val="Calibri"/>
        <family val="2"/>
        <scheme val="minor"/>
      </rPr>
      <t xml:space="preserve"> - Other public assistance
</t>
    </r>
    <r>
      <rPr>
        <b/>
        <sz val="11"/>
        <color theme="1"/>
        <rFont val="Calibri"/>
        <family val="2"/>
        <scheme val="minor"/>
      </rPr>
      <t>Foster</t>
    </r>
    <r>
      <rPr>
        <sz val="11"/>
        <color theme="1"/>
        <rFont val="Calibri"/>
        <family val="2"/>
        <scheme val="minor"/>
      </rPr>
      <t xml:space="preserve"> - Foster
</t>
    </r>
    <r>
      <rPr>
        <b/>
        <sz val="11"/>
        <color theme="1"/>
        <rFont val="Calibri"/>
        <family val="2"/>
        <scheme val="minor"/>
      </rPr>
      <t>MilitaryFamily</t>
    </r>
    <r>
      <rPr>
        <sz val="11"/>
        <color theme="1"/>
        <rFont val="Calibri"/>
        <family val="2"/>
        <scheme val="minor"/>
      </rPr>
      <t xml:space="preserve"> - Military family
</t>
    </r>
    <r>
      <rPr>
        <b/>
        <sz val="11"/>
        <color theme="1"/>
        <rFont val="Calibri"/>
        <family val="2"/>
        <scheme val="minor"/>
      </rPr>
      <t>ELL</t>
    </r>
    <r>
      <rPr>
        <sz val="11"/>
        <color theme="1"/>
        <rFont val="Calibri"/>
        <family val="2"/>
        <scheme val="minor"/>
      </rPr>
      <t xml:space="preserve"> - Home language other than English
</t>
    </r>
    <r>
      <rPr>
        <b/>
        <sz val="11"/>
        <color theme="1"/>
        <rFont val="Calibri"/>
        <family val="2"/>
        <scheme val="minor"/>
      </rPr>
      <t>OtherFamilyRisk</t>
    </r>
    <r>
      <rPr>
        <sz val="11"/>
        <color theme="1"/>
        <rFont val="Calibri"/>
        <family val="2"/>
        <scheme val="minor"/>
      </rPr>
      <t xml:space="preserve"> - Other family risk factors
</t>
    </r>
    <r>
      <rPr>
        <b/>
        <sz val="11"/>
        <color theme="1"/>
        <rFont val="Calibri"/>
        <family val="2"/>
        <scheme val="minor"/>
      </rPr>
      <t>OtherChildRisk</t>
    </r>
    <r>
      <rPr>
        <sz val="11"/>
        <color theme="1"/>
        <rFont val="Calibri"/>
        <family val="2"/>
        <scheme val="minor"/>
      </rPr>
      <t xml:space="preserve"> - Other child risk factors
</t>
    </r>
    <r>
      <rPr>
        <b/>
        <sz val="11"/>
        <color theme="1"/>
        <rFont val="Calibri"/>
        <family val="2"/>
        <scheme val="minor"/>
      </rPr>
      <t>AtRisk</t>
    </r>
    <r>
      <rPr>
        <sz val="11"/>
        <color theme="1"/>
        <rFont val="Calibri"/>
        <family val="2"/>
        <scheme val="minor"/>
      </rPr>
      <t xml:space="preserve"> - At-risk of having a substantial developmental delay
</t>
    </r>
    <r>
      <rPr>
        <b/>
        <sz val="11"/>
        <color theme="1"/>
        <rFont val="Calibri"/>
        <family val="2"/>
        <scheme val="minor"/>
      </rPr>
      <t>Other</t>
    </r>
    <r>
      <rPr>
        <sz val="11"/>
        <color theme="1"/>
        <rFont val="Calibri"/>
        <family val="2"/>
        <scheme val="minor"/>
      </rPr>
      <t xml:space="preserve"> - Other
</t>
    </r>
  </si>
  <si>
    <r>
      <t>Pending</t>
    </r>
    <r>
      <rPr>
        <sz val="11"/>
        <color theme="1"/>
        <rFont val="Calibri"/>
        <family val="2"/>
        <scheme val="minor"/>
      </rPr>
      <t xml:space="preserve"> - Pending
</t>
    </r>
    <r>
      <rPr>
        <b/>
        <sz val="11"/>
        <color theme="1"/>
        <rFont val="Calibri"/>
        <family val="2"/>
        <scheme val="minor"/>
      </rPr>
      <t>NotEligible</t>
    </r>
    <r>
      <rPr>
        <sz val="11"/>
        <color theme="1"/>
        <rFont val="Calibri"/>
        <family val="2"/>
        <scheme val="minor"/>
      </rPr>
      <t xml:space="preserve"> - Not found eligible
</t>
    </r>
    <r>
      <rPr>
        <b/>
        <sz val="11"/>
        <color theme="1"/>
        <rFont val="Calibri"/>
        <family val="2"/>
        <scheme val="minor"/>
      </rPr>
      <t>Eligible</t>
    </r>
    <r>
      <rPr>
        <sz val="11"/>
        <color theme="1"/>
        <rFont val="Calibri"/>
        <family val="2"/>
        <scheme val="minor"/>
      </rPr>
      <t xml:space="preserve"> - Found eligible
</t>
    </r>
    <r>
      <rPr>
        <b/>
        <sz val="11"/>
        <color theme="1"/>
        <rFont val="Calibri"/>
        <family val="2"/>
        <scheme val="minor"/>
      </rPr>
      <t>NotActive</t>
    </r>
    <r>
      <rPr>
        <sz val="11"/>
        <color theme="1"/>
        <rFont val="Calibri"/>
        <family val="2"/>
        <scheme val="minor"/>
      </rPr>
      <t xml:space="preserve"> - Not yet active
</t>
    </r>
  </si>
  <si>
    <r>
      <t>Unlicensed</t>
    </r>
    <r>
      <rPr>
        <sz val="11"/>
        <color theme="1"/>
        <rFont val="Calibri"/>
        <family val="2"/>
        <scheme val="minor"/>
      </rPr>
      <t xml:space="preserve"> - Unlicensed
</t>
    </r>
    <r>
      <rPr>
        <b/>
        <sz val="11"/>
        <color theme="1"/>
        <rFont val="Calibri"/>
        <family val="2"/>
        <scheme val="minor"/>
      </rPr>
      <t>ExemptRegulated</t>
    </r>
    <r>
      <rPr>
        <sz val="11"/>
        <color theme="1"/>
        <rFont val="Calibri"/>
        <family val="2"/>
        <scheme val="minor"/>
      </rPr>
      <t xml:space="preserve"> - Exempt - regulated
</t>
    </r>
    <r>
      <rPr>
        <b/>
        <sz val="11"/>
        <color theme="1"/>
        <rFont val="Calibri"/>
        <family val="2"/>
        <scheme val="minor"/>
      </rPr>
      <t>ExemptUnregulated</t>
    </r>
    <r>
      <rPr>
        <sz val="11"/>
        <color theme="1"/>
        <rFont val="Calibri"/>
        <family val="2"/>
        <scheme val="minor"/>
      </rPr>
      <t xml:space="preserve"> - Exempt - unregulated
</t>
    </r>
    <r>
      <rPr>
        <b/>
        <sz val="11"/>
        <color theme="1"/>
        <rFont val="Calibri"/>
        <family val="2"/>
        <scheme val="minor"/>
      </rPr>
      <t>Licensed</t>
    </r>
    <r>
      <rPr>
        <sz val="11"/>
        <color theme="1"/>
        <rFont val="Calibri"/>
        <family val="2"/>
        <scheme val="minor"/>
      </rPr>
      <t xml:space="preserve"> - Licensed
</t>
    </r>
  </si>
  <si>
    <r>
      <t>1</t>
    </r>
    <r>
      <rPr>
        <sz val="11"/>
        <color theme="1"/>
        <rFont val="Calibri"/>
        <family val="2"/>
        <scheme val="minor"/>
      </rPr>
      <t xml:space="preserve"> - Counties in metro areas of 1 million population or more
</t>
    </r>
    <r>
      <rPr>
        <b/>
        <sz val="11"/>
        <color theme="1"/>
        <rFont val="Calibri"/>
        <family val="2"/>
        <scheme val="minor"/>
      </rPr>
      <t>2</t>
    </r>
    <r>
      <rPr>
        <sz val="11"/>
        <color theme="1"/>
        <rFont val="Calibri"/>
        <family val="2"/>
        <scheme val="minor"/>
      </rPr>
      <t xml:space="preserve"> - Counties in metro areas of 250,000 to 1 million population
</t>
    </r>
    <r>
      <rPr>
        <b/>
        <sz val="11"/>
        <color theme="1"/>
        <rFont val="Calibri"/>
        <family val="2"/>
        <scheme val="minor"/>
      </rPr>
      <t>3</t>
    </r>
    <r>
      <rPr>
        <sz val="11"/>
        <color theme="1"/>
        <rFont val="Calibri"/>
        <family val="2"/>
        <scheme val="minor"/>
      </rPr>
      <t xml:space="preserve"> - Counties in metro areas of fewer than 250,000 population
</t>
    </r>
    <r>
      <rPr>
        <b/>
        <sz val="11"/>
        <color theme="1"/>
        <rFont val="Calibri"/>
        <family val="2"/>
        <scheme val="minor"/>
      </rPr>
      <t>4</t>
    </r>
    <r>
      <rPr>
        <sz val="11"/>
        <color theme="1"/>
        <rFont val="Calibri"/>
        <family val="2"/>
        <scheme val="minor"/>
      </rPr>
      <t xml:space="preserve"> - Urban population of 20,000 or more, adjacent to a metro area
</t>
    </r>
    <r>
      <rPr>
        <b/>
        <sz val="11"/>
        <color theme="1"/>
        <rFont val="Calibri"/>
        <family val="2"/>
        <scheme val="minor"/>
      </rPr>
      <t>5</t>
    </r>
    <r>
      <rPr>
        <sz val="11"/>
        <color theme="1"/>
        <rFont val="Calibri"/>
        <family val="2"/>
        <scheme val="minor"/>
      </rPr>
      <t xml:space="preserve"> - Urban population of 20,000 or more, not adjacent to a metro area
</t>
    </r>
    <r>
      <rPr>
        <b/>
        <sz val="11"/>
        <color theme="1"/>
        <rFont val="Calibri"/>
        <family val="2"/>
        <scheme val="minor"/>
      </rPr>
      <t>6</t>
    </r>
    <r>
      <rPr>
        <sz val="11"/>
        <color theme="1"/>
        <rFont val="Calibri"/>
        <family val="2"/>
        <scheme val="minor"/>
      </rPr>
      <t xml:space="preserve"> - Urban population of 2,500 to 19,999, adjacent to a metro area
</t>
    </r>
    <r>
      <rPr>
        <b/>
        <sz val="11"/>
        <color theme="1"/>
        <rFont val="Calibri"/>
        <family val="2"/>
        <scheme val="minor"/>
      </rPr>
      <t>7</t>
    </r>
    <r>
      <rPr>
        <sz val="11"/>
        <color theme="1"/>
        <rFont val="Calibri"/>
        <family val="2"/>
        <scheme val="minor"/>
      </rPr>
      <t xml:space="preserve"> - Urban population of 2,500 to 19,999, not adjacent to a metro area
</t>
    </r>
    <r>
      <rPr>
        <b/>
        <sz val="11"/>
        <color theme="1"/>
        <rFont val="Calibri"/>
        <family val="2"/>
        <scheme val="minor"/>
      </rPr>
      <t>8</t>
    </r>
    <r>
      <rPr>
        <sz val="11"/>
        <color theme="1"/>
        <rFont val="Calibri"/>
        <family val="2"/>
        <scheme val="minor"/>
      </rPr>
      <t xml:space="preserve"> - Completely rural or less than 2,500 urban population, adjacent to a metro area
</t>
    </r>
    <r>
      <rPr>
        <b/>
        <sz val="11"/>
        <color theme="1"/>
        <rFont val="Calibri"/>
        <family val="2"/>
        <scheme val="minor"/>
      </rPr>
      <t>9</t>
    </r>
    <r>
      <rPr>
        <sz val="11"/>
        <color theme="1"/>
        <rFont val="Calibri"/>
        <family val="2"/>
        <scheme val="minor"/>
      </rPr>
      <t xml:space="preserve"> - Completely rural or less than 2,500 urban population, not adjacent to a metro area
</t>
    </r>
  </si>
  <si>
    <r>
      <t>AdministrativeSupportStaff</t>
    </r>
    <r>
      <rPr>
        <sz val="11"/>
        <color theme="1"/>
        <rFont val="Calibri"/>
        <family val="2"/>
        <scheme val="minor"/>
      </rPr>
      <t xml:space="preserve"> - Administrative Support Staff
</t>
    </r>
    <r>
      <rPr>
        <b/>
        <sz val="11"/>
        <color theme="1"/>
        <rFont val="Calibri"/>
        <family val="2"/>
        <scheme val="minor"/>
      </rPr>
      <t>Administrators</t>
    </r>
    <r>
      <rPr>
        <sz val="11"/>
        <color theme="1"/>
        <rFont val="Calibri"/>
        <family val="2"/>
        <scheme val="minor"/>
      </rPr>
      <t xml:space="preserve"> - Administrators
</t>
    </r>
    <r>
      <rPr>
        <b/>
        <sz val="11"/>
        <color theme="1"/>
        <rFont val="Calibri"/>
        <family val="2"/>
        <scheme val="minor"/>
      </rPr>
      <t>AllOtherSupportStaff</t>
    </r>
    <r>
      <rPr>
        <sz val="11"/>
        <color theme="1"/>
        <rFont val="Calibri"/>
        <family val="2"/>
        <scheme val="minor"/>
      </rPr>
      <t xml:space="preserve"> - All Other Support Staff 
</t>
    </r>
    <r>
      <rPr>
        <b/>
        <sz val="11"/>
        <color theme="1"/>
        <rFont val="Calibri"/>
        <family val="2"/>
        <scheme val="minor"/>
      </rPr>
      <t>BehavioralSpecialists</t>
    </r>
    <r>
      <rPr>
        <sz val="11"/>
        <color theme="1"/>
        <rFont val="Calibri"/>
        <family val="2"/>
        <scheme val="minor"/>
      </rPr>
      <t xml:space="preserve"> - Behavioral Specialists
</t>
    </r>
    <r>
      <rPr>
        <b/>
        <sz val="11"/>
        <color theme="1"/>
        <rFont val="Calibri"/>
        <family val="2"/>
        <scheme val="minor"/>
      </rPr>
      <t>ELAssistantTeachers</t>
    </r>
    <r>
      <rPr>
        <sz val="11"/>
        <color theme="1"/>
        <rFont val="Calibri"/>
        <family val="2"/>
        <scheme val="minor"/>
      </rPr>
      <t xml:space="preserve"> - Early Leaning Assistant Teachers
</t>
    </r>
    <r>
      <rPr>
        <b/>
        <sz val="11"/>
        <color theme="1"/>
        <rFont val="Calibri"/>
        <family val="2"/>
        <scheme val="minor"/>
      </rPr>
      <t>ELTeachers</t>
    </r>
    <r>
      <rPr>
        <sz val="11"/>
        <color theme="1"/>
        <rFont val="Calibri"/>
        <family val="2"/>
        <scheme val="minor"/>
      </rPr>
      <t xml:space="preserve"> - Early Learning Teachers
</t>
    </r>
    <r>
      <rPr>
        <b/>
        <sz val="11"/>
        <color theme="1"/>
        <rFont val="Calibri"/>
        <family val="2"/>
        <scheme val="minor"/>
      </rPr>
      <t>ElementaryTeachers</t>
    </r>
    <r>
      <rPr>
        <sz val="11"/>
        <color theme="1"/>
        <rFont val="Calibri"/>
        <family val="2"/>
        <scheme val="minor"/>
      </rPr>
      <t xml:space="preserve"> - Elementary Teachers
</t>
    </r>
    <r>
      <rPr>
        <b/>
        <sz val="11"/>
        <color theme="1"/>
        <rFont val="Calibri"/>
        <family val="2"/>
        <scheme val="minor"/>
      </rPr>
      <t>FamilyServiceWorkers</t>
    </r>
    <r>
      <rPr>
        <sz val="11"/>
        <color theme="1"/>
        <rFont val="Calibri"/>
        <family val="2"/>
        <scheme val="minor"/>
      </rPr>
      <t xml:space="preserve"> - Family Service Workers
</t>
    </r>
    <r>
      <rPr>
        <b/>
        <sz val="11"/>
        <color theme="1"/>
        <rFont val="Calibri"/>
        <family val="2"/>
        <scheme val="minor"/>
      </rPr>
      <t>HealthSpecialists</t>
    </r>
    <r>
      <rPr>
        <sz val="11"/>
        <color theme="1"/>
        <rFont val="Calibri"/>
        <family val="2"/>
        <scheme val="minor"/>
      </rPr>
      <t xml:space="preserve"> - Health Specialists
</t>
    </r>
    <r>
      <rPr>
        <b/>
        <sz val="11"/>
        <color theme="1"/>
        <rFont val="Calibri"/>
        <family val="2"/>
        <scheme val="minor"/>
      </rPr>
      <t>HomeVisitors</t>
    </r>
    <r>
      <rPr>
        <sz val="11"/>
        <color theme="1"/>
        <rFont val="Calibri"/>
        <family val="2"/>
        <scheme val="minor"/>
      </rPr>
      <t xml:space="preserve"> - Home Visitors
</t>
    </r>
    <r>
      <rPr>
        <b/>
        <sz val="11"/>
        <color theme="1"/>
        <rFont val="Calibri"/>
        <family val="2"/>
        <scheme val="minor"/>
      </rPr>
      <t>InstructionalCoordinators</t>
    </r>
    <r>
      <rPr>
        <sz val="11"/>
        <color theme="1"/>
        <rFont val="Calibri"/>
        <family val="2"/>
        <scheme val="minor"/>
      </rPr>
      <t xml:space="preserve"> - Instructional Coordinators
</t>
    </r>
    <r>
      <rPr>
        <b/>
        <sz val="11"/>
        <color theme="1"/>
        <rFont val="Calibri"/>
        <family val="2"/>
        <scheme val="minor"/>
      </rPr>
      <t>KindergartenTeachers</t>
    </r>
    <r>
      <rPr>
        <sz val="11"/>
        <color theme="1"/>
        <rFont val="Calibri"/>
        <family val="2"/>
        <scheme val="minor"/>
      </rPr>
      <t xml:space="preserve"> - Kindergarten Teachers
</t>
    </r>
    <r>
      <rPr>
        <b/>
        <sz val="11"/>
        <color theme="1"/>
        <rFont val="Calibri"/>
        <family val="2"/>
        <scheme val="minor"/>
      </rPr>
      <t>LibraryMediaSpecialists</t>
    </r>
    <r>
      <rPr>
        <sz val="11"/>
        <color theme="1"/>
        <rFont val="Calibri"/>
        <family val="2"/>
        <scheme val="minor"/>
      </rPr>
      <t xml:space="preserve"> - Librarians/Media Specialists
</t>
    </r>
    <r>
      <rPr>
        <b/>
        <sz val="11"/>
        <color theme="1"/>
        <rFont val="Calibri"/>
        <family val="2"/>
        <scheme val="minor"/>
      </rPr>
      <t>LibraryMediaSupportStaff</t>
    </r>
    <r>
      <rPr>
        <sz val="11"/>
        <color theme="1"/>
        <rFont val="Calibri"/>
        <family val="2"/>
        <scheme val="minor"/>
      </rPr>
      <t xml:space="preserve"> - Library/Media Support Staff
</t>
    </r>
    <r>
      <rPr>
        <b/>
        <sz val="11"/>
        <color theme="1"/>
        <rFont val="Calibri"/>
        <family val="2"/>
        <scheme val="minor"/>
      </rPr>
      <t>MentalHealthSpecialists</t>
    </r>
    <r>
      <rPr>
        <sz val="11"/>
        <color theme="1"/>
        <rFont val="Calibri"/>
        <family val="2"/>
        <scheme val="minor"/>
      </rPr>
      <t xml:space="preserve"> - Mental Health Specialists
</t>
    </r>
    <r>
      <rPr>
        <b/>
        <sz val="11"/>
        <color theme="1"/>
        <rFont val="Calibri"/>
        <family val="2"/>
        <scheme val="minor"/>
      </rPr>
      <t>NutritionSpecialists</t>
    </r>
    <r>
      <rPr>
        <sz val="11"/>
        <color theme="1"/>
        <rFont val="Calibri"/>
        <family val="2"/>
        <scheme val="minor"/>
      </rPr>
      <t xml:space="preserve"> - Nutrition Specialists
</t>
    </r>
    <r>
      <rPr>
        <b/>
        <sz val="11"/>
        <color theme="1"/>
        <rFont val="Calibri"/>
        <family val="2"/>
        <scheme val="minor"/>
      </rPr>
      <t>Paraprofessionals</t>
    </r>
    <r>
      <rPr>
        <sz val="11"/>
        <color theme="1"/>
        <rFont val="Calibri"/>
        <family val="2"/>
        <scheme val="minor"/>
      </rPr>
      <t xml:space="preserve"> - Paraprofessionals
</t>
    </r>
    <r>
      <rPr>
        <b/>
        <sz val="11"/>
        <color theme="1"/>
        <rFont val="Calibri"/>
        <family val="2"/>
        <scheme val="minor"/>
      </rPr>
      <t>PartCEarlyInterventionists</t>
    </r>
    <r>
      <rPr>
        <sz val="11"/>
        <color theme="1"/>
        <rFont val="Calibri"/>
        <family val="2"/>
        <scheme val="minor"/>
      </rPr>
      <t xml:space="preserve"> - Part C Early Interventionists
</t>
    </r>
    <r>
      <rPr>
        <b/>
        <sz val="11"/>
        <color theme="1"/>
        <rFont val="Calibri"/>
        <family val="2"/>
        <scheme val="minor"/>
      </rPr>
      <t>PartCServiceCoordinators</t>
    </r>
    <r>
      <rPr>
        <sz val="11"/>
        <color theme="1"/>
        <rFont val="Calibri"/>
        <family val="2"/>
        <scheme val="minor"/>
      </rPr>
      <t xml:space="preserve"> - Part C Service Coordinators
</t>
    </r>
    <r>
      <rPr>
        <b/>
        <sz val="11"/>
        <color theme="1"/>
        <rFont val="Calibri"/>
        <family val="2"/>
        <scheme val="minor"/>
      </rPr>
      <t>SchoolCounselors</t>
    </r>
    <r>
      <rPr>
        <sz val="11"/>
        <color theme="1"/>
        <rFont val="Calibri"/>
        <family val="2"/>
        <scheme val="minor"/>
      </rPr>
      <t xml:space="preserve"> - School Counselors
</t>
    </r>
    <r>
      <rPr>
        <b/>
        <sz val="11"/>
        <color theme="1"/>
        <rFont val="Calibri"/>
        <family val="2"/>
        <scheme val="minor"/>
      </rPr>
      <t>SecondaryTeachers</t>
    </r>
    <r>
      <rPr>
        <sz val="11"/>
        <color theme="1"/>
        <rFont val="Calibri"/>
        <family val="2"/>
        <scheme val="minor"/>
      </rPr>
      <t xml:space="preserve"> - Secondary Teachers
</t>
    </r>
    <r>
      <rPr>
        <b/>
        <sz val="11"/>
        <color theme="1"/>
        <rFont val="Calibri"/>
        <family val="2"/>
        <scheme val="minor"/>
      </rPr>
      <t>SocialWorkers</t>
    </r>
    <r>
      <rPr>
        <sz val="11"/>
        <color theme="1"/>
        <rFont val="Calibri"/>
        <family val="2"/>
        <scheme val="minor"/>
      </rPr>
      <t xml:space="preserve"> - Social Workers
</t>
    </r>
    <r>
      <rPr>
        <b/>
        <sz val="11"/>
        <color theme="1"/>
        <rFont val="Calibri"/>
        <family val="2"/>
        <scheme val="minor"/>
      </rPr>
      <t>SpecialEducationTeachers</t>
    </r>
    <r>
      <rPr>
        <sz val="11"/>
        <color theme="1"/>
        <rFont val="Calibri"/>
        <family val="2"/>
        <scheme val="minor"/>
      </rPr>
      <t xml:space="preserve"> - Special Education Teachers
</t>
    </r>
    <r>
      <rPr>
        <b/>
        <sz val="11"/>
        <color theme="1"/>
        <rFont val="Calibri"/>
        <family val="2"/>
        <scheme val="minor"/>
      </rPr>
      <t>SpecialNeedsSpecialists</t>
    </r>
    <r>
      <rPr>
        <sz val="11"/>
        <color theme="1"/>
        <rFont val="Calibri"/>
        <family val="2"/>
        <scheme val="minor"/>
      </rPr>
      <t xml:space="preserve"> - Special Needs Specialists
</t>
    </r>
    <r>
      <rPr>
        <b/>
        <sz val="11"/>
        <color theme="1"/>
        <rFont val="Calibri"/>
        <family val="2"/>
        <scheme val="minor"/>
      </rPr>
      <t>StudentSupportServicesStaff</t>
    </r>
    <r>
      <rPr>
        <sz val="11"/>
        <color theme="1"/>
        <rFont val="Calibri"/>
        <family val="2"/>
        <scheme val="minor"/>
      </rPr>
      <t xml:space="preserve"> - Student Support Services Staff
</t>
    </r>
    <r>
      <rPr>
        <b/>
        <sz val="11"/>
        <color theme="1"/>
        <rFont val="Calibri"/>
        <family val="2"/>
        <scheme val="minor"/>
      </rPr>
      <t>UngradedTeachers</t>
    </r>
    <r>
      <rPr>
        <sz val="11"/>
        <color theme="1"/>
        <rFont val="Calibri"/>
        <family val="2"/>
        <scheme val="minor"/>
      </rPr>
      <t xml:space="preserve"> - Ungraded Teachers
</t>
    </r>
  </si>
  <si>
    <r>
      <t>Home</t>
    </r>
    <r>
      <rPr>
        <sz val="11"/>
        <color theme="1"/>
        <rFont val="Calibri"/>
        <family val="2"/>
        <scheme val="minor"/>
      </rPr>
      <t xml:space="preserve"> - Home/personal
</t>
    </r>
    <r>
      <rPr>
        <b/>
        <sz val="11"/>
        <color theme="1"/>
        <rFont val="Calibri"/>
        <family val="2"/>
        <scheme val="minor"/>
      </rPr>
      <t>Work</t>
    </r>
    <r>
      <rPr>
        <sz val="11"/>
        <color theme="1"/>
        <rFont val="Calibri"/>
        <family val="2"/>
        <scheme val="minor"/>
      </rPr>
      <t xml:space="preserve"> - Work
</t>
    </r>
    <r>
      <rPr>
        <b/>
        <sz val="11"/>
        <color theme="1"/>
        <rFont val="Calibri"/>
        <family val="2"/>
        <scheme val="minor"/>
      </rPr>
      <t>Organizational</t>
    </r>
    <r>
      <rPr>
        <sz val="11"/>
        <color theme="1"/>
        <rFont val="Calibri"/>
        <family val="2"/>
        <scheme val="minor"/>
      </rPr>
      <t xml:space="preserve"> - Organizational (school) address
</t>
    </r>
    <r>
      <rPr>
        <b/>
        <sz val="11"/>
        <color theme="1"/>
        <rFont val="Calibri"/>
        <family val="2"/>
        <scheme val="minor"/>
      </rPr>
      <t>Other</t>
    </r>
    <r>
      <rPr>
        <sz val="11"/>
        <color theme="1"/>
        <rFont val="Calibri"/>
        <family val="2"/>
        <scheme val="minor"/>
      </rPr>
      <t xml:space="preserve"> - Other
</t>
    </r>
  </si>
  <si>
    <r>
      <t>MetAdditionalIndicator</t>
    </r>
    <r>
      <rPr>
        <sz val="11"/>
        <color theme="1"/>
        <rFont val="Calibri"/>
        <family val="2"/>
        <scheme val="minor"/>
      </rPr>
      <t xml:space="preserve"> - Met Additional Indicator
</t>
    </r>
    <r>
      <rPr>
        <b/>
        <sz val="11"/>
        <color theme="1"/>
        <rFont val="Calibri"/>
        <family val="2"/>
        <scheme val="minor"/>
      </rPr>
      <t>DidNotMeet</t>
    </r>
    <r>
      <rPr>
        <sz val="11"/>
        <color theme="1"/>
        <rFont val="Calibri"/>
        <family val="2"/>
        <scheme val="minor"/>
      </rPr>
      <t xml:space="preserve"> - Did Not Meet
</t>
    </r>
    <r>
      <rPr>
        <b/>
        <sz val="11"/>
        <color theme="1"/>
        <rFont val="Calibri"/>
        <family val="2"/>
        <scheme val="minor"/>
      </rPr>
      <t>TooFewStudents</t>
    </r>
    <r>
      <rPr>
        <sz val="11"/>
        <color theme="1"/>
        <rFont val="Calibri"/>
        <family val="2"/>
        <scheme val="minor"/>
      </rPr>
      <t xml:space="preserve"> - Too Few Students
</t>
    </r>
    <r>
      <rPr>
        <b/>
        <sz val="11"/>
        <color theme="1"/>
        <rFont val="Calibri"/>
        <family val="2"/>
        <scheme val="minor"/>
      </rPr>
      <t>NoStudents</t>
    </r>
    <r>
      <rPr>
        <sz val="11"/>
        <color theme="1"/>
        <rFont val="Calibri"/>
        <family val="2"/>
        <scheme val="minor"/>
      </rPr>
      <t xml:space="preserve"> - No Students
</t>
    </r>
    <r>
      <rPr>
        <b/>
        <sz val="11"/>
        <color theme="1"/>
        <rFont val="Calibri"/>
        <family val="2"/>
        <scheme val="minor"/>
      </rPr>
      <t>NA</t>
    </r>
    <r>
      <rPr>
        <sz val="11"/>
        <color theme="1"/>
        <rFont val="Calibri"/>
        <family val="2"/>
        <scheme val="minor"/>
      </rPr>
      <t xml:space="preserve"> - Not applicable
</t>
    </r>
  </si>
  <si>
    <r>
      <t>Free</t>
    </r>
    <r>
      <rPr>
        <sz val="11"/>
        <color theme="1"/>
        <rFont val="Calibri"/>
        <family val="2"/>
        <scheme val="minor"/>
      </rPr>
      <t xml:space="preserve"> - Free
</t>
    </r>
    <r>
      <rPr>
        <b/>
        <sz val="11"/>
        <color theme="1"/>
        <rFont val="Calibri"/>
        <family val="2"/>
        <scheme val="minor"/>
      </rPr>
      <t>FullPrice</t>
    </r>
    <r>
      <rPr>
        <sz val="11"/>
        <color theme="1"/>
        <rFont val="Calibri"/>
        <family val="2"/>
        <scheme val="minor"/>
      </rPr>
      <t xml:space="preserve"> - Full price
</t>
    </r>
    <r>
      <rPr>
        <b/>
        <sz val="11"/>
        <color theme="1"/>
        <rFont val="Calibri"/>
        <family val="2"/>
        <scheme val="minor"/>
      </rPr>
      <t>ReducedPrice</t>
    </r>
    <r>
      <rPr>
        <sz val="11"/>
        <color theme="1"/>
        <rFont val="Calibri"/>
        <family val="2"/>
        <scheme val="minor"/>
      </rPr>
      <t xml:space="preserve"> - Reduced price
</t>
    </r>
    <r>
      <rPr>
        <b/>
        <sz val="11"/>
        <color theme="1"/>
        <rFont val="Calibri"/>
        <family val="2"/>
        <scheme val="minor"/>
      </rPr>
      <t>Other</t>
    </r>
    <r>
      <rPr>
        <sz val="11"/>
        <color theme="1"/>
        <rFont val="Calibri"/>
        <family val="2"/>
        <scheme val="minor"/>
      </rPr>
      <t xml:space="preserve"> - Other
</t>
    </r>
  </si>
  <si>
    <r>
      <t>Other</t>
    </r>
    <r>
      <rPr>
        <sz val="11"/>
        <color theme="1"/>
        <rFont val="Calibri"/>
        <family val="2"/>
        <scheme val="minor"/>
      </rPr>
      <t xml:space="preserve"> - Other location
</t>
    </r>
    <r>
      <rPr>
        <b/>
        <sz val="11"/>
        <color theme="1"/>
        <rFont val="Calibri"/>
        <family val="2"/>
        <scheme val="minor"/>
      </rPr>
      <t>Multiple</t>
    </r>
    <r>
      <rPr>
        <sz val="11"/>
        <color theme="1"/>
        <rFont val="Calibri"/>
        <family val="2"/>
        <scheme val="minor"/>
      </rPr>
      <t xml:space="preserve"> - Multiple locations
</t>
    </r>
    <r>
      <rPr>
        <b/>
        <sz val="11"/>
        <color theme="1"/>
        <rFont val="Calibri"/>
        <family val="2"/>
        <scheme val="minor"/>
      </rPr>
      <t>AK</t>
    </r>
    <r>
      <rPr>
        <sz val="11"/>
        <color theme="1"/>
        <rFont val="Calibri"/>
        <family val="2"/>
        <scheme val="minor"/>
      </rPr>
      <t xml:space="preserve"> - Alaska
</t>
    </r>
    <r>
      <rPr>
        <b/>
        <sz val="11"/>
        <color theme="1"/>
        <rFont val="Calibri"/>
        <family val="2"/>
        <scheme val="minor"/>
      </rPr>
      <t>AL</t>
    </r>
    <r>
      <rPr>
        <sz val="11"/>
        <color theme="1"/>
        <rFont val="Calibri"/>
        <family val="2"/>
        <scheme val="minor"/>
      </rPr>
      <t xml:space="preserve"> - Alabama
</t>
    </r>
    <r>
      <rPr>
        <b/>
        <sz val="11"/>
        <color theme="1"/>
        <rFont val="Calibri"/>
        <family val="2"/>
        <scheme val="minor"/>
      </rPr>
      <t>AR</t>
    </r>
    <r>
      <rPr>
        <sz val="11"/>
        <color theme="1"/>
        <rFont val="Calibri"/>
        <family val="2"/>
        <scheme val="minor"/>
      </rPr>
      <t xml:space="preserve"> - Arkansas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AZ</t>
    </r>
    <r>
      <rPr>
        <sz val="11"/>
        <color theme="1"/>
        <rFont val="Calibri"/>
        <family val="2"/>
        <scheme val="minor"/>
      </rPr>
      <t xml:space="preserve"> - Arizona
</t>
    </r>
    <r>
      <rPr>
        <b/>
        <sz val="11"/>
        <color theme="1"/>
        <rFont val="Calibri"/>
        <family val="2"/>
        <scheme val="minor"/>
      </rPr>
      <t>CA</t>
    </r>
    <r>
      <rPr>
        <sz val="11"/>
        <color theme="1"/>
        <rFont val="Calibri"/>
        <family val="2"/>
        <scheme val="minor"/>
      </rPr>
      <t xml:space="preserve"> - California
</t>
    </r>
    <r>
      <rPr>
        <b/>
        <sz val="11"/>
        <color theme="1"/>
        <rFont val="Calibri"/>
        <family val="2"/>
        <scheme val="minor"/>
      </rPr>
      <t>CO</t>
    </r>
    <r>
      <rPr>
        <sz val="11"/>
        <color theme="1"/>
        <rFont val="Calibri"/>
        <family val="2"/>
        <scheme val="minor"/>
      </rPr>
      <t xml:space="preserve"> - Colorado
</t>
    </r>
    <r>
      <rPr>
        <b/>
        <sz val="11"/>
        <color theme="1"/>
        <rFont val="Calibri"/>
        <family val="2"/>
        <scheme val="minor"/>
      </rPr>
      <t>CT</t>
    </r>
    <r>
      <rPr>
        <sz val="11"/>
        <color theme="1"/>
        <rFont val="Calibri"/>
        <family val="2"/>
        <scheme val="minor"/>
      </rPr>
      <t xml:space="preserve"> - Connecticut
</t>
    </r>
    <r>
      <rPr>
        <b/>
        <sz val="11"/>
        <color theme="1"/>
        <rFont val="Calibri"/>
        <family val="2"/>
        <scheme val="minor"/>
      </rPr>
      <t>DC</t>
    </r>
    <r>
      <rPr>
        <sz val="11"/>
        <color theme="1"/>
        <rFont val="Calibri"/>
        <family val="2"/>
        <scheme val="minor"/>
      </rPr>
      <t xml:space="preserve"> - District of Columbia
</t>
    </r>
    <r>
      <rPr>
        <b/>
        <sz val="11"/>
        <color theme="1"/>
        <rFont val="Calibri"/>
        <family val="2"/>
        <scheme val="minor"/>
      </rPr>
      <t>DE</t>
    </r>
    <r>
      <rPr>
        <sz val="11"/>
        <color theme="1"/>
        <rFont val="Calibri"/>
        <family val="2"/>
        <scheme val="minor"/>
      </rPr>
      <t xml:space="preserve"> - Delaware
</t>
    </r>
    <r>
      <rPr>
        <b/>
        <sz val="11"/>
        <color theme="1"/>
        <rFont val="Calibri"/>
        <family val="2"/>
        <scheme val="minor"/>
      </rPr>
      <t>FL</t>
    </r>
    <r>
      <rPr>
        <sz val="11"/>
        <color theme="1"/>
        <rFont val="Calibri"/>
        <family val="2"/>
        <scheme val="minor"/>
      </rPr>
      <t xml:space="preserve"> - Florida
</t>
    </r>
    <r>
      <rPr>
        <b/>
        <sz val="11"/>
        <color theme="1"/>
        <rFont val="Calibri"/>
        <family val="2"/>
        <scheme val="minor"/>
      </rPr>
      <t>FM</t>
    </r>
    <r>
      <rPr>
        <sz val="11"/>
        <color theme="1"/>
        <rFont val="Calibri"/>
        <family val="2"/>
        <scheme val="minor"/>
      </rPr>
      <t xml:space="preserve"> - Federated States of Micronesia
</t>
    </r>
    <r>
      <rPr>
        <b/>
        <sz val="11"/>
        <color theme="1"/>
        <rFont val="Calibri"/>
        <family val="2"/>
        <scheme val="minor"/>
      </rPr>
      <t>GA</t>
    </r>
    <r>
      <rPr>
        <sz val="11"/>
        <color theme="1"/>
        <rFont val="Calibri"/>
        <family val="2"/>
        <scheme val="minor"/>
      </rPr>
      <t xml:space="preserve"> - Georgia
</t>
    </r>
    <r>
      <rPr>
        <b/>
        <sz val="11"/>
        <color theme="1"/>
        <rFont val="Calibri"/>
        <family val="2"/>
        <scheme val="minor"/>
      </rPr>
      <t>GU</t>
    </r>
    <r>
      <rPr>
        <sz val="11"/>
        <color theme="1"/>
        <rFont val="Calibri"/>
        <family val="2"/>
        <scheme val="minor"/>
      </rPr>
      <t xml:space="preserve"> - Guam
</t>
    </r>
    <r>
      <rPr>
        <b/>
        <sz val="11"/>
        <color theme="1"/>
        <rFont val="Calibri"/>
        <family val="2"/>
        <scheme val="minor"/>
      </rPr>
      <t>HI</t>
    </r>
    <r>
      <rPr>
        <sz val="11"/>
        <color theme="1"/>
        <rFont val="Calibri"/>
        <family val="2"/>
        <scheme val="minor"/>
      </rPr>
      <t xml:space="preserve"> - Hawaii
</t>
    </r>
    <r>
      <rPr>
        <b/>
        <sz val="11"/>
        <color theme="1"/>
        <rFont val="Calibri"/>
        <family val="2"/>
        <scheme val="minor"/>
      </rPr>
      <t>IA</t>
    </r>
    <r>
      <rPr>
        <sz val="11"/>
        <color theme="1"/>
        <rFont val="Calibri"/>
        <family val="2"/>
        <scheme val="minor"/>
      </rPr>
      <t xml:space="preserve"> - Iowa
</t>
    </r>
    <r>
      <rPr>
        <b/>
        <sz val="11"/>
        <color theme="1"/>
        <rFont val="Calibri"/>
        <family val="2"/>
        <scheme val="minor"/>
      </rPr>
      <t>ID</t>
    </r>
    <r>
      <rPr>
        <sz val="11"/>
        <color theme="1"/>
        <rFont val="Calibri"/>
        <family val="2"/>
        <scheme val="minor"/>
      </rPr>
      <t xml:space="preserve"> - Idaho
</t>
    </r>
    <r>
      <rPr>
        <b/>
        <sz val="11"/>
        <color theme="1"/>
        <rFont val="Calibri"/>
        <family val="2"/>
        <scheme val="minor"/>
      </rPr>
      <t>IL</t>
    </r>
    <r>
      <rPr>
        <sz val="11"/>
        <color theme="1"/>
        <rFont val="Calibri"/>
        <family val="2"/>
        <scheme val="minor"/>
      </rPr>
      <t xml:space="preserve"> - Illinois
</t>
    </r>
    <r>
      <rPr>
        <b/>
        <sz val="11"/>
        <color theme="1"/>
        <rFont val="Calibri"/>
        <family val="2"/>
        <scheme val="minor"/>
      </rPr>
      <t>IN</t>
    </r>
    <r>
      <rPr>
        <sz val="11"/>
        <color theme="1"/>
        <rFont val="Calibri"/>
        <family val="2"/>
        <scheme val="minor"/>
      </rPr>
      <t xml:space="preserve"> - Indiana
</t>
    </r>
    <r>
      <rPr>
        <b/>
        <sz val="11"/>
        <color theme="1"/>
        <rFont val="Calibri"/>
        <family val="2"/>
        <scheme val="minor"/>
      </rPr>
      <t>KS</t>
    </r>
    <r>
      <rPr>
        <sz val="11"/>
        <color theme="1"/>
        <rFont val="Calibri"/>
        <family val="2"/>
        <scheme val="minor"/>
      </rPr>
      <t xml:space="preserve"> - Kansas
</t>
    </r>
    <r>
      <rPr>
        <b/>
        <sz val="11"/>
        <color theme="1"/>
        <rFont val="Calibri"/>
        <family val="2"/>
        <scheme val="minor"/>
      </rPr>
      <t>KY</t>
    </r>
    <r>
      <rPr>
        <sz val="11"/>
        <color theme="1"/>
        <rFont val="Calibri"/>
        <family val="2"/>
        <scheme val="minor"/>
      </rPr>
      <t xml:space="preserve"> - Kentucky
</t>
    </r>
    <r>
      <rPr>
        <b/>
        <sz val="11"/>
        <color theme="1"/>
        <rFont val="Calibri"/>
        <family val="2"/>
        <scheme val="minor"/>
      </rPr>
      <t>LA</t>
    </r>
    <r>
      <rPr>
        <sz val="11"/>
        <color theme="1"/>
        <rFont val="Calibri"/>
        <family val="2"/>
        <scheme val="minor"/>
      </rPr>
      <t xml:space="preserve"> - Louisiana
</t>
    </r>
    <r>
      <rPr>
        <b/>
        <sz val="11"/>
        <color theme="1"/>
        <rFont val="Calibri"/>
        <family val="2"/>
        <scheme val="minor"/>
      </rPr>
      <t>MA</t>
    </r>
    <r>
      <rPr>
        <sz val="11"/>
        <color theme="1"/>
        <rFont val="Calibri"/>
        <family val="2"/>
        <scheme val="minor"/>
      </rPr>
      <t xml:space="preserve"> - Massachusetts
</t>
    </r>
    <r>
      <rPr>
        <b/>
        <sz val="11"/>
        <color theme="1"/>
        <rFont val="Calibri"/>
        <family val="2"/>
        <scheme val="minor"/>
      </rPr>
      <t>MD</t>
    </r>
    <r>
      <rPr>
        <sz val="11"/>
        <color theme="1"/>
        <rFont val="Calibri"/>
        <family val="2"/>
        <scheme val="minor"/>
      </rPr>
      <t xml:space="preserve"> - Maryland
</t>
    </r>
    <r>
      <rPr>
        <b/>
        <sz val="11"/>
        <color theme="1"/>
        <rFont val="Calibri"/>
        <family val="2"/>
        <scheme val="minor"/>
      </rPr>
      <t>ME</t>
    </r>
    <r>
      <rPr>
        <sz val="11"/>
        <color theme="1"/>
        <rFont val="Calibri"/>
        <family val="2"/>
        <scheme val="minor"/>
      </rPr>
      <t xml:space="preserve"> - Maine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MI</t>
    </r>
    <r>
      <rPr>
        <sz val="11"/>
        <color theme="1"/>
        <rFont val="Calibri"/>
        <family val="2"/>
        <scheme val="minor"/>
      </rPr>
      <t xml:space="preserve"> - Michigan
</t>
    </r>
    <r>
      <rPr>
        <b/>
        <sz val="11"/>
        <color theme="1"/>
        <rFont val="Calibri"/>
        <family val="2"/>
        <scheme val="minor"/>
      </rPr>
      <t>MN</t>
    </r>
    <r>
      <rPr>
        <sz val="11"/>
        <color theme="1"/>
        <rFont val="Calibri"/>
        <family val="2"/>
        <scheme val="minor"/>
      </rPr>
      <t xml:space="preserve"> - Minnesota
</t>
    </r>
    <r>
      <rPr>
        <b/>
        <sz val="11"/>
        <color theme="1"/>
        <rFont val="Calibri"/>
        <family val="2"/>
        <scheme val="minor"/>
      </rPr>
      <t>MO</t>
    </r>
    <r>
      <rPr>
        <sz val="11"/>
        <color theme="1"/>
        <rFont val="Calibri"/>
        <family val="2"/>
        <scheme val="minor"/>
      </rPr>
      <t xml:space="preserve"> - Missouri
</t>
    </r>
    <r>
      <rPr>
        <b/>
        <sz val="11"/>
        <color theme="1"/>
        <rFont val="Calibri"/>
        <family val="2"/>
        <scheme val="minor"/>
      </rPr>
      <t>MP</t>
    </r>
    <r>
      <rPr>
        <sz val="11"/>
        <color theme="1"/>
        <rFont val="Calibri"/>
        <family val="2"/>
        <scheme val="minor"/>
      </rPr>
      <t xml:space="preserve"> - Northern Marianas
</t>
    </r>
    <r>
      <rPr>
        <b/>
        <sz val="11"/>
        <color theme="1"/>
        <rFont val="Calibri"/>
        <family val="2"/>
        <scheme val="minor"/>
      </rPr>
      <t>MS</t>
    </r>
    <r>
      <rPr>
        <sz val="11"/>
        <color theme="1"/>
        <rFont val="Calibri"/>
        <family val="2"/>
        <scheme val="minor"/>
      </rPr>
      <t xml:space="preserve"> - Mississippi
</t>
    </r>
    <r>
      <rPr>
        <b/>
        <sz val="11"/>
        <color theme="1"/>
        <rFont val="Calibri"/>
        <family val="2"/>
        <scheme val="minor"/>
      </rPr>
      <t>MT</t>
    </r>
    <r>
      <rPr>
        <sz val="11"/>
        <color theme="1"/>
        <rFont val="Calibri"/>
        <family val="2"/>
        <scheme val="minor"/>
      </rPr>
      <t xml:space="preserve"> - Montana
</t>
    </r>
    <r>
      <rPr>
        <b/>
        <sz val="11"/>
        <color theme="1"/>
        <rFont val="Calibri"/>
        <family val="2"/>
        <scheme val="minor"/>
      </rPr>
      <t>NC</t>
    </r>
    <r>
      <rPr>
        <sz val="11"/>
        <color theme="1"/>
        <rFont val="Calibri"/>
        <family val="2"/>
        <scheme val="minor"/>
      </rPr>
      <t xml:space="preserve"> - North Carolina
</t>
    </r>
    <r>
      <rPr>
        <b/>
        <sz val="11"/>
        <color theme="1"/>
        <rFont val="Calibri"/>
        <family val="2"/>
        <scheme val="minor"/>
      </rPr>
      <t>ND</t>
    </r>
    <r>
      <rPr>
        <sz val="11"/>
        <color theme="1"/>
        <rFont val="Calibri"/>
        <family val="2"/>
        <scheme val="minor"/>
      </rPr>
      <t xml:space="preserve"> - North Dakota
</t>
    </r>
    <r>
      <rPr>
        <b/>
        <sz val="11"/>
        <color theme="1"/>
        <rFont val="Calibri"/>
        <family val="2"/>
        <scheme val="minor"/>
      </rPr>
      <t>NE</t>
    </r>
    <r>
      <rPr>
        <sz val="11"/>
        <color theme="1"/>
        <rFont val="Calibri"/>
        <family val="2"/>
        <scheme val="minor"/>
      </rPr>
      <t xml:space="preserve"> - Nebraska
</t>
    </r>
    <r>
      <rPr>
        <b/>
        <sz val="11"/>
        <color theme="1"/>
        <rFont val="Calibri"/>
        <family val="2"/>
        <scheme val="minor"/>
      </rPr>
      <t>NH</t>
    </r>
    <r>
      <rPr>
        <sz val="11"/>
        <color theme="1"/>
        <rFont val="Calibri"/>
        <family val="2"/>
        <scheme val="minor"/>
      </rPr>
      <t xml:space="preserve"> - New Hampshire
</t>
    </r>
    <r>
      <rPr>
        <b/>
        <sz val="11"/>
        <color theme="1"/>
        <rFont val="Calibri"/>
        <family val="2"/>
        <scheme val="minor"/>
      </rPr>
      <t>NJ</t>
    </r>
    <r>
      <rPr>
        <sz val="11"/>
        <color theme="1"/>
        <rFont val="Calibri"/>
        <family val="2"/>
        <scheme val="minor"/>
      </rPr>
      <t xml:space="preserve"> - New Jersey
</t>
    </r>
    <r>
      <rPr>
        <b/>
        <sz val="11"/>
        <color theme="1"/>
        <rFont val="Calibri"/>
        <family val="2"/>
        <scheme val="minor"/>
      </rPr>
      <t>NM</t>
    </r>
    <r>
      <rPr>
        <sz val="11"/>
        <color theme="1"/>
        <rFont val="Calibri"/>
        <family val="2"/>
        <scheme val="minor"/>
      </rPr>
      <t xml:space="preserve"> - New Mexico
</t>
    </r>
    <r>
      <rPr>
        <b/>
        <sz val="11"/>
        <color theme="1"/>
        <rFont val="Calibri"/>
        <family val="2"/>
        <scheme val="minor"/>
      </rPr>
      <t>NV</t>
    </r>
    <r>
      <rPr>
        <sz val="11"/>
        <color theme="1"/>
        <rFont val="Calibri"/>
        <family val="2"/>
        <scheme val="minor"/>
      </rPr>
      <t xml:space="preserve"> - Nevada
</t>
    </r>
    <r>
      <rPr>
        <b/>
        <sz val="11"/>
        <color theme="1"/>
        <rFont val="Calibri"/>
        <family val="2"/>
        <scheme val="minor"/>
      </rPr>
      <t>NY</t>
    </r>
    <r>
      <rPr>
        <sz val="11"/>
        <color theme="1"/>
        <rFont val="Calibri"/>
        <family val="2"/>
        <scheme val="minor"/>
      </rPr>
      <t xml:space="preserve"> - New York
</t>
    </r>
    <r>
      <rPr>
        <b/>
        <sz val="11"/>
        <color theme="1"/>
        <rFont val="Calibri"/>
        <family val="2"/>
        <scheme val="minor"/>
      </rPr>
      <t>OH</t>
    </r>
    <r>
      <rPr>
        <sz val="11"/>
        <color theme="1"/>
        <rFont val="Calibri"/>
        <family val="2"/>
        <scheme val="minor"/>
      </rPr>
      <t xml:space="preserve"> - Ohio
</t>
    </r>
    <r>
      <rPr>
        <b/>
        <sz val="11"/>
        <color theme="1"/>
        <rFont val="Calibri"/>
        <family val="2"/>
        <scheme val="minor"/>
      </rPr>
      <t>OK</t>
    </r>
    <r>
      <rPr>
        <sz val="11"/>
        <color theme="1"/>
        <rFont val="Calibri"/>
        <family val="2"/>
        <scheme val="minor"/>
      </rPr>
      <t xml:space="preserve"> - Oklahoma
</t>
    </r>
    <r>
      <rPr>
        <b/>
        <sz val="11"/>
        <color theme="1"/>
        <rFont val="Calibri"/>
        <family val="2"/>
        <scheme val="minor"/>
      </rPr>
      <t>OR</t>
    </r>
    <r>
      <rPr>
        <sz val="11"/>
        <color theme="1"/>
        <rFont val="Calibri"/>
        <family val="2"/>
        <scheme val="minor"/>
      </rPr>
      <t xml:space="preserve"> - Oregon
</t>
    </r>
    <r>
      <rPr>
        <b/>
        <sz val="11"/>
        <color theme="1"/>
        <rFont val="Calibri"/>
        <family val="2"/>
        <scheme val="minor"/>
      </rPr>
      <t>PA</t>
    </r>
    <r>
      <rPr>
        <sz val="11"/>
        <color theme="1"/>
        <rFont val="Calibri"/>
        <family val="2"/>
        <scheme val="minor"/>
      </rPr>
      <t xml:space="preserve"> - Pennsylvania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PW</t>
    </r>
    <r>
      <rPr>
        <sz val="11"/>
        <color theme="1"/>
        <rFont val="Calibri"/>
        <family val="2"/>
        <scheme val="minor"/>
      </rPr>
      <t xml:space="preserve"> - Palau
</t>
    </r>
    <r>
      <rPr>
        <b/>
        <sz val="11"/>
        <color theme="1"/>
        <rFont val="Calibri"/>
        <family val="2"/>
        <scheme val="minor"/>
      </rPr>
      <t>RI</t>
    </r>
    <r>
      <rPr>
        <sz val="11"/>
        <color theme="1"/>
        <rFont val="Calibri"/>
        <family val="2"/>
        <scheme val="minor"/>
      </rPr>
      <t xml:space="preserve"> - Rhode Island
</t>
    </r>
    <r>
      <rPr>
        <b/>
        <sz val="11"/>
        <color theme="1"/>
        <rFont val="Calibri"/>
        <family val="2"/>
        <scheme val="minor"/>
      </rPr>
      <t>SC</t>
    </r>
    <r>
      <rPr>
        <sz val="11"/>
        <color theme="1"/>
        <rFont val="Calibri"/>
        <family val="2"/>
        <scheme val="minor"/>
      </rPr>
      <t xml:space="preserve"> - South Carolina
</t>
    </r>
    <r>
      <rPr>
        <b/>
        <sz val="11"/>
        <color theme="1"/>
        <rFont val="Calibri"/>
        <family val="2"/>
        <scheme val="minor"/>
      </rPr>
      <t>SD</t>
    </r>
    <r>
      <rPr>
        <sz val="11"/>
        <color theme="1"/>
        <rFont val="Calibri"/>
        <family val="2"/>
        <scheme val="minor"/>
      </rPr>
      <t xml:space="preserve"> - South Dakota
</t>
    </r>
    <r>
      <rPr>
        <b/>
        <sz val="11"/>
        <color theme="1"/>
        <rFont val="Calibri"/>
        <family val="2"/>
        <scheme val="minor"/>
      </rPr>
      <t>TN</t>
    </r>
    <r>
      <rPr>
        <sz val="11"/>
        <color theme="1"/>
        <rFont val="Calibri"/>
        <family val="2"/>
        <scheme val="minor"/>
      </rPr>
      <t xml:space="preserve"> - Tennessee
</t>
    </r>
    <r>
      <rPr>
        <b/>
        <sz val="11"/>
        <color theme="1"/>
        <rFont val="Calibri"/>
        <family val="2"/>
        <scheme val="minor"/>
      </rPr>
      <t>TX</t>
    </r>
    <r>
      <rPr>
        <sz val="11"/>
        <color theme="1"/>
        <rFont val="Calibri"/>
        <family val="2"/>
        <scheme val="minor"/>
      </rPr>
      <t xml:space="preserve"> - Texas
</t>
    </r>
    <r>
      <rPr>
        <b/>
        <sz val="11"/>
        <color theme="1"/>
        <rFont val="Calibri"/>
        <family val="2"/>
        <scheme val="minor"/>
      </rPr>
      <t>UT</t>
    </r>
    <r>
      <rPr>
        <sz val="11"/>
        <color theme="1"/>
        <rFont val="Calibri"/>
        <family val="2"/>
        <scheme val="minor"/>
      </rPr>
      <t xml:space="preserve"> - Utah
</t>
    </r>
    <r>
      <rPr>
        <b/>
        <sz val="11"/>
        <color theme="1"/>
        <rFont val="Calibri"/>
        <family val="2"/>
        <scheme val="minor"/>
      </rPr>
      <t>VA</t>
    </r>
    <r>
      <rPr>
        <sz val="11"/>
        <color theme="1"/>
        <rFont val="Calibri"/>
        <family val="2"/>
        <scheme val="minor"/>
      </rPr>
      <t xml:space="preserve"> - Virginia
</t>
    </r>
    <r>
      <rPr>
        <b/>
        <sz val="11"/>
        <color theme="1"/>
        <rFont val="Calibri"/>
        <family val="2"/>
        <scheme val="minor"/>
      </rPr>
      <t>VI</t>
    </r>
    <r>
      <rPr>
        <sz val="11"/>
        <color theme="1"/>
        <rFont val="Calibri"/>
        <family val="2"/>
        <scheme val="minor"/>
      </rPr>
      <t xml:space="preserve"> - Virgin Islands
</t>
    </r>
    <r>
      <rPr>
        <b/>
        <sz val="11"/>
        <color theme="1"/>
        <rFont val="Calibri"/>
        <family val="2"/>
        <scheme val="minor"/>
      </rPr>
      <t>VT</t>
    </r>
    <r>
      <rPr>
        <sz val="11"/>
        <color theme="1"/>
        <rFont val="Calibri"/>
        <family val="2"/>
        <scheme val="minor"/>
      </rPr>
      <t xml:space="preserve"> - Vermont
</t>
    </r>
    <r>
      <rPr>
        <b/>
        <sz val="11"/>
        <color theme="1"/>
        <rFont val="Calibri"/>
        <family val="2"/>
        <scheme val="minor"/>
      </rPr>
      <t>WA</t>
    </r>
    <r>
      <rPr>
        <sz val="11"/>
        <color theme="1"/>
        <rFont val="Calibri"/>
        <family val="2"/>
        <scheme val="minor"/>
      </rPr>
      <t xml:space="preserve"> - Washington
</t>
    </r>
    <r>
      <rPr>
        <b/>
        <sz val="11"/>
        <color theme="1"/>
        <rFont val="Calibri"/>
        <family val="2"/>
        <scheme val="minor"/>
      </rPr>
      <t>WI</t>
    </r>
    <r>
      <rPr>
        <sz val="11"/>
        <color theme="1"/>
        <rFont val="Calibri"/>
        <family val="2"/>
        <scheme val="minor"/>
      </rPr>
      <t xml:space="preserve"> - Wisconsin
</t>
    </r>
    <r>
      <rPr>
        <b/>
        <sz val="11"/>
        <color theme="1"/>
        <rFont val="Calibri"/>
        <family val="2"/>
        <scheme val="minor"/>
      </rPr>
      <t>WV</t>
    </r>
    <r>
      <rPr>
        <sz val="11"/>
        <color theme="1"/>
        <rFont val="Calibri"/>
        <family val="2"/>
        <scheme val="minor"/>
      </rPr>
      <t xml:space="preserve"> - West Virginia
</t>
    </r>
    <r>
      <rPr>
        <b/>
        <sz val="11"/>
        <color theme="1"/>
        <rFont val="Calibri"/>
        <family val="2"/>
        <scheme val="minor"/>
      </rPr>
      <t>WY</t>
    </r>
    <r>
      <rPr>
        <sz val="11"/>
        <color theme="1"/>
        <rFont val="Calibri"/>
        <family val="2"/>
        <scheme val="minor"/>
      </rPr>
      <t xml:space="preserve"> - Wyoming
</t>
    </r>
  </si>
  <si>
    <r>
      <t>01</t>
    </r>
    <r>
      <rPr>
        <sz val="11"/>
        <color theme="1"/>
        <rFont val="Calibri"/>
        <family val="2"/>
        <scheme val="minor"/>
      </rPr>
      <t xml:space="preserve"> - State UI Wage Records
</t>
    </r>
    <r>
      <rPr>
        <b/>
        <sz val="11"/>
        <color theme="1"/>
        <rFont val="Calibri"/>
        <family val="2"/>
        <scheme val="minor"/>
      </rPr>
      <t>02</t>
    </r>
    <r>
      <rPr>
        <sz val="11"/>
        <color theme="1"/>
        <rFont val="Calibri"/>
        <family val="2"/>
        <scheme val="minor"/>
      </rPr>
      <t xml:space="preserve"> - Wage Record Interchange System (WRIS II)
</t>
    </r>
    <r>
      <rPr>
        <b/>
        <sz val="11"/>
        <color theme="1"/>
        <rFont val="Calibri"/>
        <family val="2"/>
        <scheme val="minor"/>
      </rPr>
      <t>03</t>
    </r>
    <r>
      <rPr>
        <sz val="11"/>
        <color theme="1"/>
        <rFont val="Calibri"/>
        <family val="2"/>
        <scheme val="minor"/>
      </rPr>
      <t xml:space="preserve"> - Federal Employment Data Exchange System (FEDES)
</t>
    </r>
    <r>
      <rPr>
        <b/>
        <sz val="11"/>
        <color theme="1"/>
        <rFont val="Calibri"/>
        <family val="2"/>
        <scheme val="minor"/>
      </rPr>
      <t>04</t>
    </r>
    <r>
      <rPr>
        <sz val="11"/>
        <color theme="1"/>
        <rFont val="Calibri"/>
        <family val="2"/>
        <scheme val="minor"/>
      </rPr>
      <t xml:space="preserve"> - Other
</t>
    </r>
  </si>
  <si>
    <r>
      <t>01391</t>
    </r>
    <r>
      <rPr>
        <sz val="11"/>
        <color theme="1"/>
        <rFont val="Calibri"/>
        <family val="2"/>
        <scheme val="minor"/>
      </rPr>
      <t xml:space="preserve"> - Change of assignment
</t>
    </r>
    <r>
      <rPr>
        <b/>
        <sz val="11"/>
        <color theme="1"/>
        <rFont val="Calibri"/>
        <family val="2"/>
        <scheme val="minor"/>
      </rPr>
      <t>01404</t>
    </r>
    <r>
      <rPr>
        <sz val="11"/>
        <color theme="1"/>
        <rFont val="Calibri"/>
        <family val="2"/>
        <scheme val="minor"/>
      </rPr>
      <t xml:space="preserve"> - Death
</t>
    </r>
    <r>
      <rPr>
        <b/>
        <sz val="11"/>
        <color theme="1"/>
        <rFont val="Calibri"/>
        <family val="2"/>
        <scheme val="minor"/>
      </rPr>
      <t>01401</t>
    </r>
    <r>
      <rPr>
        <sz val="11"/>
        <color theme="1"/>
        <rFont val="Calibri"/>
        <family val="2"/>
        <scheme val="minor"/>
      </rPr>
      <t xml:space="preserve"> - Discharge due to a falsified application form
</t>
    </r>
    <r>
      <rPr>
        <b/>
        <sz val="11"/>
        <color theme="1"/>
        <rFont val="Calibri"/>
        <family val="2"/>
        <scheme val="minor"/>
      </rPr>
      <t>01400</t>
    </r>
    <r>
      <rPr>
        <sz val="11"/>
        <color theme="1"/>
        <rFont val="Calibri"/>
        <family val="2"/>
        <scheme val="minor"/>
      </rPr>
      <t xml:space="preserve"> - Discharge due to continued absence or tardiness
</t>
    </r>
    <r>
      <rPr>
        <b/>
        <sz val="11"/>
        <color theme="1"/>
        <rFont val="Calibri"/>
        <family val="2"/>
        <scheme val="minor"/>
      </rPr>
      <t>01402</t>
    </r>
    <r>
      <rPr>
        <sz val="11"/>
        <color theme="1"/>
        <rFont val="Calibri"/>
        <family val="2"/>
        <scheme val="minor"/>
      </rPr>
      <t xml:space="preserve"> - Discharge due to credential revoked or suspended
</t>
    </r>
    <r>
      <rPr>
        <b/>
        <sz val="11"/>
        <color theme="1"/>
        <rFont val="Calibri"/>
        <family val="2"/>
        <scheme val="minor"/>
      </rPr>
      <t>01399</t>
    </r>
    <r>
      <rPr>
        <sz val="11"/>
        <color theme="1"/>
        <rFont val="Calibri"/>
        <family val="2"/>
        <scheme val="minor"/>
      </rPr>
      <t xml:space="preserve"> - Discharge due to misconduct
</t>
    </r>
    <r>
      <rPr>
        <b/>
        <sz val="11"/>
        <color theme="1"/>
        <rFont val="Calibri"/>
        <family val="2"/>
        <scheme val="minor"/>
      </rPr>
      <t>01403</t>
    </r>
    <r>
      <rPr>
        <sz val="11"/>
        <color theme="1"/>
        <rFont val="Calibri"/>
        <family val="2"/>
        <scheme val="minor"/>
      </rPr>
      <t xml:space="preserve"> - Discharge due to unsatisfactory work performance
</t>
    </r>
    <r>
      <rPr>
        <b/>
        <sz val="11"/>
        <color theme="1"/>
        <rFont val="Calibri"/>
        <family val="2"/>
        <scheme val="minor"/>
      </rPr>
      <t>01398</t>
    </r>
    <r>
      <rPr>
        <sz val="11"/>
        <color theme="1"/>
        <rFont val="Calibri"/>
        <family val="2"/>
        <scheme val="minor"/>
      </rPr>
      <t xml:space="preserve"> - Discharge due to unsuitability
</t>
    </r>
    <r>
      <rPr>
        <b/>
        <sz val="11"/>
        <color theme="1"/>
        <rFont val="Calibri"/>
        <family val="2"/>
        <scheme val="minor"/>
      </rPr>
      <t>01387</t>
    </r>
    <r>
      <rPr>
        <sz val="11"/>
        <color theme="1"/>
        <rFont val="Calibri"/>
        <family val="2"/>
        <scheme val="minor"/>
      </rPr>
      <t xml:space="preserve"> - Employment in education
</t>
    </r>
    <r>
      <rPr>
        <b/>
        <sz val="11"/>
        <color theme="1"/>
        <rFont val="Calibri"/>
        <family val="2"/>
        <scheme val="minor"/>
      </rPr>
      <t>01388</t>
    </r>
    <r>
      <rPr>
        <sz val="11"/>
        <color theme="1"/>
        <rFont val="Calibri"/>
        <family val="2"/>
        <scheme val="minor"/>
      </rPr>
      <t xml:space="preserve"> - Employment outside of education
</t>
    </r>
    <r>
      <rPr>
        <b/>
        <sz val="11"/>
        <color theme="1"/>
        <rFont val="Calibri"/>
        <family val="2"/>
        <scheme val="minor"/>
      </rPr>
      <t>01390</t>
    </r>
    <r>
      <rPr>
        <sz val="11"/>
        <color theme="1"/>
        <rFont val="Calibri"/>
        <family val="2"/>
        <scheme val="minor"/>
      </rPr>
      <t xml:space="preserve"> - Family/personal relocation
</t>
    </r>
    <r>
      <rPr>
        <b/>
        <sz val="11"/>
        <color theme="1"/>
        <rFont val="Calibri"/>
        <family val="2"/>
        <scheme val="minor"/>
      </rPr>
      <t>01392</t>
    </r>
    <r>
      <rPr>
        <sz val="11"/>
        <color theme="1"/>
        <rFont val="Calibri"/>
        <family val="2"/>
        <scheme val="minor"/>
      </rPr>
      <t xml:space="preserve"> - Formal study or research
</t>
    </r>
    <r>
      <rPr>
        <b/>
        <sz val="11"/>
        <color theme="1"/>
        <rFont val="Calibri"/>
        <family val="2"/>
        <scheme val="minor"/>
      </rPr>
      <t>01394</t>
    </r>
    <r>
      <rPr>
        <sz val="11"/>
        <color theme="1"/>
        <rFont val="Calibri"/>
        <family val="2"/>
        <scheme val="minor"/>
      </rPr>
      <t xml:space="preserve"> - Homemaking/caring for a family member
</t>
    </r>
    <r>
      <rPr>
        <b/>
        <sz val="11"/>
        <color theme="1"/>
        <rFont val="Calibri"/>
        <family val="2"/>
        <scheme val="minor"/>
      </rPr>
      <t>01393</t>
    </r>
    <r>
      <rPr>
        <sz val="11"/>
        <color theme="1"/>
        <rFont val="Calibri"/>
        <family val="2"/>
        <scheme val="minor"/>
      </rPr>
      <t xml:space="preserve"> - Illness/disability
</t>
    </r>
    <r>
      <rPr>
        <b/>
        <sz val="11"/>
        <color theme="1"/>
        <rFont val="Calibri"/>
        <family val="2"/>
        <scheme val="minor"/>
      </rPr>
      <t>01406</t>
    </r>
    <r>
      <rPr>
        <sz val="11"/>
        <color theme="1"/>
        <rFont val="Calibri"/>
        <family val="2"/>
        <scheme val="minor"/>
      </rPr>
      <t xml:space="preserve"> - Lay off due to lack of funding
</t>
    </r>
    <r>
      <rPr>
        <b/>
        <sz val="11"/>
        <color theme="1"/>
        <rFont val="Calibri"/>
        <family val="2"/>
        <scheme val="minor"/>
      </rPr>
      <t>01395</t>
    </r>
    <r>
      <rPr>
        <sz val="11"/>
        <color theme="1"/>
        <rFont val="Calibri"/>
        <family val="2"/>
        <scheme val="minor"/>
      </rPr>
      <t xml:space="preserve"> - Layoff due to budgetary reduction
</t>
    </r>
    <r>
      <rPr>
        <b/>
        <sz val="11"/>
        <color theme="1"/>
        <rFont val="Calibri"/>
        <family val="2"/>
        <scheme val="minor"/>
      </rPr>
      <t>01397</t>
    </r>
    <r>
      <rPr>
        <sz val="11"/>
        <color theme="1"/>
        <rFont val="Calibri"/>
        <family val="2"/>
        <scheme val="minor"/>
      </rPr>
      <t xml:space="preserve"> - Layoff due to decreased workload
</t>
    </r>
    <r>
      <rPr>
        <b/>
        <sz val="11"/>
        <color theme="1"/>
        <rFont val="Calibri"/>
        <family val="2"/>
        <scheme val="minor"/>
      </rPr>
      <t>01396</t>
    </r>
    <r>
      <rPr>
        <sz val="11"/>
        <color theme="1"/>
        <rFont val="Calibri"/>
        <family val="2"/>
        <scheme val="minor"/>
      </rPr>
      <t xml:space="preserve"> - Layoff due to organizational restructuring
</t>
    </r>
    <r>
      <rPr>
        <b/>
        <sz val="11"/>
        <color theme="1"/>
        <rFont val="Calibri"/>
        <family val="2"/>
        <scheme val="minor"/>
      </rPr>
      <t>01407</t>
    </r>
    <r>
      <rPr>
        <sz val="11"/>
        <color theme="1"/>
        <rFont val="Calibri"/>
        <family val="2"/>
        <scheme val="minor"/>
      </rPr>
      <t xml:space="preserve"> - Lost credential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01405</t>
    </r>
    <r>
      <rPr>
        <sz val="11"/>
        <color theme="1"/>
        <rFont val="Calibri"/>
        <family val="2"/>
        <scheme val="minor"/>
      </rPr>
      <t xml:space="preserve"> - Personal reason
</t>
    </r>
    <r>
      <rPr>
        <b/>
        <sz val="11"/>
        <color theme="1"/>
        <rFont val="Calibri"/>
        <family val="2"/>
        <scheme val="minor"/>
      </rPr>
      <t>01389</t>
    </r>
    <r>
      <rPr>
        <sz val="11"/>
        <color theme="1"/>
        <rFont val="Calibri"/>
        <family val="2"/>
        <scheme val="minor"/>
      </rPr>
      <t xml:space="preserve"> - Retirement
</t>
    </r>
    <r>
      <rPr>
        <b/>
        <sz val="11"/>
        <color theme="1"/>
        <rFont val="Calibri"/>
        <family val="2"/>
        <scheme val="minor"/>
      </rPr>
      <t>73201</t>
    </r>
    <r>
      <rPr>
        <sz val="11"/>
        <color theme="1"/>
        <rFont val="Calibri"/>
        <family val="2"/>
        <scheme val="minor"/>
      </rPr>
      <t xml:space="preserve"> - Termination with Cause
</t>
    </r>
    <r>
      <rPr>
        <b/>
        <sz val="11"/>
        <color theme="1"/>
        <rFont val="Calibri"/>
        <family val="2"/>
        <scheme val="minor"/>
      </rPr>
      <t>73202</t>
    </r>
    <r>
      <rPr>
        <sz val="11"/>
        <color theme="1"/>
        <rFont val="Calibri"/>
        <family val="2"/>
        <scheme val="minor"/>
      </rPr>
      <t xml:space="preserve"> - Leave Planning to Return
</t>
    </r>
    <r>
      <rPr>
        <b/>
        <sz val="11"/>
        <color theme="1"/>
        <rFont val="Calibri"/>
        <family val="2"/>
        <scheme val="minor"/>
      </rPr>
      <t>73203</t>
    </r>
    <r>
      <rPr>
        <sz val="11"/>
        <color theme="1"/>
        <rFont val="Calibri"/>
        <family val="2"/>
        <scheme val="minor"/>
      </rPr>
      <t xml:space="preserve"> - Leave Not Planning to Return
</t>
    </r>
    <r>
      <rPr>
        <b/>
        <sz val="11"/>
        <color theme="1"/>
        <rFont val="Calibri"/>
        <family val="2"/>
        <scheme val="minor"/>
      </rPr>
      <t>09997</t>
    </r>
    <r>
      <rPr>
        <sz val="11"/>
        <color theme="1"/>
        <rFont val="Calibri"/>
        <family val="2"/>
        <scheme val="minor"/>
      </rPr>
      <t xml:space="preserve"> - Unknown
</t>
    </r>
  </si>
  <si>
    <r>
      <t>Involuntary</t>
    </r>
    <r>
      <rPr>
        <sz val="11"/>
        <color theme="1"/>
        <rFont val="Calibri"/>
        <family val="2"/>
        <scheme val="minor"/>
      </rPr>
      <t xml:space="preserve"> - Involuntary separation
</t>
    </r>
    <r>
      <rPr>
        <b/>
        <sz val="11"/>
        <color theme="1"/>
        <rFont val="Calibri"/>
        <family val="2"/>
        <scheme val="minor"/>
      </rPr>
      <t>MutualAgreement</t>
    </r>
    <r>
      <rPr>
        <sz val="11"/>
        <color theme="1"/>
        <rFont val="Calibri"/>
        <family val="2"/>
        <scheme val="minor"/>
      </rPr>
      <t xml:space="preserve"> - Mutual agreement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Voluntary</t>
    </r>
    <r>
      <rPr>
        <sz val="11"/>
        <color theme="1"/>
        <rFont val="Calibri"/>
        <family val="2"/>
        <scheme val="minor"/>
      </rPr>
      <t xml:space="preserve"> - Voluntary separation
</t>
    </r>
  </si>
  <si>
    <r>
      <t>01384</t>
    </r>
    <r>
      <rPr>
        <sz val="11"/>
        <color theme="1"/>
        <rFont val="Calibri"/>
        <family val="2"/>
        <scheme val="minor"/>
      </rPr>
      <t xml:space="preserve"> - Contingent upon funding
</t>
    </r>
    <r>
      <rPr>
        <b/>
        <sz val="11"/>
        <color theme="1"/>
        <rFont val="Calibri"/>
        <family val="2"/>
        <scheme val="minor"/>
      </rPr>
      <t>01379</t>
    </r>
    <r>
      <rPr>
        <sz val="11"/>
        <color theme="1"/>
        <rFont val="Calibri"/>
        <family val="2"/>
        <scheme val="minor"/>
      </rPr>
      <t xml:space="preserve"> - Contractual
</t>
    </r>
    <r>
      <rPr>
        <b/>
        <sz val="11"/>
        <color theme="1"/>
        <rFont val="Calibri"/>
        <family val="2"/>
        <scheme val="minor"/>
      </rPr>
      <t>06071</t>
    </r>
    <r>
      <rPr>
        <sz val="11"/>
        <color theme="1"/>
        <rFont val="Calibri"/>
        <family val="2"/>
        <scheme val="minor"/>
      </rPr>
      <t xml:space="preserve"> - Employed or affiliated with outside agency part-time
</t>
    </r>
    <r>
      <rPr>
        <b/>
        <sz val="11"/>
        <color theme="1"/>
        <rFont val="Calibri"/>
        <family val="2"/>
        <scheme val="minor"/>
      </rPr>
      <t>01383</t>
    </r>
    <r>
      <rPr>
        <sz val="11"/>
        <color theme="1"/>
        <rFont val="Calibri"/>
        <family val="2"/>
        <scheme val="minor"/>
      </rPr>
      <t xml:space="preserve"> - Employed or affiliated with outside organization
</t>
    </r>
    <r>
      <rPr>
        <b/>
        <sz val="11"/>
        <color theme="1"/>
        <rFont val="Calibri"/>
        <family val="2"/>
        <scheme val="minor"/>
      </rPr>
      <t>01385</t>
    </r>
    <r>
      <rPr>
        <sz val="11"/>
        <color theme="1"/>
        <rFont val="Calibri"/>
        <family val="2"/>
        <scheme val="minor"/>
      </rPr>
      <t xml:space="preserve"> - Non-contractual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01378</t>
    </r>
    <r>
      <rPr>
        <sz val="11"/>
        <color theme="1"/>
        <rFont val="Calibri"/>
        <family val="2"/>
        <scheme val="minor"/>
      </rPr>
      <t xml:space="preserve"> - Probationary
</t>
    </r>
    <r>
      <rPr>
        <b/>
        <sz val="11"/>
        <color theme="1"/>
        <rFont val="Calibri"/>
        <family val="2"/>
        <scheme val="minor"/>
      </rPr>
      <t>06070</t>
    </r>
    <r>
      <rPr>
        <sz val="11"/>
        <color theme="1"/>
        <rFont val="Calibri"/>
        <family val="2"/>
        <scheme val="minor"/>
      </rPr>
      <t xml:space="preserve"> - Self-employed part-time
</t>
    </r>
    <r>
      <rPr>
        <b/>
        <sz val="11"/>
        <color theme="1"/>
        <rFont val="Calibri"/>
        <family val="2"/>
        <scheme val="minor"/>
      </rPr>
      <t>01380</t>
    </r>
    <r>
      <rPr>
        <sz val="11"/>
        <color theme="1"/>
        <rFont val="Calibri"/>
        <family val="2"/>
        <scheme val="minor"/>
      </rPr>
      <t xml:space="preserve"> - Substitute/temporary
</t>
    </r>
    <r>
      <rPr>
        <b/>
        <sz val="11"/>
        <color theme="1"/>
        <rFont val="Calibri"/>
        <family val="2"/>
        <scheme val="minor"/>
      </rPr>
      <t>01381</t>
    </r>
    <r>
      <rPr>
        <sz val="11"/>
        <color theme="1"/>
        <rFont val="Calibri"/>
        <family val="2"/>
        <scheme val="minor"/>
      </rPr>
      <t xml:space="preserve"> - Tenured or permanent
</t>
    </r>
    <r>
      <rPr>
        <b/>
        <sz val="11"/>
        <color theme="1"/>
        <rFont val="Calibri"/>
        <family val="2"/>
        <scheme val="minor"/>
      </rPr>
      <t>01382</t>
    </r>
    <r>
      <rPr>
        <sz val="11"/>
        <color theme="1"/>
        <rFont val="Calibri"/>
        <family val="2"/>
        <scheme val="minor"/>
      </rPr>
      <t xml:space="preserve"> - Volunteer/no contract
</t>
    </r>
  </si>
  <si>
    <r>
      <t>01</t>
    </r>
    <r>
      <rPr>
        <sz val="11"/>
        <color theme="1"/>
        <rFont val="Calibri"/>
        <family val="2"/>
        <scheme val="minor"/>
      </rPr>
      <t xml:space="preserve"> - Full-time
</t>
    </r>
    <r>
      <rPr>
        <b/>
        <sz val="11"/>
        <color theme="1"/>
        <rFont val="Calibri"/>
        <family val="2"/>
        <scheme val="minor"/>
      </rPr>
      <t>02</t>
    </r>
    <r>
      <rPr>
        <sz val="11"/>
        <color theme="1"/>
        <rFont val="Calibri"/>
        <family val="2"/>
        <scheme val="minor"/>
      </rPr>
      <t xml:space="preserve"> - Less than full-time but at least half-time
</t>
    </r>
    <r>
      <rPr>
        <b/>
        <sz val="11"/>
        <color theme="1"/>
        <rFont val="Calibri"/>
        <family val="2"/>
        <scheme val="minor"/>
      </rPr>
      <t>03</t>
    </r>
    <r>
      <rPr>
        <sz val="11"/>
        <color theme="1"/>
        <rFont val="Calibri"/>
        <family val="2"/>
        <scheme val="minor"/>
      </rPr>
      <t xml:space="preserve"> - Less than half-time
</t>
    </r>
  </si>
  <si>
    <r>
      <t>01812</t>
    </r>
    <r>
      <rPr>
        <sz val="11"/>
        <color theme="1"/>
        <rFont val="Calibri"/>
        <family val="2"/>
        <scheme val="minor"/>
      </rPr>
      <t xml:space="preserve"> - Concurrently enrolled
</t>
    </r>
    <r>
      <rPr>
        <b/>
        <sz val="11"/>
        <color theme="1"/>
        <rFont val="Calibri"/>
        <family val="2"/>
        <scheme val="minor"/>
      </rPr>
      <t>01811</t>
    </r>
    <r>
      <rPr>
        <sz val="11"/>
        <color theme="1"/>
        <rFont val="Calibri"/>
        <family val="2"/>
        <scheme val="minor"/>
      </rPr>
      <t xml:space="preserve"> - Currently enrolled
</t>
    </r>
    <r>
      <rPr>
        <b/>
        <sz val="11"/>
        <color theme="1"/>
        <rFont val="Calibri"/>
        <family val="2"/>
        <scheme val="minor"/>
      </rPr>
      <t>01810</t>
    </r>
    <r>
      <rPr>
        <sz val="11"/>
        <color theme="1"/>
        <rFont val="Calibri"/>
        <family val="2"/>
        <scheme val="minor"/>
      </rPr>
      <t xml:space="preserve"> - Previously enrolled
</t>
    </r>
    <r>
      <rPr>
        <b/>
        <sz val="11"/>
        <color theme="1"/>
        <rFont val="Calibri"/>
        <family val="2"/>
        <scheme val="minor"/>
      </rPr>
      <t>01813</t>
    </r>
    <r>
      <rPr>
        <sz val="11"/>
        <color theme="1"/>
        <rFont val="Calibri"/>
        <family val="2"/>
        <scheme val="minor"/>
      </rPr>
      <t xml:space="preserve"> - Transferring (will enroll)
</t>
    </r>
  </si>
  <si>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</si>
  <si>
    <r>
      <t>01821</t>
    </r>
    <r>
      <rPr>
        <sz val="11"/>
        <color theme="1"/>
        <rFont val="Calibri"/>
        <family val="2"/>
        <scheme val="minor"/>
      </rPr>
      <t xml:space="preserve"> - Transfer from a public school in the same local education agency
</t>
    </r>
    <r>
      <rPr>
        <b/>
        <sz val="11"/>
        <color theme="1"/>
        <rFont val="Calibri"/>
        <family val="2"/>
        <scheme val="minor"/>
      </rPr>
      <t>01822</t>
    </r>
    <r>
      <rPr>
        <sz val="11"/>
        <color theme="1"/>
        <rFont val="Calibri"/>
        <family val="2"/>
        <scheme val="minor"/>
      </rPr>
      <t xml:space="preserve"> - Transfer from a public school in a different local education agency in the same state
</t>
    </r>
    <r>
      <rPr>
        <b/>
        <sz val="11"/>
        <color theme="1"/>
        <rFont val="Calibri"/>
        <family val="2"/>
        <scheme val="minor"/>
      </rPr>
      <t>01823</t>
    </r>
    <r>
      <rPr>
        <sz val="11"/>
        <color theme="1"/>
        <rFont val="Calibri"/>
        <family val="2"/>
        <scheme val="minor"/>
      </rPr>
      <t xml:space="preserve"> - Transfer from a public school in a different state
</t>
    </r>
    <r>
      <rPr>
        <b/>
        <sz val="11"/>
        <color theme="1"/>
        <rFont val="Calibri"/>
        <family val="2"/>
        <scheme val="minor"/>
      </rPr>
      <t>01824</t>
    </r>
    <r>
      <rPr>
        <sz val="11"/>
        <color theme="1"/>
        <rFont val="Calibri"/>
        <family val="2"/>
        <scheme val="minor"/>
      </rPr>
      <t xml:space="preserve"> - Transfer from a private, non-religiously-affiliated school in the same local education agency
</t>
    </r>
    <r>
      <rPr>
        <b/>
        <sz val="11"/>
        <color theme="1"/>
        <rFont val="Calibri"/>
        <family val="2"/>
        <scheme val="minor"/>
      </rPr>
      <t>01825</t>
    </r>
    <r>
      <rPr>
        <sz val="11"/>
        <color theme="1"/>
        <rFont val="Calibri"/>
        <family val="2"/>
        <scheme val="minor"/>
      </rPr>
      <t xml:space="preserve"> - Transfer from a private, non-religiously-affiliated school in a different LEA in the same state
</t>
    </r>
    <r>
      <rPr>
        <b/>
        <sz val="11"/>
        <color theme="1"/>
        <rFont val="Calibri"/>
        <family val="2"/>
        <scheme val="minor"/>
      </rPr>
      <t>01826</t>
    </r>
    <r>
      <rPr>
        <sz val="11"/>
        <color theme="1"/>
        <rFont val="Calibri"/>
        <family val="2"/>
        <scheme val="minor"/>
      </rPr>
      <t xml:space="preserve"> - Transfer from a private, non-religiously-affiliated school in a different state
</t>
    </r>
    <r>
      <rPr>
        <b/>
        <sz val="11"/>
        <color theme="1"/>
        <rFont val="Calibri"/>
        <family val="2"/>
        <scheme val="minor"/>
      </rPr>
      <t>01827</t>
    </r>
    <r>
      <rPr>
        <sz val="11"/>
        <color theme="1"/>
        <rFont val="Calibri"/>
        <family val="2"/>
        <scheme val="minor"/>
      </rPr>
      <t xml:space="preserve"> - Transfer from a private, religiously-affiliated school in the same local education agency
</t>
    </r>
    <r>
      <rPr>
        <b/>
        <sz val="11"/>
        <color theme="1"/>
        <rFont val="Calibri"/>
        <family val="2"/>
        <scheme val="minor"/>
      </rPr>
      <t>01828</t>
    </r>
    <r>
      <rPr>
        <sz val="11"/>
        <color theme="1"/>
        <rFont val="Calibri"/>
        <family val="2"/>
        <scheme val="minor"/>
      </rPr>
      <t xml:space="preserve"> - Transfer from a private, religiously-affiliated school in a different LEA in the same state
</t>
    </r>
    <r>
      <rPr>
        <b/>
        <sz val="11"/>
        <color theme="1"/>
        <rFont val="Calibri"/>
        <family val="2"/>
        <scheme val="minor"/>
      </rPr>
      <t>01829</t>
    </r>
    <r>
      <rPr>
        <sz val="11"/>
        <color theme="1"/>
        <rFont val="Calibri"/>
        <family val="2"/>
        <scheme val="minor"/>
      </rPr>
      <t xml:space="preserve"> - Transfer from a private, religiously-affiliated school in a different state
</t>
    </r>
    <r>
      <rPr>
        <b/>
        <sz val="11"/>
        <color theme="1"/>
        <rFont val="Calibri"/>
        <family val="2"/>
        <scheme val="minor"/>
      </rPr>
      <t>01830</t>
    </r>
    <r>
      <rPr>
        <sz val="11"/>
        <color theme="1"/>
        <rFont val="Calibri"/>
        <family val="2"/>
        <scheme val="minor"/>
      </rPr>
      <t xml:space="preserve"> - Transfer from a school outside of the country
</t>
    </r>
    <r>
      <rPr>
        <b/>
        <sz val="11"/>
        <color theme="1"/>
        <rFont val="Calibri"/>
        <family val="2"/>
        <scheme val="minor"/>
      </rPr>
      <t>01831</t>
    </r>
    <r>
      <rPr>
        <sz val="11"/>
        <color theme="1"/>
        <rFont val="Calibri"/>
        <family val="2"/>
        <scheme val="minor"/>
      </rPr>
      <t xml:space="preserve"> - Transfer from an institution
</t>
    </r>
    <r>
      <rPr>
        <b/>
        <sz val="11"/>
        <color theme="1"/>
        <rFont val="Calibri"/>
        <family val="2"/>
        <scheme val="minor"/>
      </rPr>
      <t>01832</t>
    </r>
    <r>
      <rPr>
        <sz val="11"/>
        <color theme="1"/>
        <rFont val="Calibri"/>
        <family val="2"/>
        <scheme val="minor"/>
      </rPr>
      <t xml:space="preserve"> - Transfer from a charter school
</t>
    </r>
    <r>
      <rPr>
        <b/>
        <sz val="11"/>
        <color theme="1"/>
        <rFont val="Calibri"/>
        <family val="2"/>
        <scheme val="minor"/>
      </rPr>
      <t>01833</t>
    </r>
    <r>
      <rPr>
        <sz val="11"/>
        <color theme="1"/>
        <rFont val="Calibri"/>
        <family val="2"/>
        <scheme val="minor"/>
      </rPr>
      <t xml:space="preserve"> - Transfer from home schooling
</t>
    </r>
    <r>
      <rPr>
        <b/>
        <sz val="11"/>
        <color theme="1"/>
        <rFont val="Calibri"/>
        <family val="2"/>
        <scheme val="minor"/>
      </rPr>
      <t>01835</t>
    </r>
    <r>
      <rPr>
        <sz val="11"/>
        <color theme="1"/>
        <rFont val="Calibri"/>
        <family val="2"/>
        <scheme val="minor"/>
      </rPr>
      <t xml:space="preserve"> - Re-entry from the same school with no interruption of schooling
</t>
    </r>
    <r>
      <rPr>
        <b/>
        <sz val="11"/>
        <color theme="1"/>
        <rFont val="Calibri"/>
        <family val="2"/>
        <scheme val="minor"/>
      </rPr>
      <t>01836</t>
    </r>
    <r>
      <rPr>
        <sz val="11"/>
        <color theme="1"/>
        <rFont val="Calibri"/>
        <family val="2"/>
        <scheme val="minor"/>
      </rPr>
      <t xml:space="preserve"> - Re-entry after a voluntary withdrawal
</t>
    </r>
    <r>
      <rPr>
        <b/>
        <sz val="11"/>
        <color theme="1"/>
        <rFont val="Calibri"/>
        <family val="2"/>
        <scheme val="minor"/>
      </rPr>
      <t>01837</t>
    </r>
    <r>
      <rPr>
        <sz val="11"/>
        <color theme="1"/>
        <rFont val="Calibri"/>
        <family val="2"/>
        <scheme val="minor"/>
      </rPr>
      <t xml:space="preserve"> - Re-entry after an involuntary withdrawal
</t>
    </r>
    <r>
      <rPr>
        <b/>
        <sz val="11"/>
        <color theme="1"/>
        <rFont val="Calibri"/>
        <family val="2"/>
        <scheme val="minor"/>
      </rPr>
      <t>01838</t>
    </r>
    <r>
      <rPr>
        <sz val="11"/>
        <color theme="1"/>
        <rFont val="Calibri"/>
        <family val="2"/>
        <scheme val="minor"/>
      </rPr>
      <t xml:space="preserve"> - Original entry into a United States school
</t>
    </r>
    <r>
      <rPr>
        <b/>
        <sz val="11"/>
        <color theme="1"/>
        <rFont val="Calibri"/>
        <family val="2"/>
        <scheme val="minor"/>
      </rPr>
      <t>01839</t>
    </r>
    <r>
      <rPr>
        <sz val="11"/>
        <color theme="1"/>
        <rFont val="Calibri"/>
        <family val="2"/>
        <scheme val="minor"/>
      </rPr>
      <t xml:space="preserve"> - Original entry into a United States school from a foreign country with no interruption in schooling
</t>
    </r>
    <r>
      <rPr>
        <b/>
        <sz val="11"/>
        <color theme="1"/>
        <rFont val="Calibri"/>
        <family val="2"/>
        <scheme val="minor"/>
      </rPr>
      <t>01840</t>
    </r>
    <r>
      <rPr>
        <sz val="11"/>
        <color theme="1"/>
        <rFont val="Calibri"/>
        <family val="2"/>
        <scheme val="minor"/>
      </rPr>
      <t xml:space="preserve"> - Original entry into a United States school from a foreign country with an interruption in schooling
</t>
    </r>
    <r>
      <rPr>
        <b/>
        <sz val="11"/>
        <color theme="1"/>
        <rFont val="Calibri"/>
        <family val="2"/>
        <scheme val="minor"/>
      </rPr>
      <t>09999</t>
    </r>
    <r>
      <rPr>
        <sz val="11"/>
        <color theme="1"/>
        <rFont val="Calibri"/>
        <family val="2"/>
        <scheme val="minor"/>
      </rPr>
      <t xml:space="preserve"> - Other
</t>
    </r>
  </si>
  <si>
    <r>
      <t>01907</t>
    </r>
    <r>
      <rPr>
        <sz val="11"/>
        <color theme="1"/>
        <rFont val="Calibri"/>
        <family val="2"/>
        <scheme val="minor"/>
      </rPr>
      <t xml:space="preserve"> - Student is in a different public school in the same local education agency
</t>
    </r>
    <r>
      <rPr>
        <b/>
        <sz val="11"/>
        <color theme="1"/>
        <rFont val="Calibri"/>
        <family val="2"/>
        <scheme val="minor"/>
      </rPr>
      <t>01908</t>
    </r>
    <r>
      <rPr>
        <sz val="11"/>
        <color theme="1"/>
        <rFont val="Calibri"/>
        <family val="2"/>
        <scheme val="minor"/>
      </rPr>
      <t xml:space="preserve"> - Transferred to a public school in a different local education agency in the same state
</t>
    </r>
    <r>
      <rPr>
        <b/>
        <sz val="11"/>
        <color theme="1"/>
        <rFont val="Calibri"/>
        <family val="2"/>
        <scheme val="minor"/>
      </rPr>
      <t>01909</t>
    </r>
    <r>
      <rPr>
        <sz val="11"/>
        <color theme="1"/>
        <rFont val="Calibri"/>
        <family val="2"/>
        <scheme val="minor"/>
      </rPr>
      <t xml:space="preserve"> - Transferred to a public school in a different state
</t>
    </r>
    <r>
      <rPr>
        <b/>
        <sz val="11"/>
        <color theme="1"/>
        <rFont val="Calibri"/>
        <family val="2"/>
        <scheme val="minor"/>
      </rPr>
      <t>01910</t>
    </r>
    <r>
      <rPr>
        <sz val="11"/>
        <color theme="1"/>
        <rFont val="Calibri"/>
        <family val="2"/>
        <scheme val="minor"/>
      </rPr>
      <t xml:space="preserve"> - Transferred to a private, non-religiously-affiliated school in the same local education agency
</t>
    </r>
    <r>
      <rPr>
        <b/>
        <sz val="11"/>
        <color theme="1"/>
        <rFont val="Calibri"/>
        <family val="2"/>
        <scheme val="minor"/>
      </rPr>
      <t>01911</t>
    </r>
    <r>
      <rPr>
        <sz val="11"/>
        <color theme="1"/>
        <rFont val="Calibri"/>
        <family val="2"/>
        <scheme val="minor"/>
      </rPr>
      <t xml:space="preserve"> - Transferred to a private, non-religiously-affiliated school in a different LEA in the same state
</t>
    </r>
    <r>
      <rPr>
        <b/>
        <sz val="11"/>
        <color theme="1"/>
        <rFont val="Calibri"/>
        <family val="2"/>
        <scheme val="minor"/>
      </rPr>
      <t>01912</t>
    </r>
    <r>
      <rPr>
        <sz val="11"/>
        <color theme="1"/>
        <rFont val="Calibri"/>
        <family val="2"/>
        <scheme val="minor"/>
      </rPr>
      <t xml:space="preserve"> - Transferred to a private, non-religiously-affiliated school in a different state
</t>
    </r>
    <r>
      <rPr>
        <b/>
        <sz val="11"/>
        <color theme="1"/>
        <rFont val="Calibri"/>
        <family val="2"/>
        <scheme val="minor"/>
      </rPr>
      <t>01913</t>
    </r>
    <r>
      <rPr>
        <sz val="11"/>
        <color theme="1"/>
        <rFont val="Calibri"/>
        <family val="2"/>
        <scheme val="minor"/>
      </rPr>
      <t xml:space="preserve"> - Transferred to a private, religiously-affiliated school in the same local education agency
</t>
    </r>
    <r>
      <rPr>
        <b/>
        <sz val="11"/>
        <color theme="1"/>
        <rFont val="Calibri"/>
        <family val="2"/>
        <scheme val="minor"/>
      </rPr>
      <t>01914</t>
    </r>
    <r>
      <rPr>
        <sz val="11"/>
        <color theme="1"/>
        <rFont val="Calibri"/>
        <family val="2"/>
        <scheme val="minor"/>
      </rPr>
      <t xml:space="preserve"> - Transferred to a private, religiously-affiliated school in a different LEA in the same state
</t>
    </r>
    <r>
      <rPr>
        <b/>
        <sz val="11"/>
        <color theme="1"/>
        <rFont val="Calibri"/>
        <family val="2"/>
        <scheme val="minor"/>
      </rPr>
      <t>01915</t>
    </r>
    <r>
      <rPr>
        <sz val="11"/>
        <color theme="1"/>
        <rFont val="Calibri"/>
        <family val="2"/>
        <scheme val="minor"/>
      </rPr>
      <t xml:space="preserve"> - Transferred to a private, religiously-affiliated school in a different state
</t>
    </r>
    <r>
      <rPr>
        <b/>
        <sz val="11"/>
        <color theme="1"/>
        <rFont val="Calibri"/>
        <family val="2"/>
        <scheme val="minor"/>
      </rPr>
      <t>01916</t>
    </r>
    <r>
      <rPr>
        <sz val="11"/>
        <color theme="1"/>
        <rFont val="Calibri"/>
        <family val="2"/>
        <scheme val="minor"/>
      </rPr>
      <t xml:space="preserve"> - Transferred to a school outside of the country
</t>
    </r>
    <r>
      <rPr>
        <b/>
        <sz val="11"/>
        <color theme="1"/>
        <rFont val="Calibri"/>
        <family val="2"/>
        <scheme val="minor"/>
      </rPr>
      <t>01917</t>
    </r>
    <r>
      <rPr>
        <sz val="11"/>
        <color theme="1"/>
        <rFont val="Calibri"/>
        <family val="2"/>
        <scheme val="minor"/>
      </rPr>
      <t xml:space="preserve"> - Transferred to an institution
</t>
    </r>
    <r>
      <rPr>
        <b/>
        <sz val="11"/>
        <color theme="1"/>
        <rFont val="Calibri"/>
        <family val="2"/>
        <scheme val="minor"/>
      </rPr>
      <t>01918</t>
    </r>
    <r>
      <rPr>
        <sz val="11"/>
        <color theme="1"/>
        <rFont val="Calibri"/>
        <family val="2"/>
        <scheme val="minor"/>
      </rPr>
      <t xml:space="preserve"> - Transferred to home schooling
</t>
    </r>
    <r>
      <rPr>
        <b/>
        <sz val="11"/>
        <color theme="1"/>
        <rFont val="Calibri"/>
        <family val="2"/>
        <scheme val="minor"/>
      </rPr>
      <t>01919</t>
    </r>
    <r>
      <rPr>
        <sz val="11"/>
        <color theme="1"/>
        <rFont val="Calibri"/>
        <family val="2"/>
        <scheme val="minor"/>
      </rPr>
      <t xml:space="preserve"> - Transferred to a charter school
</t>
    </r>
    <r>
      <rPr>
        <b/>
        <sz val="11"/>
        <color theme="1"/>
        <rFont val="Calibri"/>
        <family val="2"/>
        <scheme val="minor"/>
      </rPr>
      <t>01921</t>
    </r>
    <r>
      <rPr>
        <sz val="11"/>
        <color theme="1"/>
        <rFont val="Calibri"/>
        <family val="2"/>
        <scheme val="minor"/>
      </rPr>
      <t xml:space="preserve"> - Graduated with regular, advanced, International Baccalaureate, or other type of diploma
</t>
    </r>
    <r>
      <rPr>
        <b/>
        <sz val="11"/>
        <color theme="1"/>
        <rFont val="Calibri"/>
        <family val="2"/>
        <scheme val="minor"/>
      </rPr>
      <t>01922</t>
    </r>
    <r>
      <rPr>
        <sz val="11"/>
        <color theme="1"/>
        <rFont val="Calibri"/>
        <family val="2"/>
        <scheme val="minor"/>
      </rPr>
      <t xml:space="preserve"> - Completed school with other credentials
</t>
    </r>
    <r>
      <rPr>
        <b/>
        <sz val="11"/>
        <color theme="1"/>
        <rFont val="Calibri"/>
        <family val="2"/>
        <scheme val="minor"/>
      </rPr>
      <t>01923</t>
    </r>
    <r>
      <rPr>
        <sz val="11"/>
        <color theme="1"/>
        <rFont val="Calibri"/>
        <family val="2"/>
        <scheme val="minor"/>
      </rPr>
      <t xml:space="preserve"> - Died or is permanently incapacitated
</t>
    </r>
    <r>
      <rPr>
        <b/>
        <sz val="11"/>
        <color theme="1"/>
        <rFont val="Calibri"/>
        <family val="2"/>
        <scheme val="minor"/>
      </rPr>
      <t>01924</t>
    </r>
    <r>
      <rPr>
        <sz val="11"/>
        <color theme="1"/>
        <rFont val="Calibri"/>
        <family val="2"/>
        <scheme val="minor"/>
      </rPr>
      <t xml:space="preserve"> - Withdrawn due to illness
</t>
    </r>
    <r>
      <rPr>
        <b/>
        <sz val="11"/>
        <color theme="1"/>
        <rFont val="Calibri"/>
        <family val="2"/>
        <scheme val="minor"/>
      </rPr>
      <t>01925</t>
    </r>
    <r>
      <rPr>
        <sz val="11"/>
        <color theme="1"/>
        <rFont val="Calibri"/>
        <family val="2"/>
        <scheme val="minor"/>
      </rPr>
      <t xml:space="preserve"> - Expelled or involuntarily withdrawn
</t>
    </r>
    <r>
      <rPr>
        <b/>
        <sz val="11"/>
        <color theme="1"/>
        <rFont val="Calibri"/>
        <family val="2"/>
        <scheme val="minor"/>
      </rPr>
      <t>01926</t>
    </r>
    <r>
      <rPr>
        <sz val="11"/>
        <color theme="1"/>
        <rFont val="Calibri"/>
        <family val="2"/>
        <scheme val="minor"/>
      </rPr>
      <t xml:space="preserve"> - Reached maximum age for services
</t>
    </r>
    <r>
      <rPr>
        <b/>
        <sz val="11"/>
        <color theme="1"/>
        <rFont val="Calibri"/>
        <family val="2"/>
        <scheme val="minor"/>
      </rPr>
      <t>01927</t>
    </r>
    <r>
      <rPr>
        <sz val="11"/>
        <color theme="1"/>
        <rFont val="Calibri"/>
        <family val="2"/>
        <scheme val="minor"/>
      </rPr>
      <t xml:space="preserve"> - Discontinued schooling
</t>
    </r>
    <r>
      <rPr>
        <b/>
        <sz val="11"/>
        <color theme="1"/>
        <rFont val="Calibri"/>
        <family val="2"/>
        <scheme val="minor"/>
      </rPr>
      <t>01928</t>
    </r>
    <r>
      <rPr>
        <sz val="11"/>
        <color theme="1"/>
        <rFont val="Calibri"/>
        <family val="2"/>
        <scheme val="minor"/>
      </rPr>
      <t xml:space="preserve"> - Completed grade 12, but did not meet all graduation requirements
</t>
    </r>
    <r>
      <rPr>
        <b/>
        <sz val="11"/>
        <color theme="1"/>
        <rFont val="Calibri"/>
        <family val="2"/>
        <scheme val="minor"/>
      </rPr>
      <t>01930</t>
    </r>
    <r>
      <rPr>
        <sz val="11"/>
        <color theme="1"/>
        <rFont val="Calibri"/>
        <family val="2"/>
        <scheme val="minor"/>
      </rPr>
      <t xml:space="preserve"> - Enrolled in a postsecondary early admission program, eligible to return
</t>
    </r>
    <r>
      <rPr>
        <b/>
        <sz val="11"/>
        <color theme="1"/>
        <rFont val="Calibri"/>
        <family val="2"/>
        <scheme val="minor"/>
      </rPr>
      <t>01931</t>
    </r>
    <r>
      <rPr>
        <sz val="11"/>
        <color theme="1"/>
        <rFont val="Calibri"/>
        <family val="2"/>
        <scheme val="minor"/>
      </rPr>
      <t xml:space="preserve"> - Not enrolled, unknown status
</t>
    </r>
    <r>
      <rPr>
        <b/>
        <sz val="11"/>
        <color theme="1"/>
        <rFont val="Calibri"/>
        <family val="2"/>
        <scheme val="minor"/>
      </rPr>
      <t>03499</t>
    </r>
    <r>
      <rPr>
        <sz val="11"/>
        <color theme="1"/>
        <rFont val="Calibri"/>
        <family val="2"/>
        <scheme val="minor"/>
      </rPr>
      <t xml:space="preserve"> - Student is in the same LEA, receiving education services, but is not assigned to a particular school
</t>
    </r>
    <r>
      <rPr>
        <b/>
        <sz val="11"/>
        <color theme="1"/>
        <rFont val="Calibri"/>
        <family val="2"/>
        <scheme val="minor"/>
      </rPr>
      <t>03502</t>
    </r>
    <r>
      <rPr>
        <sz val="11"/>
        <color theme="1"/>
        <rFont val="Calibri"/>
        <family val="2"/>
        <scheme val="minor"/>
      </rPr>
      <t xml:space="preserve"> - Not enrolled, eligible to return
</t>
    </r>
    <r>
      <rPr>
        <b/>
        <sz val="11"/>
        <color theme="1"/>
        <rFont val="Calibri"/>
        <family val="2"/>
        <scheme val="minor"/>
      </rPr>
      <t>03503</t>
    </r>
    <r>
      <rPr>
        <sz val="11"/>
        <color theme="1"/>
        <rFont val="Calibri"/>
        <family val="2"/>
        <scheme val="minor"/>
      </rPr>
      <t xml:space="preserve"> - Enrolled in a foreign exchange program, eligible to return
</t>
    </r>
    <r>
      <rPr>
        <b/>
        <sz val="11"/>
        <color theme="1"/>
        <rFont val="Calibri"/>
        <family val="2"/>
        <scheme val="minor"/>
      </rPr>
      <t>03504</t>
    </r>
    <r>
      <rPr>
        <sz val="11"/>
        <color theme="1"/>
        <rFont val="Calibri"/>
        <family val="2"/>
        <scheme val="minor"/>
      </rPr>
      <t xml:space="preserve"> - Withdrawn from school, under the age for compulsory attendance; eligible to return
</t>
    </r>
    <r>
      <rPr>
        <b/>
        <sz val="11"/>
        <color theme="1"/>
        <rFont val="Calibri"/>
        <family val="2"/>
        <scheme val="minor"/>
      </rPr>
      <t>03505</t>
    </r>
    <r>
      <rPr>
        <sz val="11"/>
        <color theme="1"/>
        <rFont val="Calibri"/>
        <family val="2"/>
        <scheme val="minor"/>
      </rPr>
      <t xml:space="preserve"> - Exited
</t>
    </r>
    <r>
      <rPr>
        <b/>
        <sz val="11"/>
        <color theme="1"/>
        <rFont val="Calibri"/>
        <family val="2"/>
        <scheme val="minor"/>
      </rPr>
      <t>03508</t>
    </r>
    <r>
      <rPr>
        <sz val="11"/>
        <color theme="1"/>
        <rFont val="Calibri"/>
        <family val="2"/>
        <scheme val="minor"/>
      </rPr>
      <t xml:space="preserve"> - Student is in a charter school managed by the same local education agency
</t>
    </r>
    <r>
      <rPr>
        <b/>
        <sz val="11"/>
        <color theme="1"/>
        <rFont val="Calibri"/>
        <family val="2"/>
        <scheme val="minor"/>
      </rPr>
      <t>03509</t>
    </r>
    <r>
      <rPr>
        <sz val="11"/>
        <color theme="1"/>
        <rFont val="Calibri"/>
        <family val="2"/>
        <scheme val="minor"/>
      </rPr>
      <t xml:space="preserve"> - Completed with a state-recognized equivalency certificate
</t>
    </r>
    <r>
      <rPr>
        <b/>
        <sz val="11"/>
        <color theme="1"/>
        <rFont val="Calibri"/>
        <family val="2"/>
        <scheme val="minor"/>
      </rPr>
      <t>73060</t>
    </r>
    <r>
      <rPr>
        <sz val="11"/>
        <color theme="1"/>
        <rFont val="Calibri"/>
        <family val="2"/>
        <scheme val="minor"/>
      </rPr>
      <t xml:space="preserve"> - Officially withdrew and enrolled in ABE, adult secondary education, or adult ESL program
</t>
    </r>
    <r>
      <rPr>
        <b/>
        <sz val="11"/>
        <color theme="1"/>
        <rFont val="Calibri"/>
        <family val="2"/>
        <scheme val="minor"/>
      </rPr>
      <t>73061</t>
    </r>
    <r>
      <rPr>
        <sz val="11"/>
        <color theme="1"/>
        <rFont val="Calibri"/>
        <family val="2"/>
        <scheme val="minor"/>
      </rPr>
      <t xml:space="preserve"> - Officially withdrew and enrolled in a workforce training program
</t>
    </r>
    <r>
      <rPr>
        <b/>
        <sz val="11"/>
        <color theme="1"/>
        <rFont val="Calibri"/>
        <family val="2"/>
        <scheme val="minor"/>
      </rPr>
      <t>09999</t>
    </r>
    <r>
      <rPr>
        <sz val="11"/>
        <color theme="1"/>
        <rFont val="Calibri"/>
        <family val="2"/>
        <scheme val="minor"/>
      </rPr>
      <t xml:space="preserve"> - Other
</t>
    </r>
  </si>
  <si>
    <r>
      <t>06262</t>
    </r>
    <r>
      <rPr>
        <sz val="11"/>
        <color theme="1"/>
        <rFont val="Calibri"/>
        <family val="2"/>
        <scheme val="minor"/>
      </rPr>
      <t xml:space="preserve"> - Attempts to contact the parent and/or child were unsuccessful
</t>
    </r>
    <r>
      <rPr>
        <b/>
        <sz val="11"/>
        <color theme="1"/>
        <rFont val="Calibri"/>
        <family val="2"/>
        <scheme val="minor"/>
      </rPr>
      <t>02226</t>
    </r>
    <r>
      <rPr>
        <sz val="11"/>
        <color theme="1"/>
        <rFont val="Calibri"/>
        <family val="2"/>
        <scheme val="minor"/>
      </rPr>
      <t xml:space="preserve"> - Completion of IFSP prior to reaching maximum age for Part C
</t>
    </r>
    <r>
      <rPr>
        <b/>
        <sz val="11"/>
        <color theme="1"/>
        <rFont val="Calibri"/>
        <family val="2"/>
        <scheme val="minor"/>
      </rPr>
      <t>01923</t>
    </r>
    <r>
      <rPr>
        <sz val="11"/>
        <color theme="1"/>
        <rFont val="Calibri"/>
        <family val="2"/>
        <scheme val="minor"/>
      </rPr>
      <t xml:space="preserve"> - Died or is permanently incapacitated
</t>
    </r>
    <r>
      <rPr>
        <b/>
        <sz val="11"/>
        <color theme="1"/>
        <rFont val="Calibri"/>
        <family val="2"/>
        <scheme val="minor"/>
      </rPr>
      <t>01927</t>
    </r>
    <r>
      <rPr>
        <sz val="11"/>
        <color theme="1"/>
        <rFont val="Calibri"/>
        <family val="2"/>
        <scheme val="minor"/>
      </rPr>
      <t xml:space="preserve"> - Discontinued schooling
</t>
    </r>
    <r>
      <rPr>
        <b/>
        <sz val="11"/>
        <color theme="1"/>
        <rFont val="Calibri"/>
        <family val="2"/>
        <scheme val="minor"/>
      </rPr>
      <t>02222</t>
    </r>
    <r>
      <rPr>
        <sz val="11"/>
        <color theme="1"/>
        <rFont val="Calibri"/>
        <family val="2"/>
        <scheme val="minor"/>
      </rPr>
      <t xml:space="preserve"> - Discontinued schooling, not special education
</t>
    </r>
    <r>
      <rPr>
        <b/>
        <sz val="11"/>
        <color theme="1"/>
        <rFont val="Calibri"/>
        <family val="2"/>
        <scheme val="minor"/>
      </rPr>
      <t>02221</t>
    </r>
    <r>
      <rPr>
        <sz val="11"/>
        <color theme="1"/>
        <rFont val="Calibri"/>
        <family val="2"/>
        <scheme val="minor"/>
      </rPr>
      <t xml:space="preserve"> - Discontinued schooling, special education only
</t>
    </r>
    <r>
      <rPr>
        <b/>
        <sz val="11"/>
        <color theme="1"/>
        <rFont val="Calibri"/>
        <family val="2"/>
        <scheme val="minor"/>
      </rPr>
      <t>02227</t>
    </r>
    <r>
      <rPr>
        <sz val="11"/>
        <color theme="1"/>
        <rFont val="Calibri"/>
        <family val="2"/>
        <scheme val="minor"/>
      </rPr>
      <t xml:space="preserve"> - Eligible for IDEA, Part B
</t>
    </r>
    <r>
      <rPr>
        <b/>
        <sz val="11"/>
        <color theme="1"/>
        <rFont val="Calibri"/>
        <family val="2"/>
        <scheme val="minor"/>
      </rPr>
      <t>02224</t>
    </r>
    <r>
      <rPr>
        <sz val="11"/>
        <color theme="1"/>
        <rFont val="Calibri"/>
        <family val="2"/>
        <scheme val="minor"/>
      </rPr>
      <t xml:space="preserve"> - Expulsion
</t>
    </r>
    <r>
      <rPr>
        <b/>
        <sz val="11"/>
        <color theme="1"/>
        <rFont val="Calibri"/>
        <family val="2"/>
        <scheme val="minor"/>
      </rPr>
      <t>02212</t>
    </r>
    <r>
      <rPr>
        <sz val="11"/>
        <color theme="1"/>
        <rFont val="Calibri"/>
        <family val="2"/>
        <scheme val="minor"/>
      </rPr>
      <t xml:space="preserve"> - Graduated with a high school diploma
</t>
    </r>
    <r>
      <rPr>
        <b/>
        <sz val="11"/>
        <color theme="1"/>
        <rFont val="Calibri"/>
        <family val="2"/>
        <scheme val="minor"/>
      </rPr>
      <t>02231</t>
    </r>
    <r>
      <rPr>
        <sz val="11"/>
        <color theme="1"/>
        <rFont val="Calibri"/>
        <family val="2"/>
        <scheme val="minor"/>
      </rPr>
      <t xml:space="preserve"> - Moved out of state
</t>
    </r>
    <r>
      <rPr>
        <b/>
        <sz val="11"/>
        <color theme="1"/>
        <rFont val="Calibri"/>
        <family val="2"/>
        <scheme val="minor"/>
      </rPr>
      <t>02216</t>
    </r>
    <r>
      <rPr>
        <sz val="11"/>
        <color theme="1"/>
        <rFont val="Calibri"/>
        <family val="2"/>
        <scheme val="minor"/>
      </rPr>
      <t xml:space="preserve"> - No longer receiving special education
</t>
    </r>
    <r>
      <rPr>
        <b/>
        <sz val="11"/>
        <color theme="1"/>
        <rFont val="Calibri"/>
        <family val="2"/>
        <scheme val="minor"/>
      </rPr>
      <t>06261</t>
    </r>
    <r>
      <rPr>
        <sz val="11"/>
        <color theme="1"/>
        <rFont val="Calibri"/>
        <family val="2"/>
        <scheme val="minor"/>
      </rPr>
      <t xml:space="preserve"> - Not eligible for Part B, exit with no referrals
</t>
    </r>
    <r>
      <rPr>
        <b/>
        <sz val="11"/>
        <color theme="1"/>
        <rFont val="Calibri"/>
        <family val="2"/>
        <scheme val="minor"/>
      </rPr>
      <t>73075</t>
    </r>
    <r>
      <rPr>
        <sz val="11"/>
        <color theme="1"/>
        <rFont val="Calibri"/>
        <family val="2"/>
        <scheme val="minor"/>
      </rPr>
      <t xml:space="preserve"> - Moved within the US, not known to be continuing
</t>
    </r>
    <r>
      <rPr>
        <b/>
        <sz val="11"/>
        <color theme="1"/>
        <rFont val="Calibri"/>
        <family val="2"/>
        <scheme val="minor"/>
      </rPr>
      <t>02228</t>
    </r>
    <r>
      <rPr>
        <sz val="11"/>
        <color theme="1"/>
        <rFont val="Calibri"/>
        <family val="2"/>
        <scheme val="minor"/>
      </rPr>
      <t xml:space="preserve"> - Not eligible for Part B, exit with referrals to other programs
</t>
    </r>
    <r>
      <rPr>
        <b/>
        <sz val="11"/>
        <color theme="1"/>
        <rFont val="Calibri"/>
        <family val="2"/>
        <scheme val="minor"/>
      </rPr>
      <t>02230</t>
    </r>
    <r>
      <rPr>
        <sz val="11"/>
        <color theme="1"/>
        <rFont val="Calibri"/>
        <family val="2"/>
        <scheme val="minor"/>
      </rPr>
      <t xml:space="preserve"> - Part B eligibility not determined
</t>
    </r>
    <r>
      <rPr>
        <b/>
        <sz val="11"/>
        <color theme="1"/>
        <rFont val="Calibri"/>
        <family val="2"/>
        <scheme val="minor"/>
      </rPr>
      <t>02214</t>
    </r>
    <r>
      <rPr>
        <sz val="11"/>
        <color theme="1"/>
        <rFont val="Calibri"/>
        <family val="2"/>
        <scheme val="minor"/>
      </rPr>
      <t xml:space="preserve"> - Program completion
</t>
    </r>
    <r>
      <rPr>
        <b/>
        <sz val="11"/>
        <color theme="1"/>
        <rFont val="Calibri"/>
        <family val="2"/>
        <scheme val="minor"/>
      </rPr>
      <t>02225</t>
    </r>
    <r>
      <rPr>
        <sz val="11"/>
        <color theme="1"/>
        <rFont val="Calibri"/>
        <family val="2"/>
        <scheme val="minor"/>
      </rPr>
      <t xml:space="preserve"> - Program discontinued
</t>
    </r>
    <r>
      <rPr>
        <b/>
        <sz val="11"/>
        <color theme="1"/>
        <rFont val="Calibri"/>
        <family val="2"/>
        <scheme val="minor"/>
      </rPr>
      <t>02215</t>
    </r>
    <r>
      <rPr>
        <sz val="11"/>
        <color theme="1"/>
        <rFont val="Calibri"/>
        <family val="2"/>
        <scheme val="minor"/>
      </rPr>
      <t xml:space="preserve"> - Reached maximum age
</t>
    </r>
    <r>
      <rPr>
        <b/>
        <sz val="11"/>
        <color theme="1"/>
        <rFont val="Calibri"/>
        <family val="2"/>
        <scheme val="minor"/>
      </rPr>
      <t>02213</t>
    </r>
    <r>
      <rPr>
        <sz val="11"/>
        <color theme="1"/>
        <rFont val="Calibri"/>
        <family val="2"/>
        <scheme val="minor"/>
      </rPr>
      <t xml:space="preserve"> - Received certificate of completion, modified diploma, or finished IEP requirements
</t>
    </r>
    <r>
      <rPr>
        <b/>
        <sz val="11"/>
        <color theme="1"/>
        <rFont val="Calibri"/>
        <family val="2"/>
        <scheme val="minor"/>
      </rPr>
      <t>02217</t>
    </r>
    <r>
      <rPr>
        <sz val="11"/>
        <color theme="1"/>
        <rFont val="Calibri"/>
        <family val="2"/>
        <scheme val="minor"/>
      </rPr>
      <t xml:space="preserve"> - Refused services
</t>
    </r>
    <r>
      <rPr>
        <b/>
        <sz val="11"/>
        <color theme="1"/>
        <rFont val="Calibri"/>
        <family val="2"/>
        <scheme val="minor"/>
      </rPr>
      <t>73076</t>
    </r>
    <r>
      <rPr>
        <sz val="11"/>
        <color theme="1"/>
        <rFont val="Calibri"/>
        <family val="2"/>
        <scheme val="minor"/>
      </rPr>
      <t xml:space="preserve"> - Student data claimed in error/never attended
</t>
    </r>
    <r>
      <rPr>
        <b/>
        <sz val="11"/>
        <color theme="1"/>
        <rFont val="Calibri"/>
        <family val="2"/>
        <scheme val="minor"/>
      </rPr>
      <t>73078</t>
    </r>
    <r>
      <rPr>
        <sz val="11"/>
        <color theme="1"/>
        <rFont val="Calibri"/>
        <family val="2"/>
        <scheme val="minor"/>
      </rPr>
      <t xml:space="preserve"> - Student moved to another country, may or may not be continuing
</t>
    </r>
    <r>
      <rPr>
        <b/>
        <sz val="11"/>
        <color theme="1"/>
        <rFont val="Calibri"/>
        <family val="2"/>
        <scheme val="minor"/>
      </rPr>
      <t>73079</t>
    </r>
    <r>
      <rPr>
        <sz val="11"/>
        <color theme="1"/>
        <rFont val="Calibri"/>
        <family val="2"/>
        <scheme val="minor"/>
      </rPr>
      <t xml:space="preserve"> - Student with disabilities remaining in school to receive transitional services
</t>
    </r>
    <r>
      <rPr>
        <b/>
        <sz val="11"/>
        <color theme="1"/>
        <rFont val="Calibri"/>
        <family val="2"/>
        <scheme val="minor"/>
      </rPr>
      <t>02220</t>
    </r>
    <r>
      <rPr>
        <sz val="11"/>
        <color theme="1"/>
        <rFont val="Calibri"/>
        <family val="2"/>
        <scheme val="minor"/>
      </rPr>
      <t xml:space="preserve"> - Suspended from school
</t>
    </r>
    <r>
      <rPr>
        <b/>
        <sz val="11"/>
        <color theme="1"/>
        <rFont val="Calibri"/>
        <family val="2"/>
        <scheme val="minor"/>
      </rPr>
      <t>02406</t>
    </r>
    <r>
      <rPr>
        <sz val="11"/>
        <color theme="1"/>
        <rFont val="Calibri"/>
        <family val="2"/>
        <scheme val="minor"/>
      </rPr>
      <t xml:space="preserve"> - Transferred to another district or school, known not to be continuing in program/service
</t>
    </r>
    <r>
      <rPr>
        <b/>
        <sz val="11"/>
        <color theme="1"/>
        <rFont val="Calibri"/>
        <family val="2"/>
        <scheme val="minor"/>
      </rPr>
      <t>02218</t>
    </r>
    <r>
      <rPr>
        <sz val="11"/>
        <color theme="1"/>
        <rFont val="Calibri"/>
        <family val="2"/>
        <scheme val="minor"/>
      </rPr>
      <t xml:space="preserve"> - Transferred to another district or school, known to be continuing in program/service
</t>
    </r>
    <r>
      <rPr>
        <b/>
        <sz val="11"/>
        <color theme="1"/>
        <rFont val="Calibri"/>
        <family val="2"/>
        <scheme val="minor"/>
      </rPr>
      <t>02219</t>
    </r>
    <r>
      <rPr>
        <sz val="11"/>
        <color theme="1"/>
        <rFont val="Calibri"/>
        <family val="2"/>
        <scheme val="minor"/>
      </rPr>
      <t xml:space="preserve"> - Transferred to another district or school, not known to be continuing in program/service
</t>
    </r>
    <r>
      <rPr>
        <b/>
        <sz val="11"/>
        <color theme="1"/>
        <rFont val="Calibri"/>
        <family val="2"/>
        <scheme val="minor"/>
      </rPr>
      <t>73077</t>
    </r>
    <r>
      <rPr>
        <sz val="11"/>
        <color theme="1"/>
        <rFont val="Calibri"/>
        <family val="2"/>
        <scheme val="minor"/>
      </rPr>
      <t xml:space="preserve"> - Transferred to a juvenile or adult correctional facility where educational services are not provided
</t>
    </r>
    <r>
      <rPr>
        <b/>
        <sz val="11"/>
        <color theme="1"/>
        <rFont val="Calibri"/>
        <family val="2"/>
        <scheme val="minor"/>
      </rPr>
      <t>02233</t>
    </r>
    <r>
      <rPr>
        <sz val="11"/>
        <color theme="1"/>
        <rFont val="Calibri"/>
        <family val="2"/>
        <scheme val="minor"/>
      </rPr>
      <t xml:space="preserve"> - Unknown reason
</t>
    </r>
    <r>
      <rPr>
        <b/>
        <sz val="11"/>
        <color theme="1"/>
        <rFont val="Calibri"/>
        <family val="2"/>
        <scheme val="minor"/>
      </rPr>
      <t>02232</t>
    </r>
    <r>
      <rPr>
        <sz val="11"/>
        <color theme="1"/>
        <rFont val="Calibri"/>
        <family val="2"/>
        <scheme val="minor"/>
      </rPr>
      <t xml:space="preserve"> - Withdrawal by a parent (or guardian)
</t>
    </r>
    <r>
      <rPr>
        <b/>
        <sz val="11"/>
        <color theme="1"/>
        <rFont val="Calibri"/>
        <family val="2"/>
        <scheme val="minor"/>
      </rPr>
      <t>09999</t>
    </r>
    <r>
      <rPr>
        <sz val="11"/>
        <color theme="1"/>
        <rFont val="Calibri"/>
        <family val="2"/>
        <scheme val="minor"/>
      </rPr>
      <t xml:space="preserve"> - Other
</t>
    </r>
  </si>
  <si>
    <r>
      <t>ForProfit</t>
    </r>
    <r>
      <rPr>
        <sz val="11"/>
        <color theme="1"/>
        <rFont val="Calibri"/>
        <family val="2"/>
        <scheme val="minor"/>
      </rPr>
      <t xml:space="preserve"> - For-profit facility
</t>
    </r>
    <r>
      <rPr>
        <b/>
        <sz val="11"/>
        <color theme="1"/>
        <rFont val="Calibri"/>
        <family val="2"/>
        <scheme val="minor"/>
      </rPr>
      <t>NonProfit</t>
    </r>
    <r>
      <rPr>
        <sz val="11"/>
        <color theme="1"/>
        <rFont val="Calibri"/>
        <family val="2"/>
        <scheme val="minor"/>
      </rPr>
      <t xml:space="preserve"> - Non-profit facility
</t>
    </r>
    <r>
      <rPr>
        <b/>
        <sz val="11"/>
        <color theme="1"/>
        <rFont val="Calibri"/>
        <family val="2"/>
        <scheme val="minor"/>
      </rPr>
      <t>GovernmentRun</t>
    </r>
    <r>
      <rPr>
        <sz val="11"/>
        <color theme="1"/>
        <rFont val="Calibri"/>
        <family val="2"/>
        <scheme val="minor"/>
      </rPr>
      <t xml:space="preserve"> - Government run facility
</t>
    </r>
  </si>
  <si>
    <r>
      <t>02633</t>
    </r>
    <r>
      <rPr>
        <sz val="11"/>
        <color theme="1"/>
        <rFont val="Calibri"/>
        <family val="2"/>
        <scheme val="minor"/>
      </rPr>
      <t xml:space="preserve"> - Administration
</t>
    </r>
    <r>
      <rPr>
        <b/>
        <sz val="11"/>
        <color theme="1"/>
        <rFont val="Calibri"/>
        <family val="2"/>
        <scheme val="minor"/>
      </rPr>
      <t>02634</t>
    </r>
    <r>
      <rPr>
        <sz val="11"/>
        <color theme="1"/>
        <rFont val="Calibri"/>
        <family val="2"/>
        <scheme val="minor"/>
      </rPr>
      <t xml:space="preserve"> - Assembly
</t>
    </r>
    <r>
      <rPr>
        <b/>
        <sz val="11"/>
        <color theme="1"/>
        <rFont val="Calibri"/>
        <family val="2"/>
        <scheme val="minor"/>
      </rPr>
      <t>02631</t>
    </r>
    <r>
      <rPr>
        <sz val="11"/>
        <color theme="1"/>
        <rFont val="Calibri"/>
        <family val="2"/>
        <scheme val="minor"/>
      </rPr>
      <t xml:space="preserve"> - Athletic
</t>
    </r>
    <r>
      <rPr>
        <b/>
        <sz val="11"/>
        <color theme="1"/>
        <rFont val="Calibri"/>
        <family val="2"/>
        <scheme val="minor"/>
      </rPr>
      <t>02628</t>
    </r>
    <r>
      <rPr>
        <sz val="11"/>
        <color theme="1"/>
        <rFont val="Calibri"/>
        <family val="2"/>
        <scheme val="minor"/>
      </rPr>
      <t xml:space="preserve"> - Basic classroom
</t>
    </r>
    <r>
      <rPr>
        <b/>
        <sz val="11"/>
        <color theme="1"/>
        <rFont val="Calibri"/>
        <family val="2"/>
        <scheme val="minor"/>
      </rPr>
      <t>02635</t>
    </r>
    <r>
      <rPr>
        <sz val="11"/>
        <color theme="1"/>
        <rFont val="Calibri"/>
        <family val="2"/>
        <scheme val="minor"/>
      </rPr>
      <t xml:space="preserve"> - Corridors
</t>
    </r>
    <r>
      <rPr>
        <b/>
        <sz val="11"/>
        <color theme="1"/>
        <rFont val="Calibri"/>
        <family val="2"/>
        <scheme val="minor"/>
      </rPr>
      <t>02639</t>
    </r>
    <r>
      <rPr>
        <sz val="11"/>
        <color theme="1"/>
        <rFont val="Calibri"/>
        <family val="2"/>
        <scheme val="minor"/>
      </rPr>
      <t xml:space="preserve"> - Dormitory room
</t>
    </r>
    <r>
      <rPr>
        <b/>
        <sz val="11"/>
        <color theme="1"/>
        <rFont val="Calibri"/>
        <family val="2"/>
        <scheme val="minor"/>
      </rPr>
      <t>02638</t>
    </r>
    <r>
      <rPr>
        <sz val="11"/>
        <color theme="1"/>
        <rFont val="Calibri"/>
        <family val="2"/>
        <scheme val="minor"/>
      </rPr>
      <t xml:space="preserve"> - Food service
</t>
    </r>
    <r>
      <rPr>
        <b/>
        <sz val="11"/>
        <color theme="1"/>
        <rFont val="Calibri"/>
        <family val="2"/>
        <scheme val="minor"/>
      </rPr>
      <t>02630</t>
    </r>
    <r>
      <rPr>
        <sz val="11"/>
        <color theme="1"/>
        <rFont val="Calibri"/>
        <family val="2"/>
        <scheme val="minor"/>
      </rPr>
      <t xml:space="preserve"> - Library/media
</t>
    </r>
    <r>
      <rPr>
        <b/>
        <sz val="11"/>
        <color theme="1"/>
        <rFont val="Calibri"/>
        <family val="2"/>
        <scheme val="minor"/>
      </rPr>
      <t>02773</t>
    </r>
    <r>
      <rPr>
        <sz val="11"/>
        <color theme="1"/>
        <rFont val="Calibri"/>
        <family val="2"/>
        <scheme val="minor"/>
      </rPr>
      <t xml:space="preserve"> - Multi-purpose room
</t>
    </r>
    <r>
      <rPr>
        <b/>
        <sz val="11"/>
        <color theme="1"/>
        <rFont val="Calibri"/>
        <family val="2"/>
        <scheme val="minor"/>
      </rPr>
      <t>02636</t>
    </r>
    <r>
      <rPr>
        <sz val="11"/>
        <color theme="1"/>
        <rFont val="Calibri"/>
        <family val="2"/>
        <scheme val="minor"/>
      </rPr>
      <t xml:space="preserve"> - Operational support
</t>
    </r>
    <r>
      <rPr>
        <b/>
        <sz val="11"/>
        <color theme="1"/>
        <rFont val="Calibri"/>
        <family val="2"/>
        <scheme val="minor"/>
      </rPr>
      <t>03017</t>
    </r>
    <r>
      <rPr>
        <sz val="11"/>
        <color theme="1"/>
        <rFont val="Calibri"/>
        <family val="2"/>
        <scheme val="minor"/>
      </rPr>
      <t xml:space="preserve"> - Restroom
</t>
    </r>
    <r>
      <rPr>
        <b/>
        <sz val="11"/>
        <color theme="1"/>
        <rFont val="Calibri"/>
        <family val="2"/>
        <scheme val="minor"/>
      </rPr>
      <t>02629</t>
    </r>
    <r>
      <rPr>
        <sz val="11"/>
        <color theme="1"/>
        <rFont val="Calibri"/>
        <family val="2"/>
        <scheme val="minor"/>
      </rPr>
      <t xml:space="preserve"> - Specialty classroom
</t>
    </r>
    <r>
      <rPr>
        <b/>
        <sz val="11"/>
        <color theme="1"/>
        <rFont val="Calibri"/>
        <family val="2"/>
        <scheme val="minor"/>
      </rPr>
      <t>02637</t>
    </r>
    <r>
      <rPr>
        <sz val="11"/>
        <color theme="1"/>
        <rFont val="Calibri"/>
        <family val="2"/>
        <scheme val="minor"/>
      </rPr>
      <t xml:space="preserve"> - Storage
</t>
    </r>
    <r>
      <rPr>
        <b/>
        <sz val="11"/>
        <color theme="1"/>
        <rFont val="Calibri"/>
        <family val="2"/>
        <scheme val="minor"/>
      </rPr>
      <t>02788</t>
    </r>
    <r>
      <rPr>
        <sz val="11"/>
        <color theme="1"/>
        <rFont val="Calibri"/>
        <family val="2"/>
        <scheme val="minor"/>
      </rPr>
      <t xml:space="preserve"> - Storage - hazardous materials
</t>
    </r>
    <r>
      <rPr>
        <b/>
        <sz val="11"/>
        <color theme="1"/>
        <rFont val="Calibri"/>
        <family val="2"/>
        <scheme val="minor"/>
      </rPr>
      <t>02632</t>
    </r>
    <r>
      <rPr>
        <sz val="11"/>
        <color theme="1"/>
        <rFont val="Calibri"/>
        <family val="2"/>
        <scheme val="minor"/>
      </rPr>
      <t xml:space="preserve"> - Student support
</t>
    </r>
    <r>
      <rPr>
        <b/>
        <sz val="11"/>
        <color theme="1"/>
        <rFont val="Calibri"/>
        <family val="2"/>
        <scheme val="minor"/>
      </rPr>
      <t>09999</t>
    </r>
    <r>
      <rPr>
        <sz val="11"/>
        <color theme="1"/>
        <rFont val="Calibri"/>
        <family val="2"/>
        <scheme val="minor"/>
      </rPr>
      <t xml:space="preserve"> - Other
</t>
    </r>
  </si>
  <si>
    <r>
      <t>FAL1</t>
    </r>
    <r>
      <rPr>
        <sz val="11"/>
        <color theme="1"/>
        <rFont val="Calibri"/>
        <family val="2"/>
        <scheme val="minor"/>
      </rPr>
      <t xml:space="preserve"> - Level 1 (lowest level)
</t>
    </r>
    <r>
      <rPr>
        <b/>
        <sz val="11"/>
        <color theme="1"/>
        <rFont val="Calibri"/>
        <family val="2"/>
        <scheme val="minor"/>
      </rPr>
      <t>FAL2</t>
    </r>
    <r>
      <rPr>
        <sz val="11"/>
        <color theme="1"/>
        <rFont val="Calibri"/>
        <family val="2"/>
        <scheme val="minor"/>
      </rPr>
      <t xml:space="preserve"> - Level 2
</t>
    </r>
    <r>
      <rPr>
        <b/>
        <sz val="11"/>
        <color theme="1"/>
        <rFont val="Calibri"/>
        <family val="2"/>
        <scheme val="minor"/>
      </rPr>
      <t>FAL3</t>
    </r>
    <r>
      <rPr>
        <sz val="11"/>
        <color theme="1"/>
        <rFont val="Calibri"/>
        <family val="2"/>
        <scheme val="minor"/>
      </rPr>
      <t xml:space="preserve"> - Level 3
</t>
    </r>
    <r>
      <rPr>
        <b/>
        <sz val="11"/>
        <color theme="1"/>
        <rFont val="Calibri"/>
        <family val="2"/>
        <scheme val="minor"/>
      </rPr>
      <t>FAL4</t>
    </r>
    <r>
      <rPr>
        <sz val="11"/>
        <color theme="1"/>
        <rFont val="Calibri"/>
        <family val="2"/>
        <scheme val="minor"/>
      </rPr>
      <t xml:space="preserve"> - Level 4
</t>
    </r>
    <r>
      <rPr>
        <b/>
        <sz val="11"/>
        <color theme="1"/>
        <rFont val="Calibri"/>
        <family val="2"/>
        <scheme val="minor"/>
      </rPr>
      <t>FAL5</t>
    </r>
    <r>
      <rPr>
        <sz val="11"/>
        <color theme="1"/>
        <rFont val="Calibri"/>
        <family val="2"/>
        <scheme val="minor"/>
      </rPr>
      <t xml:space="preserve"> - Level 5
</t>
    </r>
    <r>
      <rPr>
        <b/>
        <sz val="11"/>
        <color theme="1"/>
        <rFont val="Calibri"/>
        <family val="2"/>
        <scheme val="minor"/>
      </rPr>
      <t>FAL6</t>
    </r>
    <r>
      <rPr>
        <sz val="11"/>
        <color theme="1"/>
        <rFont val="Calibri"/>
        <family val="2"/>
        <scheme val="minor"/>
      </rPr>
      <t xml:space="preserve"> - Level 6 (highest level)
</t>
    </r>
    <r>
      <rPr>
        <b/>
        <sz val="11"/>
        <color theme="1"/>
        <rFont val="Calibri"/>
        <family val="2"/>
        <scheme val="minor"/>
      </rPr>
      <t>EVALNR</t>
    </r>
    <r>
      <rPr>
        <sz val="11"/>
        <color theme="1"/>
        <rFont val="Calibri"/>
        <family val="2"/>
        <scheme val="minor"/>
      </rPr>
      <t xml:space="preserve"> - Evaluated, not ranked
</t>
    </r>
  </si>
  <si>
    <r>
      <t>01</t>
    </r>
    <r>
      <rPr>
        <sz val="11"/>
        <color theme="1"/>
        <rFont val="Calibri"/>
        <family val="2"/>
        <scheme val="minor"/>
      </rPr>
      <t xml:space="preserve"> - Less than high school
</t>
    </r>
    <r>
      <rPr>
        <b/>
        <sz val="11"/>
        <color theme="1"/>
        <rFont val="Calibri"/>
        <family val="2"/>
        <scheme val="minor"/>
      </rPr>
      <t>02</t>
    </r>
    <r>
      <rPr>
        <sz val="11"/>
        <color theme="1"/>
        <rFont val="Calibri"/>
        <family val="2"/>
        <scheme val="minor"/>
      </rPr>
      <t xml:space="preserve"> - High school diploma or equivalent
</t>
    </r>
    <r>
      <rPr>
        <b/>
        <sz val="11"/>
        <color theme="1"/>
        <rFont val="Calibri"/>
        <family val="2"/>
        <scheme val="minor"/>
      </rPr>
      <t>03</t>
    </r>
    <r>
      <rPr>
        <sz val="11"/>
        <color theme="1"/>
        <rFont val="Calibri"/>
        <family val="2"/>
        <scheme val="minor"/>
      </rPr>
      <t xml:space="preserve"> - Some college but no formal award
</t>
    </r>
    <r>
      <rPr>
        <b/>
        <sz val="11"/>
        <color theme="1"/>
        <rFont val="Calibri"/>
        <family val="2"/>
        <scheme val="minor"/>
      </rPr>
      <t>04</t>
    </r>
    <r>
      <rPr>
        <sz val="11"/>
        <color theme="1"/>
        <rFont val="Calibri"/>
        <family val="2"/>
        <scheme val="minor"/>
      </rPr>
      <t xml:space="preserve"> - Certificate, less than an Associate's degree
</t>
    </r>
    <r>
      <rPr>
        <b/>
        <sz val="11"/>
        <color theme="1"/>
        <rFont val="Calibri"/>
        <family val="2"/>
        <scheme val="minor"/>
      </rPr>
      <t>05</t>
    </r>
    <r>
      <rPr>
        <sz val="11"/>
        <color theme="1"/>
        <rFont val="Calibri"/>
        <family val="2"/>
        <scheme val="minor"/>
      </rPr>
      <t xml:space="preserve"> - Associate's degree
</t>
    </r>
    <r>
      <rPr>
        <b/>
        <sz val="11"/>
        <color theme="1"/>
        <rFont val="Calibri"/>
        <family val="2"/>
        <scheme val="minor"/>
      </rPr>
      <t>06</t>
    </r>
    <r>
      <rPr>
        <sz val="11"/>
        <color theme="1"/>
        <rFont val="Calibri"/>
        <family val="2"/>
        <scheme val="minor"/>
      </rPr>
      <t xml:space="preserve"> - Baccalaureate degree
</t>
    </r>
    <r>
      <rPr>
        <b/>
        <sz val="11"/>
        <color theme="1"/>
        <rFont val="Calibri"/>
        <family val="2"/>
        <scheme val="minor"/>
      </rPr>
      <t>07</t>
    </r>
    <r>
      <rPr>
        <sz val="11"/>
        <color theme="1"/>
        <rFont val="Calibri"/>
        <family val="2"/>
        <scheme val="minor"/>
      </rPr>
      <t xml:space="preserve"> - Master's degree
</t>
    </r>
    <r>
      <rPr>
        <b/>
        <sz val="11"/>
        <color theme="1"/>
        <rFont val="Calibri"/>
        <family val="2"/>
        <scheme val="minor"/>
      </rPr>
      <t>08</t>
    </r>
    <r>
      <rPr>
        <sz val="11"/>
        <color theme="1"/>
        <rFont val="Calibri"/>
        <family val="2"/>
        <scheme val="minor"/>
      </rPr>
      <t xml:space="preserve"> - Doctoral/Professional degree
</t>
    </r>
    <r>
      <rPr>
        <b/>
        <sz val="11"/>
        <color theme="1"/>
        <rFont val="Calibri"/>
        <family val="2"/>
        <scheme val="minor"/>
      </rPr>
      <t>09</t>
    </r>
    <r>
      <rPr>
        <sz val="11"/>
        <color theme="1"/>
        <rFont val="Calibri"/>
        <family val="2"/>
        <scheme val="minor"/>
      </rPr>
      <t xml:space="preserve"> - Unknown
</t>
    </r>
  </si>
  <si>
    <r>
      <t>RETAINED</t>
    </r>
    <r>
      <rPr>
        <sz val="11"/>
        <color theme="1"/>
        <rFont val="Calibri"/>
        <family val="2"/>
        <scheme val="minor"/>
      </rPr>
      <t xml:space="preserve"> - Retained by SEA for program administration, etc.
</t>
    </r>
    <r>
      <rPr>
        <b/>
        <sz val="11"/>
        <color theme="1"/>
        <rFont val="Calibri"/>
        <family val="2"/>
        <scheme val="minor"/>
      </rPr>
      <t>TRANSFER</t>
    </r>
    <r>
      <rPr>
        <sz val="11"/>
        <color theme="1"/>
        <rFont val="Calibri"/>
        <family val="2"/>
        <scheme val="minor"/>
      </rPr>
      <t xml:space="preserve"> - Transferred to another state agency
</t>
    </r>
    <r>
      <rPr>
        <b/>
        <sz val="11"/>
        <color theme="1"/>
        <rFont val="Calibri"/>
        <family val="2"/>
        <scheme val="minor"/>
      </rPr>
      <t>DISTNONLEA</t>
    </r>
    <r>
      <rPr>
        <sz val="11"/>
        <color theme="1"/>
        <rFont val="Calibri"/>
        <family val="2"/>
        <scheme val="minor"/>
      </rPr>
      <t xml:space="preserve"> - Distributed to entities other than LEAs
</t>
    </r>
    <r>
      <rPr>
        <b/>
        <sz val="11"/>
        <color theme="1"/>
        <rFont val="Calibri"/>
        <family val="2"/>
        <scheme val="minor"/>
      </rPr>
      <t>UNALLOC</t>
    </r>
    <r>
      <rPr>
        <sz val="11"/>
        <color theme="1"/>
        <rFont val="Calibri"/>
        <family val="2"/>
        <scheme val="minor"/>
      </rPr>
      <t xml:space="preserve"> - Unallocated or returned funds
</t>
    </r>
  </si>
  <si>
    <r>
      <t>Assets</t>
    </r>
    <r>
      <rPr>
        <sz val="11"/>
        <color theme="1"/>
        <rFont val="Calibri"/>
        <family val="2"/>
        <scheme val="minor"/>
      </rPr>
      <t xml:space="preserve"> - Assets
</t>
    </r>
    <r>
      <rPr>
        <b/>
        <sz val="11"/>
        <color theme="1"/>
        <rFont val="Calibri"/>
        <family val="2"/>
        <scheme val="minor"/>
      </rPr>
      <t>Liabilities</t>
    </r>
    <r>
      <rPr>
        <sz val="11"/>
        <color theme="1"/>
        <rFont val="Calibri"/>
        <family val="2"/>
        <scheme val="minor"/>
      </rPr>
      <t xml:space="preserve"> - Liabilities
</t>
    </r>
    <r>
      <rPr>
        <b/>
        <sz val="11"/>
        <color theme="1"/>
        <rFont val="Calibri"/>
        <family val="2"/>
        <scheme val="minor"/>
      </rPr>
      <t>Equity</t>
    </r>
    <r>
      <rPr>
        <sz val="11"/>
        <color theme="1"/>
        <rFont val="Calibri"/>
        <family val="2"/>
        <scheme val="minor"/>
      </rPr>
      <t xml:space="preserve"> - Equity
</t>
    </r>
    <r>
      <rPr>
        <b/>
        <sz val="11"/>
        <color theme="1"/>
        <rFont val="Calibri"/>
        <family val="2"/>
        <scheme val="minor"/>
      </rPr>
      <t>Revenue</t>
    </r>
    <r>
      <rPr>
        <sz val="11"/>
        <color theme="1"/>
        <rFont val="Calibri"/>
        <family val="2"/>
        <scheme val="minor"/>
      </rPr>
      <t xml:space="preserve"> - Revenue and Other Financing Sources
</t>
    </r>
    <r>
      <rPr>
        <b/>
        <sz val="11"/>
        <color theme="1"/>
        <rFont val="Calibri"/>
        <family val="2"/>
        <scheme val="minor"/>
      </rPr>
      <t>Expenditures</t>
    </r>
    <r>
      <rPr>
        <sz val="11"/>
        <color theme="1"/>
        <rFont val="Calibri"/>
        <family val="2"/>
        <scheme val="minor"/>
      </rPr>
      <t xml:space="preserve"> - Expenditures
</t>
    </r>
  </si>
  <si>
    <r>
      <t>1</t>
    </r>
    <r>
      <rPr>
        <sz val="11"/>
        <color theme="1"/>
        <rFont val="Calibri"/>
        <family val="2"/>
        <scheme val="minor"/>
      </rPr>
      <t xml:space="preserve"> - General Fund
</t>
    </r>
    <r>
      <rPr>
        <b/>
        <sz val="11"/>
        <color theme="1"/>
        <rFont val="Calibri"/>
        <family val="2"/>
        <scheme val="minor"/>
      </rPr>
      <t>2</t>
    </r>
    <r>
      <rPr>
        <sz val="11"/>
        <color theme="1"/>
        <rFont val="Calibri"/>
        <family val="2"/>
        <scheme val="minor"/>
      </rPr>
      <t xml:space="preserve"> - Special Revenue Funds
</t>
    </r>
    <r>
      <rPr>
        <b/>
        <sz val="11"/>
        <color theme="1"/>
        <rFont val="Calibri"/>
        <family val="2"/>
        <scheme val="minor"/>
      </rPr>
      <t>3</t>
    </r>
    <r>
      <rPr>
        <sz val="11"/>
        <color theme="1"/>
        <rFont val="Calibri"/>
        <family val="2"/>
        <scheme val="minor"/>
      </rPr>
      <t xml:space="preserve"> - Capital Projects Funds
</t>
    </r>
    <r>
      <rPr>
        <b/>
        <sz val="11"/>
        <color theme="1"/>
        <rFont val="Calibri"/>
        <family val="2"/>
        <scheme val="minor"/>
      </rPr>
      <t>4</t>
    </r>
    <r>
      <rPr>
        <sz val="11"/>
        <color theme="1"/>
        <rFont val="Calibri"/>
        <family val="2"/>
        <scheme val="minor"/>
      </rPr>
      <t xml:space="preserve"> - Debt Service Funds
</t>
    </r>
    <r>
      <rPr>
        <b/>
        <sz val="11"/>
        <color theme="1"/>
        <rFont val="Calibri"/>
        <family val="2"/>
        <scheme val="minor"/>
      </rPr>
      <t>5</t>
    </r>
    <r>
      <rPr>
        <sz val="11"/>
        <color theme="1"/>
        <rFont val="Calibri"/>
        <family val="2"/>
        <scheme val="minor"/>
      </rPr>
      <t xml:space="preserve"> - Permanent Funds
</t>
    </r>
    <r>
      <rPr>
        <b/>
        <sz val="11"/>
        <color theme="1"/>
        <rFont val="Calibri"/>
        <family val="2"/>
        <scheme val="minor"/>
      </rPr>
      <t>6</t>
    </r>
    <r>
      <rPr>
        <sz val="11"/>
        <color theme="1"/>
        <rFont val="Calibri"/>
        <family val="2"/>
        <scheme val="minor"/>
      </rPr>
      <t xml:space="preserve"> - Enterprise Funds
</t>
    </r>
    <r>
      <rPr>
        <b/>
        <sz val="11"/>
        <color theme="1"/>
        <rFont val="Calibri"/>
        <family val="2"/>
        <scheme val="minor"/>
      </rPr>
      <t>7</t>
    </r>
    <r>
      <rPr>
        <sz val="11"/>
        <color theme="1"/>
        <rFont val="Calibri"/>
        <family val="2"/>
        <scheme val="minor"/>
      </rPr>
      <t xml:space="preserve"> - Internal Service Funds
</t>
    </r>
    <r>
      <rPr>
        <b/>
        <sz val="11"/>
        <color theme="1"/>
        <rFont val="Calibri"/>
        <family val="2"/>
        <scheme val="minor"/>
      </rPr>
      <t>8</t>
    </r>
    <r>
      <rPr>
        <sz val="11"/>
        <color theme="1"/>
        <rFont val="Calibri"/>
        <family val="2"/>
        <scheme val="minor"/>
      </rPr>
      <t xml:space="preserve"> - Trust Funds
</t>
    </r>
    <r>
      <rPr>
        <b/>
        <sz val="11"/>
        <color theme="1"/>
        <rFont val="Calibri"/>
        <family val="2"/>
        <scheme val="minor"/>
      </rPr>
      <t>9</t>
    </r>
    <r>
      <rPr>
        <sz val="11"/>
        <color theme="1"/>
        <rFont val="Calibri"/>
        <family val="2"/>
        <scheme val="minor"/>
      </rPr>
      <t xml:space="preserve"> - Agency Funds
</t>
    </r>
  </si>
  <si>
    <r>
      <t>100</t>
    </r>
    <r>
      <rPr>
        <sz val="11"/>
        <color theme="1"/>
        <rFont val="Calibri"/>
        <family val="2"/>
        <scheme val="minor"/>
      </rPr>
      <t xml:space="preserve"> - Regular Elementary/Secondary Education Programs
</t>
    </r>
    <r>
      <rPr>
        <b/>
        <sz val="11"/>
        <color theme="1"/>
        <rFont val="Calibri"/>
        <family val="2"/>
        <scheme val="minor"/>
      </rPr>
      <t>200</t>
    </r>
    <r>
      <rPr>
        <sz val="11"/>
        <color theme="1"/>
        <rFont val="Calibri"/>
        <family val="2"/>
        <scheme val="minor"/>
      </rPr>
      <t xml:space="preserve"> - Special Programs
</t>
    </r>
    <r>
      <rPr>
        <b/>
        <sz val="11"/>
        <color theme="1"/>
        <rFont val="Calibri"/>
        <family val="2"/>
        <scheme val="minor"/>
      </rPr>
      <t>300</t>
    </r>
    <r>
      <rPr>
        <sz val="11"/>
        <color theme="1"/>
        <rFont val="Calibri"/>
        <family val="2"/>
        <scheme val="minor"/>
      </rPr>
      <t xml:space="preserve"> - Vocational and Technical Programs
</t>
    </r>
    <r>
      <rPr>
        <b/>
        <sz val="11"/>
        <color theme="1"/>
        <rFont val="Calibri"/>
        <family val="2"/>
        <scheme val="minor"/>
      </rPr>
      <t>400</t>
    </r>
    <r>
      <rPr>
        <sz val="11"/>
        <color theme="1"/>
        <rFont val="Calibri"/>
        <family val="2"/>
        <scheme val="minor"/>
      </rPr>
      <t xml:space="preserve"> - Other Instructional Programs—Elementary/Secondary
</t>
    </r>
    <r>
      <rPr>
        <b/>
        <sz val="11"/>
        <color theme="1"/>
        <rFont val="Calibri"/>
        <family val="2"/>
        <scheme val="minor"/>
      </rPr>
      <t>500</t>
    </r>
    <r>
      <rPr>
        <sz val="11"/>
        <color theme="1"/>
        <rFont val="Calibri"/>
        <family val="2"/>
        <scheme val="minor"/>
      </rPr>
      <t xml:space="preserve"> - Nonpublic School Programs
</t>
    </r>
    <r>
      <rPr>
        <b/>
        <sz val="11"/>
        <color theme="1"/>
        <rFont val="Calibri"/>
        <family val="2"/>
        <scheme val="minor"/>
      </rPr>
      <t>600</t>
    </r>
    <r>
      <rPr>
        <sz val="11"/>
        <color theme="1"/>
        <rFont val="Calibri"/>
        <family val="2"/>
        <scheme val="minor"/>
      </rPr>
      <t xml:space="preserve"> - Adult/Continuing Education Programs
</t>
    </r>
    <r>
      <rPr>
        <b/>
        <sz val="11"/>
        <color theme="1"/>
        <rFont val="Calibri"/>
        <family val="2"/>
        <scheme val="minor"/>
      </rPr>
      <t>700</t>
    </r>
    <r>
      <rPr>
        <sz val="11"/>
        <color theme="1"/>
        <rFont val="Calibri"/>
        <family val="2"/>
        <scheme val="minor"/>
      </rPr>
      <t xml:space="preserve"> - Community/Junior College Education Programs
</t>
    </r>
    <r>
      <rPr>
        <b/>
        <sz val="11"/>
        <color theme="1"/>
        <rFont val="Calibri"/>
        <family val="2"/>
        <scheme val="minor"/>
      </rPr>
      <t>800</t>
    </r>
    <r>
      <rPr>
        <sz val="11"/>
        <color theme="1"/>
        <rFont val="Calibri"/>
        <family val="2"/>
        <scheme val="minor"/>
      </rPr>
      <t xml:space="preserve"> - Community Services Programs
</t>
    </r>
    <r>
      <rPr>
        <b/>
        <sz val="11"/>
        <color theme="1"/>
        <rFont val="Calibri"/>
        <family val="2"/>
        <scheme val="minor"/>
      </rPr>
      <t>900</t>
    </r>
    <r>
      <rPr>
        <sz val="11"/>
        <color theme="1"/>
        <rFont val="Calibri"/>
        <family val="2"/>
        <scheme val="minor"/>
      </rPr>
      <t xml:space="preserve"> - Cocurricular and Extracurricular Activities
</t>
    </r>
  </si>
  <si>
    <r>
      <t>FAFSA</t>
    </r>
    <r>
      <rPr>
        <sz val="11"/>
        <color theme="1"/>
        <rFont val="Calibri"/>
        <family val="2"/>
        <scheme val="minor"/>
      </rPr>
      <t xml:space="preserve"> - Free Application for Federal Student Aid (FAFSA)
</t>
    </r>
    <r>
      <rPr>
        <b/>
        <sz val="11"/>
        <color theme="1"/>
        <rFont val="Calibri"/>
        <family val="2"/>
        <scheme val="minor"/>
      </rPr>
      <t>StateApplication</t>
    </r>
    <r>
      <rPr>
        <sz val="11"/>
        <color theme="1"/>
        <rFont val="Calibri"/>
        <family val="2"/>
        <scheme val="minor"/>
      </rPr>
      <t xml:space="preserve"> - State Application
</t>
    </r>
    <r>
      <rPr>
        <b/>
        <sz val="11"/>
        <color theme="1"/>
        <rFont val="Calibri"/>
        <family val="2"/>
        <scheme val="minor"/>
      </rPr>
      <t>InstitutionApplication</t>
    </r>
    <r>
      <rPr>
        <sz val="11"/>
        <color theme="1"/>
        <rFont val="Calibri"/>
        <family val="2"/>
        <scheme val="minor"/>
      </rPr>
      <t xml:space="preserve"> - Institution Application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None</t>
    </r>
    <r>
      <rPr>
        <sz val="11"/>
        <color theme="1"/>
        <rFont val="Calibri"/>
        <family val="2"/>
        <scheme val="minor"/>
      </rPr>
      <t xml:space="preserve"> - None
</t>
    </r>
  </si>
  <si>
    <r>
      <t>PellGrants</t>
    </r>
    <r>
      <rPr>
        <sz val="11"/>
        <color theme="1"/>
        <rFont val="Calibri"/>
        <family val="2"/>
        <scheme val="minor"/>
      </rPr>
      <t xml:space="preserve"> - Pell grants
</t>
    </r>
    <r>
      <rPr>
        <b/>
        <sz val="11"/>
        <color theme="1"/>
        <rFont val="Calibri"/>
        <family val="2"/>
        <scheme val="minor"/>
      </rPr>
      <t>OtherFederalGrants</t>
    </r>
    <r>
      <rPr>
        <sz val="11"/>
        <color theme="1"/>
        <rFont val="Calibri"/>
        <family val="2"/>
        <scheme val="minor"/>
      </rPr>
      <t xml:space="preserve"> - Other federal grants
</t>
    </r>
    <r>
      <rPr>
        <b/>
        <sz val="11"/>
        <color theme="1"/>
        <rFont val="Calibri"/>
        <family val="2"/>
        <scheme val="minor"/>
      </rPr>
      <t>StateAndLocalGrants</t>
    </r>
    <r>
      <rPr>
        <sz val="11"/>
        <color theme="1"/>
        <rFont val="Calibri"/>
        <family val="2"/>
        <scheme val="minor"/>
      </rPr>
      <t xml:space="preserve"> - State and local grants
</t>
    </r>
    <r>
      <rPr>
        <b/>
        <sz val="11"/>
        <color theme="1"/>
        <rFont val="Calibri"/>
        <family val="2"/>
        <scheme val="minor"/>
      </rPr>
      <t>InstitutionalGrants</t>
    </r>
    <r>
      <rPr>
        <sz val="11"/>
        <color theme="1"/>
        <rFont val="Calibri"/>
        <family val="2"/>
        <scheme val="minor"/>
      </rPr>
      <t xml:space="preserve"> - Institutional grants
</t>
    </r>
    <r>
      <rPr>
        <b/>
        <sz val="11"/>
        <color theme="1"/>
        <rFont val="Calibri"/>
        <family val="2"/>
        <scheme val="minor"/>
      </rPr>
      <t>PrivateGrants</t>
    </r>
    <r>
      <rPr>
        <sz val="11"/>
        <color theme="1"/>
        <rFont val="Calibri"/>
        <family val="2"/>
        <scheme val="minor"/>
      </rPr>
      <t xml:space="preserve"> - Private grants
</t>
    </r>
    <r>
      <rPr>
        <b/>
        <sz val="11"/>
        <color theme="1"/>
        <rFont val="Calibri"/>
        <family val="2"/>
        <scheme val="minor"/>
      </rPr>
      <t>OtherGrants</t>
    </r>
    <r>
      <rPr>
        <sz val="11"/>
        <color theme="1"/>
        <rFont val="Calibri"/>
        <family val="2"/>
        <scheme val="minor"/>
      </rPr>
      <t xml:space="preserve"> - Other grants
</t>
    </r>
    <r>
      <rPr>
        <b/>
        <sz val="11"/>
        <color theme="1"/>
        <rFont val="Calibri"/>
        <family val="2"/>
        <scheme val="minor"/>
      </rPr>
      <t>Assistantships</t>
    </r>
    <r>
      <rPr>
        <sz val="11"/>
        <color theme="1"/>
        <rFont val="Calibri"/>
        <family val="2"/>
        <scheme val="minor"/>
      </rPr>
      <t xml:space="preserve"> - Assistantships
</t>
    </r>
    <r>
      <rPr>
        <b/>
        <sz val="11"/>
        <color theme="1"/>
        <rFont val="Calibri"/>
        <family val="2"/>
        <scheme val="minor"/>
      </rPr>
      <t>FederalScholarships</t>
    </r>
    <r>
      <rPr>
        <sz val="11"/>
        <color theme="1"/>
        <rFont val="Calibri"/>
        <family val="2"/>
        <scheme val="minor"/>
      </rPr>
      <t xml:space="preserve"> - Federal scholarships
</t>
    </r>
    <r>
      <rPr>
        <b/>
        <sz val="11"/>
        <color theme="1"/>
        <rFont val="Calibri"/>
        <family val="2"/>
        <scheme val="minor"/>
      </rPr>
      <t>StateAndLocalScholarships</t>
    </r>
    <r>
      <rPr>
        <sz val="11"/>
        <color theme="1"/>
        <rFont val="Calibri"/>
        <family val="2"/>
        <scheme val="minor"/>
      </rPr>
      <t xml:space="preserve"> - State and local scholarships
</t>
    </r>
    <r>
      <rPr>
        <b/>
        <sz val="11"/>
        <color theme="1"/>
        <rFont val="Calibri"/>
        <family val="2"/>
        <scheme val="minor"/>
      </rPr>
      <t>InstitutionalScholarships</t>
    </r>
    <r>
      <rPr>
        <sz val="11"/>
        <color theme="1"/>
        <rFont val="Calibri"/>
        <family val="2"/>
        <scheme val="minor"/>
      </rPr>
      <t xml:space="preserve"> - Institutional scholarships
</t>
    </r>
    <r>
      <rPr>
        <b/>
        <sz val="11"/>
        <color theme="1"/>
        <rFont val="Calibri"/>
        <family val="2"/>
        <scheme val="minor"/>
      </rPr>
      <t>PrivateScholarships</t>
    </r>
    <r>
      <rPr>
        <sz val="11"/>
        <color theme="1"/>
        <rFont val="Calibri"/>
        <family val="2"/>
        <scheme val="minor"/>
      </rPr>
      <t xml:space="preserve"> - Private scholarships
</t>
    </r>
    <r>
      <rPr>
        <b/>
        <sz val="11"/>
        <color theme="1"/>
        <rFont val="Calibri"/>
        <family val="2"/>
        <scheme val="minor"/>
      </rPr>
      <t>OtherScholarships</t>
    </r>
    <r>
      <rPr>
        <sz val="11"/>
        <color theme="1"/>
        <rFont val="Calibri"/>
        <family val="2"/>
        <scheme val="minor"/>
      </rPr>
      <t xml:space="preserve"> - Other scholarships
</t>
    </r>
    <r>
      <rPr>
        <b/>
        <sz val="11"/>
        <color theme="1"/>
        <rFont val="Calibri"/>
        <family val="2"/>
        <scheme val="minor"/>
      </rPr>
      <t>FederalSubsidizedLoans</t>
    </r>
    <r>
      <rPr>
        <sz val="11"/>
        <color theme="1"/>
        <rFont val="Calibri"/>
        <family val="2"/>
        <scheme val="minor"/>
      </rPr>
      <t xml:space="preserve"> - Federal subsidized loans
</t>
    </r>
    <r>
      <rPr>
        <b/>
        <sz val="11"/>
        <color theme="1"/>
        <rFont val="Calibri"/>
        <family val="2"/>
        <scheme val="minor"/>
      </rPr>
      <t>FederalUnsubsidizedLoans</t>
    </r>
    <r>
      <rPr>
        <sz val="11"/>
        <color theme="1"/>
        <rFont val="Calibri"/>
        <family val="2"/>
        <scheme val="minor"/>
      </rPr>
      <t xml:space="preserve"> - Federal unsubsidized loans
</t>
    </r>
    <r>
      <rPr>
        <b/>
        <sz val="11"/>
        <color theme="1"/>
        <rFont val="Calibri"/>
        <family val="2"/>
        <scheme val="minor"/>
      </rPr>
      <t>PrivateLoans</t>
    </r>
    <r>
      <rPr>
        <sz val="11"/>
        <color theme="1"/>
        <rFont val="Calibri"/>
        <family val="2"/>
        <scheme val="minor"/>
      </rPr>
      <t xml:space="preserve"> - Private loans
</t>
    </r>
    <r>
      <rPr>
        <b/>
        <sz val="11"/>
        <color theme="1"/>
        <rFont val="Calibri"/>
        <family val="2"/>
        <scheme val="minor"/>
      </rPr>
      <t>StateLoans</t>
    </r>
    <r>
      <rPr>
        <sz val="11"/>
        <color theme="1"/>
        <rFont val="Calibri"/>
        <family val="2"/>
        <scheme val="minor"/>
      </rPr>
      <t xml:space="preserve"> - State loans
</t>
    </r>
    <r>
      <rPr>
        <b/>
        <sz val="11"/>
        <color theme="1"/>
        <rFont val="Calibri"/>
        <family val="2"/>
        <scheme val="minor"/>
      </rPr>
      <t>InstitutionalLoans</t>
    </r>
    <r>
      <rPr>
        <sz val="11"/>
        <color theme="1"/>
        <rFont val="Calibri"/>
        <family val="2"/>
        <scheme val="minor"/>
      </rPr>
      <t xml:space="preserve"> - Institutional loans
</t>
    </r>
    <r>
      <rPr>
        <b/>
        <sz val="11"/>
        <color theme="1"/>
        <rFont val="Calibri"/>
        <family val="2"/>
        <scheme val="minor"/>
      </rPr>
      <t>ParentPLUSLoans</t>
    </r>
    <r>
      <rPr>
        <sz val="11"/>
        <color theme="1"/>
        <rFont val="Calibri"/>
        <family val="2"/>
        <scheme val="minor"/>
      </rPr>
      <t xml:space="preserve"> - Parent PLUS loans
</t>
    </r>
    <r>
      <rPr>
        <b/>
        <sz val="11"/>
        <color theme="1"/>
        <rFont val="Calibri"/>
        <family val="2"/>
        <scheme val="minor"/>
      </rPr>
      <t>StateWork</t>
    </r>
    <r>
      <rPr>
        <sz val="11"/>
        <color theme="1"/>
        <rFont val="Calibri"/>
        <family val="2"/>
        <scheme val="minor"/>
      </rPr>
      <t xml:space="preserve"> - State work
</t>
    </r>
    <r>
      <rPr>
        <b/>
        <sz val="11"/>
        <color theme="1"/>
        <rFont val="Calibri"/>
        <family val="2"/>
        <scheme val="minor"/>
      </rPr>
      <t>OtherLoans</t>
    </r>
    <r>
      <rPr>
        <sz val="11"/>
        <color theme="1"/>
        <rFont val="Calibri"/>
        <family val="2"/>
        <scheme val="minor"/>
      </rPr>
      <t xml:space="preserve"> - Other loans
</t>
    </r>
    <r>
      <rPr>
        <b/>
        <sz val="11"/>
        <color theme="1"/>
        <rFont val="Calibri"/>
        <family val="2"/>
        <scheme val="minor"/>
      </rPr>
      <t>FederalWorkStudy</t>
    </r>
    <r>
      <rPr>
        <sz val="11"/>
        <color theme="1"/>
        <rFont val="Calibri"/>
        <family val="2"/>
        <scheme val="minor"/>
      </rPr>
      <t xml:space="preserve"> - Federal work study
</t>
    </r>
    <r>
      <rPr>
        <b/>
        <sz val="11"/>
        <color theme="1"/>
        <rFont val="Calibri"/>
        <family val="2"/>
        <scheme val="minor"/>
      </rPr>
      <t>OtherOnCampusWork</t>
    </r>
    <r>
      <rPr>
        <sz val="11"/>
        <color theme="1"/>
        <rFont val="Calibri"/>
        <family val="2"/>
        <scheme val="minor"/>
      </rPr>
      <t xml:space="preserve"> - Other on-campus work
</t>
    </r>
  </si>
  <si>
    <r>
      <t>102</t>
    </r>
    <r>
      <rPr>
        <sz val="11"/>
        <color theme="1"/>
        <rFont val="Calibri"/>
        <family val="2"/>
        <scheme val="minor"/>
      </rPr>
      <t xml:space="preserve"> - Cash on Hand. 
</t>
    </r>
    <r>
      <rPr>
        <b/>
        <sz val="11"/>
        <color theme="1"/>
        <rFont val="Calibri"/>
        <family val="2"/>
        <scheme val="minor"/>
      </rPr>
      <t>103</t>
    </r>
    <r>
      <rPr>
        <sz val="11"/>
        <color theme="1"/>
        <rFont val="Calibri"/>
        <family val="2"/>
        <scheme val="minor"/>
      </rPr>
      <t xml:space="preserve"> - Petty Cash. 
</t>
    </r>
    <r>
      <rPr>
        <b/>
        <sz val="11"/>
        <color theme="1"/>
        <rFont val="Calibri"/>
        <family val="2"/>
        <scheme val="minor"/>
      </rPr>
      <t>104</t>
    </r>
    <r>
      <rPr>
        <sz val="11"/>
        <color theme="1"/>
        <rFont val="Calibri"/>
        <family val="2"/>
        <scheme val="minor"/>
      </rPr>
      <t xml:space="preserve"> - Change Cash. 
</t>
    </r>
    <r>
      <rPr>
        <b/>
        <sz val="11"/>
        <color theme="1"/>
        <rFont val="Calibri"/>
        <family val="2"/>
        <scheme val="minor"/>
      </rPr>
      <t>105</t>
    </r>
    <r>
      <rPr>
        <sz val="11"/>
        <color theme="1"/>
        <rFont val="Calibri"/>
        <family val="2"/>
        <scheme val="minor"/>
      </rPr>
      <t xml:space="preserve"> - Cash With Fiscal Agents. 
</t>
    </r>
    <r>
      <rPr>
        <b/>
        <sz val="11"/>
        <color theme="1"/>
        <rFont val="Calibri"/>
        <family val="2"/>
        <scheme val="minor"/>
      </rPr>
      <t>111</t>
    </r>
    <r>
      <rPr>
        <sz val="11"/>
        <color theme="1"/>
        <rFont val="Calibri"/>
        <family val="2"/>
        <scheme val="minor"/>
      </rPr>
      <t xml:space="preserve"> - Investments. 
</t>
    </r>
    <r>
      <rPr>
        <b/>
        <sz val="11"/>
        <color theme="1"/>
        <rFont val="Calibri"/>
        <family val="2"/>
        <scheme val="minor"/>
      </rPr>
      <t>112</t>
    </r>
    <r>
      <rPr>
        <sz val="11"/>
        <color theme="1"/>
        <rFont val="Calibri"/>
        <family val="2"/>
        <scheme val="minor"/>
      </rPr>
      <t xml:space="preserve"> - Unamortized Premiums on Investments. 
</t>
    </r>
    <r>
      <rPr>
        <b/>
        <sz val="11"/>
        <color theme="1"/>
        <rFont val="Calibri"/>
        <family val="2"/>
        <scheme val="minor"/>
      </rPr>
      <t>113</t>
    </r>
    <r>
      <rPr>
        <sz val="11"/>
        <color theme="1"/>
        <rFont val="Calibri"/>
        <family val="2"/>
        <scheme val="minor"/>
      </rPr>
      <t xml:space="preserve"> - Unamortized Discounts on Investments (Credit). 
</t>
    </r>
    <r>
      <rPr>
        <b/>
        <sz val="11"/>
        <color theme="1"/>
        <rFont val="Calibri"/>
        <family val="2"/>
        <scheme val="minor"/>
      </rPr>
      <t>114</t>
    </r>
    <r>
      <rPr>
        <sz val="11"/>
        <color theme="1"/>
        <rFont val="Calibri"/>
        <family val="2"/>
        <scheme val="minor"/>
      </rPr>
      <t xml:space="preserve"> - Interest Receivable on Investments. 
</t>
    </r>
    <r>
      <rPr>
        <b/>
        <sz val="11"/>
        <color theme="1"/>
        <rFont val="Calibri"/>
        <family val="2"/>
        <scheme val="minor"/>
      </rPr>
      <t>115</t>
    </r>
    <r>
      <rPr>
        <sz val="11"/>
        <color theme="1"/>
        <rFont val="Calibri"/>
        <family val="2"/>
        <scheme val="minor"/>
      </rPr>
      <t xml:space="preserve"> - Accrued Interest on Investments Purchased.
</t>
    </r>
    <r>
      <rPr>
        <b/>
        <sz val="11"/>
        <color theme="1"/>
        <rFont val="Calibri"/>
        <family val="2"/>
        <scheme val="minor"/>
      </rPr>
      <t>121</t>
    </r>
    <r>
      <rPr>
        <sz val="11"/>
        <color theme="1"/>
        <rFont val="Calibri"/>
        <family val="2"/>
        <scheme val="minor"/>
      </rPr>
      <t xml:space="preserve"> - Taxes Receivable. 
</t>
    </r>
    <r>
      <rPr>
        <b/>
        <sz val="11"/>
        <color theme="1"/>
        <rFont val="Calibri"/>
        <family val="2"/>
        <scheme val="minor"/>
      </rPr>
      <t>122</t>
    </r>
    <r>
      <rPr>
        <sz val="11"/>
        <color theme="1"/>
        <rFont val="Calibri"/>
        <family val="2"/>
        <scheme val="minor"/>
      </rPr>
      <t xml:space="preserve"> - Allowance for Uncollectible Taxes (Credit). 
</t>
    </r>
    <r>
      <rPr>
        <b/>
        <sz val="11"/>
        <color theme="1"/>
        <rFont val="Calibri"/>
        <family val="2"/>
        <scheme val="minor"/>
      </rPr>
      <t>131</t>
    </r>
    <r>
      <rPr>
        <sz val="11"/>
        <color theme="1"/>
        <rFont val="Calibri"/>
        <family val="2"/>
        <scheme val="minor"/>
      </rPr>
      <t xml:space="preserve"> - Interfund Loans Receivable. 
</t>
    </r>
    <r>
      <rPr>
        <b/>
        <sz val="11"/>
        <color theme="1"/>
        <rFont val="Calibri"/>
        <family val="2"/>
        <scheme val="minor"/>
      </rPr>
      <t>132</t>
    </r>
    <r>
      <rPr>
        <sz val="11"/>
        <color theme="1"/>
        <rFont val="Calibri"/>
        <family val="2"/>
        <scheme val="minor"/>
      </rPr>
      <t xml:space="preserve"> - Interfund Accounts Receivable.
</t>
    </r>
    <r>
      <rPr>
        <b/>
        <sz val="11"/>
        <color theme="1"/>
        <rFont val="Calibri"/>
        <family val="2"/>
        <scheme val="minor"/>
      </rPr>
      <t>141</t>
    </r>
    <r>
      <rPr>
        <sz val="11"/>
        <color theme="1"/>
        <rFont val="Calibri"/>
        <family val="2"/>
        <scheme val="minor"/>
      </rPr>
      <t xml:space="preserve"> - Intergovernmental Accounts Receivable. 
</t>
    </r>
    <r>
      <rPr>
        <b/>
        <sz val="11"/>
        <color theme="1"/>
        <rFont val="Calibri"/>
        <family val="2"/>
        <scheme val="minor"/>
      </rPr>
      <t>151</t>
    </r>
    <r>
      <rPr>
        <sz val="11"/>
        <color theme="1"/>
        <rFont val="Calibri"/>
        <family val="2"/>
        <scheme val="minor"/>
      </rPr>
      <t xml:space="preserve"> - Loans Receivable. 
</t>
    </r>
    <r>
      <rPr>
        <b/>
        <sz val="11"/>
        <color theme="1"/>
        <rFont val="Calibri"/>
        <family val="2"/>
        <scheme val="minor"/>
      </rPr>
      <t>152</t>
    </r>
    <r>
      <rPr>
        <sz val="11"/>
        <color theme="1"/>
        <rFont val="Calibri"/>
        <family val="2"/>
        <scheme val="minor"/>
      </rPr>
      <t xml:space="preserve"> - Allowance for Uncollectible Loans (Credit). 
</t>
    </r>
    <r>
      <rPr>
        <b/>
        <sz val="11"/>
        <color theme="1"/>
        <rFont val="Calibri"/>
        <family val="2"/>
        <scheme val="minor"/>
      </rPr>
      <t>153</t>
    </r>
    <r>
      <rPr>
        <sz val="11"/>
        <color theme="1"/>
        <rFont val="Calibri"/>
        <family val="2"/>
        <scheme val="minor"/>
      </rPr>
      <t xml:space="preserve"> - Other Accounts Receivable. 
</t>
    </r>
    <r>
      <rPr>
        <b/>
        <sz val="11"/>
        <color theme="1"/>
        <rFont val="Calibri"/>
        <family val="2"/>
        <scheme val="minor"/>
      </rPr>
      <t>154</t>
    </r>
    <r>
      <rPr>
        <sz val="11"/>
        <color theme="1"/>
        <rFont val="Calibri"/>
        <family val="2"/>
        <scheme val="minor"/>
      </rPr>
      <t xml:space="preserve"> - Allowance for Uncollectible Accounts Receivable (Credit). 
</t>
    </r>
    <r>
      <rPr>
        <b/>
        <sz val="11"/>
        <color theme="1"/>
        <rFont val="Calibri"/>
        <family val="2"/>
        <scheme val="minor"/>
      </rPr>
      <t>171</t>
    </r>
    <r>
      <rPr>
        <sz val="11"/>
        <color theme="1"/>
        <rFont val="Calibri"/>
        <family val="2"/>
        <scheme val="minor"/>
      </rPr>
      <t xml:space="preserve"> - Inventories for Consumption.
</t>
    </r>
    <r>
      <rPr>
        <b/>
        <sz val="11"/>
        <color theme="1"/>
        <rFont val="Calibri"/>
        <family val="2"/>
        <scheme val="minor"/>
      </rPr>
      <t>172</t>
    </r>
    <r>
      <rPr>
        <sz val="11"/>
        <color theme="1"/>
        <rFont val="Calibri"/>
        <family val="2"/>
        <scheme val="minor"/>
      </rPr>
      <t xml:space="preserve"> - Inventories for Resale. 
</t>
    </r>
    <r>
      <rPr>
        <b/>
        <sz val="11"/>
        <color theme="1"/>
        <rFont val="Calibri"/>
        <family val="2"/>
        <scheme val="minor"/>
      </rPr>
      <t>181</t>
    </r>
    <r>
      <rPr>
        <sz val="11"/>
        <color theme="1"/>
        <rFont val="Calibri"/>
        <family val="2"/>
        <scheme val="minor"/>
      </rPr>
      <t xml:space="preserve"> - Prepaid Items. Expenditures/expenses paid for benefits not yet received. 
</t>
    </r>
    <r>
      <rPr>
        <b/>
        <sz val="11"/>
        <color theme="1"/>
        <rFont val="Calibri"/>
        <family val="2"/>
        <scheme val="minor"/>
      </rPr>
      <t>191</t>
    </r>
    <r>
      <rPr>
        <sz val="11"/>
        <color theme="1"/>
        <rFont val="Calibri"/>
        <family val="2"/>
        <scheme val="minor"/>
      </rPr>
      <t xml:space="preserve"> - Deposits. 
</t>
    </r>
    <r>
      <rPr>
        <b/>
        <sz val="11"/>
        <color theme="1"/>
        <rFont val="Calibri"/>
        <family val="2"/>
        <scheme val="minor"/>
      </rPr>
      <t>192</t>
    </r>
    <r>
      <rPr>
        <sz val="11"/>
        <color theme="1"/>
        <rFont val="Calibri"/>
        <family val="2"/>
        <scheme val="minor"/>
      </rPr>
      <t xml:space="preserve"> - Deferred Expenditures/Expenses. 
</t>
    </r>
    <r>
      <rPr>
        <b/>
        <sz val="11"/>
        <color theme="1"/>
        <rFont val="Calibri"/>
        <family val="2"/>
        <scheme val="minor"/>
      </rPr>
      <t>193</t>
    </r>
    <r>
      <rPr>
        <sz val="11"/>
        <color theme="1"/>
        <rFont val="Calibri"/>
        <family val="2"/>
        <scheme val="minor"/>
      </rPr>
      <t xml:space="preserve"> - Capitalized Bond and Other Debt Issuance Costs. 
</t>
    </r>
    <r>
      <rPr>
        <b/>
        <sz val="11"/>
        <color theme="1"/>
        <rFont val="Calibri"/>
        <family val="2"/>
        <scheme val="minor"/>
      </rPr>
      <t>194</t>
    </r>
    <r>
      <rPr>
        <sz val="11"/>
        <color theme="1"/>
        <rFont val="Calibri"/>
        <family val="2"/>
        <scheme val="minor"/>
      </rPr>
      <t xml:space="preserve"> - Premium and Discount on Issuance of Bonds. 
</t>
    </r>
    <r>
      <rPr>
        <b/>
        <sz val="11"/>
        <color theme="1"/>
        <rFont val="Calibri"/>
        <family val="2"/>
        <scheme val="minor"/>
      </rPr>
      <t>199</t>
    </r>
    <r>
      <rPr>
        <sz val="11"/>
        <color theme="1"/>
        <rFont val="Calibri"/>
        <family val="2"/>
        <scheme val="minor"/>
      </rPr>
      <t xml:space="preserve"> - Other Current Assets. 
</t>
    </r>
    <r>
      <rPr>
        <b/>
        <sz val="11"/>
        <color theme="1"/>
        <rFont val="Calibri"/>
        <family val="2"/>
        <scheme val="minor"/>
      </rPr>
      <t>200</t>
    </r>
    <r>
      <rPr>
        <sz val="11"/>
        <color theme="1"/>
        <rFont val="Calibri"/>
        <family val="2"/>
        <scheme val="minor"/>
      </rPr>
      <t xml:space="preserve"> - Capital Assets. 
</t>
    </r>
    <r>
      <rPr>
        <b/>
        <sz val="11"/>
        <color theme="1"/>
        <rFont val="Calibri"/>
        <family val="2"/>
        <scheme val="minor"/>
      </rPr>
      <t>211</t>
    </r>
    <r>
      <rPr>
        <sz val="11"/>
        <color theme="1"/>
        <rFont val="Calibri"/>
        <family val="2"/>
        <scheme val="minor"/>
      </rPr>
      <t xml:space="preserve"> - Land and Land Improvements.
</t>
    </r>
    <r>
      <rPr>
        <b/>
        <sz val="11"/>
        <color theme="1"/>
        <rFont val="Calibri"/>
        <family val="2"/>
        <scheme val="minor"/>
      </rPr>
      <t>221</t>
    </r>
    <r>
      <rPr>
        <sz val="11"/>
        <color theme="1"/>
        <rFont val="Calibri"/>
        <family val="2"/>
        <scheme val="minor"/>
      </rPr>
      <t xml:space="preserve"> - Site Improvements.
</t>
    </r>
    <r>
      <rPr>
        <b/>
        <sz val="11"/>
        <color theme="1"/>
        <rFont val="Calibri"/>
        <family val="2"/>
        <scheme val="minor"/>
      </rPr>
      <t>222</t>
    </r>
    <r>
      <rPr>
        <sz val="11"/>
        <color theme="1"/>
        <rFont val="Calibri"/>
        <family val="2"/>
        <scheme val="minor"/>
      </rPr>
      <t xml:space="preserve"> - Accumulated Depreciation on Site Improvements. 
</t>
    </r>
    <r>
      <rPr>
        <b/>
        <sz val="11"/>
        <color theme="1"/>
        <rFont val="Calibri"/>
        <family val="2"/>
        <scheme val="minor"/>
      </rPr>
      <t>231</t>
    </r>
    <r>
      <rPr>
        <sz val="11"/>
        <color theme="1"/>
        <rFont val="Calibri"/>
        <family val="2"/>
        <scheme val="minor"/>
      </rPr>
      <t xml:space="preserve"> - Buildings and Building Improvements. 
</t>
    </r>
    <r>
      <rPr>
        <b/>
        <sz val="11"/>
        <color theme="1"/>
        <rFont val="Calibri"/>
        <family val="2"/>
        <scheme val="minor"/>
      </rPr>
      <t>232</t>
    </r>
    <r>
      <rPr>
        <sz val="11"/>
        <color theme="1"/>
        <rFont val="Calibri"/>
        <family val="2"/>
        <scheme val="minor"/>
      </rPr>
      <t xml:space="preserve"> - Accumulated Depreciation on Buildings and Building Improvements. 
</t>
    </r>
    <r>
      <rPr>
        <b/>
        <sz val="11"/>
        <color theme="1"/>
        <rFont val="Calibri"/>
        <family val="2"/>
        <scheme val="minor"/>
      </rPr>
      <t>241</t>
    </r>
    <r>
      <rPr>
        <sz val="11"/>
        <color theme="1"/>
        <rFont val="Calibri"/>
        <family val="2"/>
        <scheme val="minor"/>
      </rPr>
      <t xml:space="preserve"> - Machinery and Equipment.
</t>
    </r>
    <r>
      <rPr>
        <b/>
        <sz val="11"/>
        <color theme="1"/>
        <rFont val="Calibri"/>
        <family val="2"/>
        <scheme val="minor"/>
      </rPr>
      <t>242</t>
    </r>
    <r>
      <rPr>
        <sz val="11"/>
        <color theme="1"/>
        <rFont val="Calibri"/>
        <family val="2"/>
        <scheme val="minor"/>
      </rPr>
      <t xml:space="preserve"> - Accumulated Depreciation on Machinery and Equipment. 
</t>
    </r>
    <r>
      <rPr>
        <b/>
        <sz val="11"/>
        <color theme="1"/>
        <rFont val="Calibri"/>
        <family val="2"/>
        <scheme val="minor"/>
      </rPr>
      <t>251</t>
    </r>
    <r>
      <rPr>
        <sz val="11"/>
        <color theme="1"/>
        <rFont val="Calibri"/>
        <family val="2"/>
        <scheme val="minor"/>
      </rPr>
      <t xml:space="preserve"> - Works of Art and Historical Treasures. 
</t>
    </r>
    <r>
      <rPr>
        <b/>
        <sz val="11"/>
        <color theme="1"/>
        <rFont val="Calibri"/>
        <family val="2"/>
        <scheme val="minor"/>
      </rPr>
      <t>252</t>
    </r>
    <r>
      <rPr>
        <sz val="11"/>
        <color theme="1"/>
        <rFont val="Calibri"/>
        <family val="2"/>
        <scheme val="minor"/>
      </rPr>
      <t xml:space="preserve"> - Accumulated Depreciation on Works of Art and Historical Collections. 
</t>
    </r>
    <r>
      <rPr>
        <b/>
        <sz val="11"/>
        <color theme="1"/>
        <rFont val="Calibri"/>
        <family val="2"/>
        <scheme val="minor"/>
      </rPr>
      <t>261</t>
    </r>
    <r>
      <rPr>
        <sz val="11"/>
        <color theme="1"/>
        <rFont val="Calibri"/>
        <family val="2"/>
        <scheme val="minor"/>
      </rPr>
      <t xml:space="preserve"> - Infrastructure.
</t>
    </r>
    <r>
      <rPr>
        <b/>
        <sz val="11"/>
        <color theme="1"/>
        <rFont val="Calibri"/>
        <family val="2"/>
        <scheme val="minor"/>
      </rPr>
      <t>262</t>
    </r>
    <r>
      <rPr>
        <sz val="11"/>
        <color theme="1"/>
        <rFont val="Calibri"/>
        <family val="2"/>
        <scheme val="minor"/>
      </rPr>
      <t xml:space="preserve"> - Accumulated Depreciation on Infrastructure (accumulated depreciation of infrastructure assets)
</t>
    </r>
    <r>
      <rPr>
        <b/>
        <sz val="11"/>
        <color theme="1"/>
        <rFont val="Calibri"/>
        <family val="2"/>
        <scheme val="minor"/>
      </rPr>
      <t>271</t>
    </r>
    <r>
      <rPr>
        <sz val="11"/>
        <color theme="1"/>
        <rFont val="Calibri"/>
        <family val="2"/>
        <scheme val="minor"/>
      </rPr>
      <t xml:space="preserve"> - Construction in Progress. 
</t>
    </r>
    <r>
      <rPr>
        <b/>
        <sz val="11"/>
        <color theme="1"/>
        <rFont val="Calibri"/>
        <family val="2"/>
        <scheme val="minor"/>
      </rPr>
      <t>401</t>
    </r>
    <r>
      <rPr>
        <sz val="11"/>
        <color theme="1"/>
        <rFont val="Calibri"/>
        <family val="2"/>
        <scheme val="minor"/>
      </rPr>
      <t xml:space="preserve"> - Interfund Loans Payable. 
</t>
    </r>
    <r>
      <rPr>
        <b/>
        <sz val="11"/>
        <color theme="1"/>
        <rFont val="Calibri"/>
        <family val="2"/>
        <scheme val="minor"/>
      </rPr>
      <t>402</t>
    </r>
    <r>
      <rPr>
        <sz val="11"/>
        <color theme="1"/>
        <rFont val="Calibri"/>
        <family val="2"/>
        <scheme val="minor"/>
      </rPr>
      <t xml:space="preserve"> - Interfund Accounts Payable. 
</t>
    </r>
    <r>
      <rPr>
        <b/>
        <sz val="11"/>
        <color theme="1"/>
        <rFont val="Calibri"/>
        <family val="2"/>
        <scheme val="minor"/>
      </rPr>
      <t>411</t>
    </r>
    <r>
      <rPr>
        <sz val="11"/>
        <color theme="1"/>
        <rFont val="Calibri"/>
        <family val="2"/>
        <scheme val="minor"/>
      </rPr>
      <t xml:space="preserve"> - Intergovernmental Accounts Payable. 
</t>
    </r>
    <r>
      <rPr>
        <b/>
        <sz val="11"/>
        <color theme="1"/>
        <rFont val="Calibri"/>
        <family val="2"/>
        <scheme val="minor"/>
      </rPr>
      <t>421</t>
    </r>
    <r>
      <rPr>
        <sz val="11"/>
        <color theme="1"/>
        <rFont val="Calibri"/>
        <family val="2"/>
        <scheme val="minor"/>
      </rPr>
      <t xml:space="preserve"> - Accounts Payable. 
</t>
    </r>
    <r>
      <rPr>
        <b/>
        <sz val="11"/>
        <color theme="1"/>
        <rFont val="Calibri"/>
        <family val="2"/>
        <scheme val="minor"/>
      </rPr>
      <t>422</t>
    </r>
    <r>
      <rPr>
        <sz val="11"/>
        <color theme="1"/>
        <rFont val="Calibri"/>
        <family val="2"/>
        <scheme val="minor"/>
      </rPr>
      <t xml:space="preserve"> - Judgments Payable. 
</t>
    </r>
    <r>
      <rPr>
        <b/>
        <sz val="11"/>
        <color theme="1"/>
        <rFont val="Calibri"/>
        <family val="2"/>
        <scheme val="minor"/>
      </rPr>
      <t>423</t>
    </r>
    <r>
      <rPr>
        <sz val="11"/>
        <color theme="1"/>
        <rFont val="Calibri"/>
        <family val="2"/>
        <scheme val="minor"/>
      </rPr>
      <t xml:space="preserve"> - Warrants Payable. 
</t>
    </r>
    <r>
      <rPr>
        <b/>
        <sz val="11"/>
        <color theme="1"/>
        <rFont val="Calibri"/>
        <family val="2"/>
        <scheme val="minor"/>
      </rPr>
      <t>431</t>
    </r>
    <r>
      <rPr>
        <sz val="11"/>
        <color theme="1"/>
        <rFont val="Calibri"/>
        <family val="2"/>
        <scheme val="minor"/>
      </rPr>
      <t xml:space="preserve"> - Contracts Payable. 
</t>
    </r>
    <r>
      <rPr>
        <b/>
        <sz val="11"/>
        <color theme="1"/>
        <rFont val="Calibri"/>
        <family val="2"/>
        <scheme val="minor"/>
      </rPr>
      <t>432</t>
    </r>
    <r>
      <rPr>
        <sz val="11"/>
        <color theme="1"/>
        <rFont val="Calibri"/>
        <family val="2"/>
        <scheme val="minor"/>
      </rPr>
      <t xml:space="preserve"> - Construction Contracts Payable—Retainage. 
</t>
    </r>
    <r>
      <rPr>
        <b/>
        <sz val="11"/>
        <color theme="1"/>
        <rFont val="Calibri"/>
        <family val="2"/>
        <scheme val="minor"/>
      </rPr>
      <t>433</t>
    </r>
    <r>
      <rPr>
        <sz val="11"/>
        <color theme="1"/>
        <rFont val="Calibri"/>
        <family val="2"/>
        <scheme val="minor"/>
      </rPr>
      <t xml:space="preserve"> - Construction Contracts Payable. 
</t>
    </r>
    <r>
      <rPr>
        <b/>
        <sz val="11"/>
        <color theme="1"/>
        <rFont val="Calibri"/>
        <family val="2"/>
        <scheme val="minor"/>
      </rPr>
      <t>441</t>
    </r>
    <r>
      <rPr>
        <sz val="11"/>
        <color theme="1"/>
        <rFont val="Calibri"/>
        <family val="2"/>
        <scheme val="minor"/>
      </rPr>
      <t xml:space="preserve"> - Matured Bonds Payable. 
</t>
    </r>
    <r>
      <rPr>
        <b/>
        <sz val="11"/>
        <color theme="1"/>
        <rFont val="Calibri"/>
        <family val="2"/>
        <scheme val="minor"/>
      </rPr>
      <t>442</t>
    </r>
    <r>
      <rPr>
        <sz val="11"/>
        <color theme="1"/>
        <rFont val="Calibri"/>
        <family val="2"/>
        <scheme val="minor"/>
      </rPr>
      <t xml:space="preserve"> - Bonds Payable—Current.
</t>
    </r>
    <r>
      <rPr>
        <b/>
        <sz val="11"/>
        <color theme="1"/>
        <rFont val="Calibri"/>
        <family val="2"/>
        <scheme val="minor"/>
      </rPr>
      <t>443</t>
    </r>
    <r>
      <rPr>
        <sz val="11"/>
        <color theme="1"/>
        <rFont val="Calibri"/>
        <family val="2"/>
        <scheme val="minor"/>
      </rPr>
      <t xml:space="preserve"> - Unamortized Premiums on Issuance of Bonds. 
</t>
    </r>
    <r>
      <rPr>
        <b/>
        <sz val="11"/>
        <color theme="1"/>
        <rFont val="Calibri"/>
        <family val="2"/>
        <scheme val="minor"/>
      </rPr>
      <t>451</t>
    </r>
    <r>
      <rPr>
        <sz val="11"/>
        <color theme="1"/>
        <rFont val="Calibri"/>
        <family val="2"/>
        <scheme val="minor"/>
      </rPr>
      <t xml:space="preserve"> - Loans Payable. 
</t>
    </r>
    <r>
      <rPr>
        <b/>
        <sz val="11"/>
        <color theme="1"/>
        <rFont val="Calibri"/>
        <family val="2"/>
        <scheme val="minor"/>
      </rPr>
      <t>452</t>
    </r>
    <r>
      <rPr>
        <sz val="11"/>
        <color theme="1"/>
        <rFont val="Calibri"/>
        <family val="2"/>
        <scheme val="minor"/>
      </rPr>
      <t xml:space="preserve"> - Lease Obligations—Current. 
</t>
    </r>
    <r>
      <rPr>
        <b/>
        <sz val="11"/>
        <color theme="1"/>
        <rFont val="Calibri"/>
        <family val="2"/>
        <scheme val="minor"/>
      </rPr>
      <t>461</t>
    </r>
    <r>
      <rPr>
        <sz val="11"/>
        <color theme="1"/>
        <rFont val="Calibri"/>
        <family val="2"/>
        <scheme val="minor"/>
      </rPr>
      <t xml:space="preserve"> - Accrued Salaries and Benefits. 
</t>
    </r>
    <r>
      <rPr>
        <b/>
        <sz val="11"/>
        <color theme="1"/>
        <rFont val="Calibri"/>
        <family val="2"/>
        <scheme val="minor"/>
      </rPr>
      <t>471</t>
    </r>
    <r>
      <rPr>
        <sz val="11"/>
        <color theme="1"/>
        <rFont val="Calibri"/>
        <family val="2"/>
        <scheme val="minor"/>
      </rPr>
      <t xml:space="preserve"> - Payroll Deductions and Withholdings. 
</t>
    </r>
    <r>
      <rPr>
        <b/>
        <sz val="11"/>
        <color theme="1"/>
        <rFont val="Calibri"/>
        <family val="2"/>
        <scheme val="minor"/>
      </rPr>
      <t>472</t>
    </r>
    <r>
      <rPr>
        <sz val="11"/>
        <color theme="1"/>
        <rFont val="Calibri"/>
        <family val="2"/>
        <scheme val="minor"/>
      </rPr>
      <t xml:space="preserve"> - Compensated Absences—Current. 
</t>
    </r>
    <r>
      <rPr>
        <b/>
        <sz val="11"/>
        <color theme="1"/>
        <rFont val="Calibri"/>
        <family val="2"/>
        <scheme val="minor"/>
      </rPr>
      <t>473</t>
    </r>
    <r>
      <rPr>
        <sz val="11"/>
        <color theme="1"/>
        <rFont val="Calibri"/>
        <family val="2"/>
        <scheme val="minor"/>
      </rPr>
      <t xml:space="preserve"> - Accrued Annual Requirement Contribution Liability. 
</t>
    </r>
    <r>
      <rPr>
        <b/>
        <sz val="11"/>
        <color theme="1"/>
        <rFont val="Calibri"/>
        <family val="2"/>
        <scheme val="minor"/>
      </rPr>
      <t>481</t>
    </r>
    <r>
      <rPr>
        <sz val="11"/>
        <color theme="1"/>
        <rFont val="Calibri"/>
        <family val="2"/>
        <scheme val="minor"/>
      </rPr>
      <t xml:space="preserve"> - Deferred Revenues. 
</t>
    </r>
    <r>
      <rPr>
        <b/>
        <sz val="11"/>
        <color theme="1"/>
        <rFont val="Calibri"/>
        <family val="2"/>
        <scheme val="minor"/>
      </rPr>
      <t>491</t>
    </r>
    <r>
      <rPr>
        <sz val="11"/>
        <color theme="1"/>
        <rFont val="Calibri"/>
        <family val="2"/>
        <scheme val="minor"/>
      </rPr>
      <t xml:space="preserve"> - Deposits Payable. 
</t>
    </r>
    <r>
      <rPr>
        <b/>
        <sz val="11"/>
        <color theme="1"/>
        <rFont val="Calibri"/>
        <family val="2"/>
        <scheme val="minor"/>
      </rPr>
      <t>499</t>
    </r>
    <r>
      <rPr>
        <sz val="11"/>
        <color theme="1"/>
        <rFont val="Calibri"/>
        <family val="2"/>
        <scheme val="minor"/>
      </rPr>
      <t xml:space="preserve"> - Other Current Liabilities. 
</t>
    </r>
    <r>
      <rPr>
        <b/>
        <sz val="11"/>
        <color theme="1"/>
        <rFont val="Calibri"/>
        <family val="2"/>
        <scheme val="minor"/>
      </rPr>
      <t>500</t>
    </r>
    <r>
      <rPr>
        <sz val="11"/>
        <color theme="1"/>
        <rFont val="Calibri"/>
        <family val="2"/>
        <scheme val="minor"/>
      </rPr>
      <t xml:space="preserve"> - Long-Term Liabilities. 
</t>
    </r>
    <r>
      <rPr>
        <b/>
        <sz val="11"/>
        <color theme="1"/>
        <rFont val="Calibri"/>
        <family val="2"/>
        <scheme val="minor"/>
      </rPr>
      <t>511</t>
    </r>
    <r>
      <rPr>
        <sz val="11"/>
        <color theme="1"/>
        <rFont val="Calibri"/>
        <family val="2"/>
        <scheme val="minor"/>
      </rPr>
      <t xml:space="preserve"> - Bonds Payable. 
</t>
    </r>
    <r>
      <rPr>
        <b/>
        <sz val="11"/>
        <color theme="1"/>
        <rFont val="Calibri"/>
        <family val="2"/>
        <scheme val="minor"/>
      </rPr>
      <t>512</t>
    </r>
    <r>
      <rPr>
        <sz val="11"/>
        <color theme="1"/>
        <rFont val="Calibri"/>
        <family val="2"/>
        <scheme val="minor"/>
      </rPr>
      <t xml:space="preserve"> - Accreted Interest.
</t>
    </r>
    <r>
      <rPr>
        <b/>
        <sz val="11"/>
        <color theme="1"/>
        <rFont val="Calibri"/>
        <family val="2"/>
        <scheme val="minor"/>
      </rPr>
      <t>513</t>
    </r>
    <r>
      <rPr>
        <sz val="11"/>
        <color theme="1"/>
        <rFont val="Calibri"/>
        <family val="2"/>
        <scheme val="minor"/>
      </rPr>
      <t xml:space="preserve"> - Unamortized Gains/Losses on Debt Refundings. 
</t>
    </r>
    <r>
      <rPr>
        <b/>
        <sz val="11"/>
        <color theme="1"/>
        <rFont val="Calibri"/>
        <family val="2"/>
        <scheme val="minor"/>
      </rPr>
      <t>521</t>
    </r>
    <r>
      <rPr>
        <sz val="11"/>
        <color theme="1"/>
        <rFont val="Calibri"/>
        <family val="2"/>
        <scheme val="minor"/>
      </rPr>
      <t xml:space="preserve"> - Loans Payable. 
</t>
    </r>
    <r>
      <rPr>
        <b/>
        <sz val="11"/>
        <color theme="1"/>
        <rFont val="Calibri"/>
        <family val="2"/>
        <scheme val="minor"/>
      </rPr>
      <t>531</t>
    </r>
    <r>
      <rPr>
        <sz val="11"/>
        <color theme="1"/>
        <rFont val="Calibri"/>
        <family val="2"/>
        <scheme val="minor"/>
      </rPr>
      <t xml:space="preserve"> - Capital Lease Obligations. 
</t>
    </r>
    <r>
      <rPr>
        <b/>
        <sz val="11"/>
        <color theme="1"/>
        <rFont val="Calibri"/>
        <family val="2"/>
        <scheme val="minor"/>
      </rPr>
      <t>551</t>
    </r>
    <r>
      <rPr>
        <sz val="11"/>
        <color theme="1"/>
        <rFont val="Calibri"/>
        <family val="2"/>
        <scheme val="minor"/>
      </rPr>
      <t xml:space="preserve"> - Compensated Absences. 
</t>
    </r>
    <r>
      <rPr>
        <b/>
        <sz val="11"/>
        <color theme="1"/>
        <rFont val="Calibri"/>
        <family val="2"/>
        <scheme val="minor"/>
      </rPr>
      <t>561</t>
    </r>
    <r>
      <rPr>
        <sz val="11"/>
        <color theme="1"/>
        <rFont val="Calibri"/>
        <family val="2"/>
        <scheme val="minor"/>
      </rPr>
      <t xml:space="preserve"> - Arbitrage Rebate Liability. 
</t>
    </r>
    <r>
      <rPr>
        <b/>
        <sz val="11"/>
        <color theme="1"/>
        <rFont val="Calibri"/>
        <family val="2"/>
        <scheme val="minor"/>
      </rPr>
      <t>590</t>
    </r>
    <r>
      <rPr>
        <sz val="11"/>
        <color theme="1"/>
        <rFont val="Calibri"/>
        <family val="2"/>
        <scheme val="minor"/>
      </rPr>
      <t xml:space="preserve"> - Other Long-Term Liabilities. 
</t>
    </r>
    <r>
      <rPr>
        <b/>
        <sz val="11"/>
        <color theme="1"/>
        <rFont val="Calibri"/>
        <family val="2"/>
        <scheme val="minor"/>
      </rPr>
      <t>711</t>
    </r>
    <r>
      <rPr>
        <sz val="11"/>
        <color theme="1"/>
        <rFont val="Calibri"/>
        <family val="2"/>
        <scheme val="minor"/>
      </rPr>
      <t xml:space="preserve"> - Reserve for Inventories. 
</t>
    </r>
    <r>
      <rPr>
        <b/>
        <sz val="11"/>
        <color theme="1"/>
        <rFont val="Calibri"/>
        <family val="2"/>
        <scheme val="minor"/>
      </rPr>
      <t>712</t>
    </r>
    <r>
      <rPr>
        <sz val="11"/>
        <color theme="1"/>
        <rFont val="Calibri"/>
        <family val="2"/>
        <scheme val="minor"/>
      </rPr>
      <t xml:space="preserve"> - Reserve for Prepaid Items. 
</t>
    </r>
    <r>
      <rPr>
        <b/>
        <sz val="11"/>
        <color theme="1"/>
        <rFont val="Calibri"/>
        <family val="2"/>
        <scheme val="minor"/>
      </rPr>
      <t>713</t>
    </r>
    <r>
      <rPr>
        <sz val="11"/>
        <color theme="1"/>
        <rFont val="Calibri"/>
        <family val="2"/>
        <scheme val="minor"/>
      </rPr>
      <t xml:space="preserve"> - Reserve for Encumbrances.
</t>
    </r>
    <r>
      <rPr>
        <b/>
        <sz val="11"/>
        <color theme="1"/>
        <rFont val="Calibri"/>
        <family val="2"/>
        <scheme val="minor"/>
      </rPr>
      <t>714</t>
    </r>
    <r>
      <rPr>
        <sz val="11"/>
        <color theme="1"/>
        <rFont val="Calibri"/>
        <family val="2"/>
        <scheme val="minor"/>
      </rPr>
      <t xml:space="preserve"> - Other Reserved Fund Balance. 
</t>
    </r>
    <r>
      <rPr>
        <b/>
        <sz val="11"/>
        <color theme="1"/>
        <rFont val="Calibri"/>
        <family val="2"/>
        <scheme val="minor"/>
      </rPr>
      <t>720</t>
    </r>
    <r>
      <rPr>
        <sz val="11"/>
        <color theme="1"/>
        <rFont val="Calibri"/>
        <family val="2"/>
        <scheme val="minor"/>
      </rPr>
      <t xml:space="preserve"> - Designated Fund Balance. 
</t>
    </r>
    <r>
      <rPr>
        <b/>
        <sz val="11"/>
        <color theme="1"/>
        <rFont val="Calibri"/>
        <family val="2"/>
        <scheme val="minor"/>
      </rPr>
      <t>730</t>
    </r>
    <r>
      <rPr>
        <sz val="11"/>
        <color theme="1"/>
        <rFont val="Calibri"/>
        <family val="2"/>
        <scheme val="minor"/>
      </rPr>
      <t xml:space="preserve"> - Unreserved Fund Balance. 
</t>
    </r>
    <r>
      <rPr>
        <b/>
        <sz val="11"/>
        <color theme="1"/>
        <rFont val="Calibri"/>
        <family val="2"/>
        <scheme val="minor"/>
      </rPr>
      <t>740</t>
    </r>
    <r>
      <rPr>
        <sz val="11"/>
        <color theme="1"/>
        <rFont val="Calibri"/>
        <family val="2"/>
        <scheme val="minor"/>
      </rPr>
      <t xml:space="preserve"> - Invested in Capital Assets, Net of Related Debt. 
</t>
    </r>
    <r>
      <rPr>
        <b/>
        <sz val="11"/>
        <color theme="1"/>
        <rFont val="Calibri"/>
        <family val="2"/>
        <scheme val="minor"/>
      </rPr>
      <t>750</t>
    </r>
    <r>
      <rPr>
        <sz val="11"/>
        <color theme="1"/>
        <rFont val="Calibri"/>
        <family val="2"/>
        <scheme val="minor"/>
      </rPr>
      <t xml:space="preserve"> - Restricted Net Assets. 
</t>
    </r>
    <r>
      <rPr>
        <b/>
        <sz val="11"/>
        <color theme="1"/>
        <rFont val="Calibri"/>
        <family val="2"/>
        <scheme val="minor"/>
      </rPr>
      <t>760</t>
    </r>
    <r>
      <rPr>
        <sz val="11"/>
        <color theme="1"/>
        <rFont val="Calibri"/>
        <family val="2"/>
        <scheme val="minor"/>
      </rPr>
      <t xml:space="preserve"> - Unrestricted Net Assets.
</t>
    </r>
  </si>
  <si>
    <r>
      <t>1000</t>
    </r>
    <r>
      <rPr>
        <sz val="11"/>
        <color theme="1"/>
        <rFont val="Calibri"/>
        <family val="2"/>
        <scheme val="minor"/>
      </rPr>
      <t xml:space="preserve"> - Instruction
</t>
    </r>
    <r>
      <rPr>
        <b/>
        <sz val="11"/>
        <color theme="1"/>
        <rFont val="Calibri"/>
        <family val="2"/>
        <scheme val="minor"/>
      </rPr>
      <t>2000</t>
    </r>
    <r>
      <rPr>
        <sz val="11"/>
        <color theme="1"/>
        <rFont val="Calibri"/>
        <family val="2"/>
        <scheme val="minor"/>
      </rPr>
      <t xml:space="preserve"> - Support Services
</t>
    </r>
    <r>
      <rPr>
        <b/>
        <sz val="11"/>
        <color theme="1"/>
        <rFont val="Calibri"/>
        <family val="2"/>
        <scheme val="minor"/>
      </rPr>
      <t>2100</t>
    </r>
    <r>
      <rPr>
        <sz val="11"/>
        <color theme="1"/>
        <rFont val="Calibri"/>
        <family val="2"/>
        <scheme val="minor"/>
      </rPr>
      <t xml:space="preserve"> - Support Services—Students
</t>
    </r>
    <r>
      <rPr>
        <b/>
        <sz val="11"/>
        <color theme="1"/>
        <rFont val="Calibri"/>
        <family val="2"/>
        <scheme val="minor"/>
      </rPr>
      <t>2110</t>
    </r>
    <r>
      <rPr>
        <sz val="11"/>
        <color theme="1"/>
        <rFont val="Calibri"/>
        <family val="2"/>
        <scheme val="minor"/>
      </rPr>
      <t xml:space="preserve"> - Attendance and Social Work Services
</t>
    </r>
    <r>
      <rPr>
        <b/>
        <sz val="11"/>
        <color theme="1"/>
        <rFont val="Calibri"/>
        <family val="2"/>
        <scheme val="minor"/>
      </rPr>
      <t>2120</t>
    </r>
    <r>
      <rPr>
        <sz val="11"/>
        <color theme="1"/>
        <rFont val="Calibri"/>
        <family val="2"/>
        <scheme val="minor"/>
      </rPr>
      <t xml:space="preserve"> - Guidance Services
</t>
    </r>
    <r>
      <rPr>
        <b/>
        <sz val="11"/>
        <color theme="1"/>
        <rFont val="Calibri"/>
        <family val="2"/>
        <scheme val="minor"/>
      </rPr>
      <t>2130</t>
    </r>
    <r>
      <rPr>
        <sz val="11"/>
        <color theme="1"/>
        <rFont val="Calibri"/>
        <family val="2"/>
        <scheme val="minor"/>
      </rPr>
      <t xml:space="preserve"> - Health Services
</t>
    </r>
    <r>
      <rPr>
        <b/>
        <sz val="11"/>
        <color theme="1"/>
        <rFont val="Calibri"/>
        <family val="2"/>
        <scheme val="minor"/>
      </rPr>
      <t>2140</t>
    </r>
    <r>
      <rPr>
        <sz val="11"/>
        <color theme="1"/>
        <rFont val="Calibri"/>
        <family val="2"/>
        <scheme val="minor"/>
      </rPr>
      <t xml:space="preserve"> - Psychological Services
</t>
    </r>
    <r>
      <rPr>
        <b/>
        <sz val="11"/>
        <color theme="1"/>
        <rFont val="Calibri"/>
        <family val="2"/>
        <scheme val="minor"/>
      </rPr>
      <t>2150</t>
    </r>
    <r>
      <rPr>
        <sz val="11"/>
        <color theme="1"/>
        <rFont val="Calibri"/>
        <family val="2"/>
        <scheme val="minor"/>
      </rPr>
      <t xml:space="preserve"> - Speech Pathology and Audiology Services
</t>
    </r>
    <r>
      <rPr>
        <b/>
        <sz val="11"/>
        <color theme="1"/>
        <rFont val="Calibri"/>
        <family val="2"/>
        <scheme val="minor"/>
      </rPr>
      <t>2160</t>
    </r>
    <r>
      <rPr>
        <sz val="11"/>
        <color theme="1"/>
        <rFont val="Calibri"/>
        <family val="2"/>
        <scheme val="minor"/>
      </rPr>
      <t xml:space="preserve"> - Occupational Therapy-Related Services
</t>
    </r>
    <r>
      <rPr>
        <b/>
        <sz val="11"/>
        <color theme="1"/>
        <rFont val="Calibri"/>
        <family val="2"/>
        <scheme val="minor"/>
      </rPr>
      <t>2190</t>
    </r>
    <r>
      <rPr>
        <sz val="11"/>
        <color theme="1"/>
        <rFont val="Calibri"/>
        <family val="2"/>
        <scheme val="minor"/>
      </rPr>
      <t xml:space="preserve"> - Other Support Services—Student
</t>
    </r>
    <r>
      <rPr>
        <b/>
        <sz val="11"/>
        <color theme="1"/>
        <rFont val="Calibri"/>
        <family val="2"/>
        <scheme val="minor"/>
      </rPr>
      <t>2200</t>
    </r>
    <r>
      <rPr>
        <sz val="11"/>
        <color theme="1"/>
        <rFont val="Calibri"/>
        <family val="2"/>
        <scheme val="minor"/>
      </rPr>
      <t xml:space="preserve"> - Support Services—Instruction
</t>
    </r>
    <r>
      <rPr>
        <b/>
        <sz val="11"/>
        <color theme="1"/>
        <rFont val="Calibri"/>
        <family val="2"/>
        <scheme val="minor"/>
      </rPr>
      <t>2210</t>
    </r>
    <r>
      <rPr>
        <sz val="11"/>
        <color theme="1"/>
        <rFont val="Calibri"/>
        <family val="2"/>
        <scheme val="minor"/>
      </rPr>
      <t xml:space="preserve"> - Improvement of Instruction
</t>
    </r>
    <r>
      <rPr>
        <b/>
        <sz val="11"/>
        <color theme="1"/>
        <rFont val="Calibri"/>
        <family val="2"/>
        <scheme val="minor"/>
      </rPr>
      <t>2212</t>
    </r>
    <r>
      <rPr>
        <sz val="11"/>
        <color theme="1"/>
        <rFont val="Calibri"/>
        <family val="2"/>
        <scheme val="minor"/>
      </rPr>
      <t xml:space="preserve"> - Instruction and Curriculum Development
</t>
    </r>
    <r>
      <rPr>
        <b/>
        <sz val="11"/>
        <color theme="1"/>
        <rFont val="Calibri"/>
        <family val="2"/>
        <scheme val="minor"/>
      </rPr>
      <t>2213</t>
    </r>
    <r>
      <rPr>
        <sz val="11"/>
        <color theme="1"/>
        <rFont val="Calibri"/>
        <family val="2"/>
        <scheme val="minor"/>
      </rPr>
      <t xml:space="preserve"> - Instructional Staff Training
</t>
    </r>
    <r>
      <rPr>
        <b/>
        <sz val="11"/>
        <color theme="1"/>
        <rFont val="Calibri"/>
        <family val="2"/>
        <scheme val="minor"/>
      </rPr>
      <t>2219</t>
    </r>
    <r>
      <rPr>
        <sz val="11"/>
        <color theme="1"/>
        <rFont val="Calibri"/>
        <family val="2"/>
        <scheme val="minor"/>
      </rPr>
      <t xml:space="preserve"> - Other Improvement of Instruction Services
</t>
    </r>
    <r>
      <rPr>
        <b/>
        <sz val="11"/>
        <color theme="1"/>
        <rFont val="Calibri"/>
        <family val="2"/>
        <scheme val="minor"/>
      </rPr>
      <t>2220</t>
    </r>
    <r>
      <rPr>
        <sz val="11"/>
        <color theme="1"/>
        <rFont val="Calibri"/>
        <family val="2"/>
        <scheme val="minor"/>
      </rPr>
      <t xml:space="preserve"> - Library/Media Services
</t>
    </r>
    <r>
      <rPr>
        <b/>
        <sz val="11"/>
        <color theme="1"/>
        <rFont val="Calibri"/>
        <family val="2"/>
        <scheme val="minor"/>
      </rPr>
      <t>2230</t>
    </r>
    <r>
      <rPr>
        <sz val="11"/>
        <color theme="1"/>
        <rFont val="Calibri"/>
        <family val="2"/>
        <scheme val="minor"/>
      </rPr>
      <t xml:space="preserve"> - Instruction-Related Technology
</t>
    </r>
    <r>
      <rPr>
        <b/>
        <sz val="11"/>
        <color theme="1"/>
        <rFont val="Calibri"/>
        <family val="2"/>
        <scheme val="minor"/>
      </rPr>
      <t>2240</t>
    </r>
    <r>
      <rPr>
        <sz val="11"/>
        <color theme="1"/>
        <rFont val="Calibri"/>
        <family val="2"/>
        <scheme val="minor"/>
      </rPr>
      <t xml:space="preserve"> - Academic Student Assessment
</t>
    </r>
    <r>
      <rPr>
        <b/>
        <sz val="11"/>
        <color theme="1"/>
        <rFont val="Calibri"/>
        <family val="2"/>
        <scheme val="minor"/>
      </rPr>
      <t>2290</t>
    </r>
    <r>
      <rPr>
        <sz val="11"/>
        <color theme="1"/>
        <rFont val="Calibri"/>
        <family val="2"/>
        <scheme val="minor"/>
      </rPr>
      <t xml:space="preserve"> - Other Support Services—Instructional Staff
</t>
    </r>
    <r>
      <rPr>
        <b/>
        <sz val="11"/>
        <color theme="1"/>
        <rFont val="Calibri"/>
        <family val="2"/>
        <scheme val="minor"/>
      </rPr>
      <t>2300</t>
    </r>
    <r>
      <rPr>
        <sz val="11"/>
        <color theme="1"/>
        <rFont val="Calibri"/>
        <family val="2"/>
        <scheme val="minor"/>
      </rPr>
      <t xml:space="preserve"> - Support Services—General Administration
</t>
    </r>
    <r>
      <rPr>
        <b/>
        <sz val="11"/>
        <color theme="1"/>
        <rFont val="Calibri"/>
        <family val="2"/>
        <scheme val="minor"/>
      </rPr>
      <t>2310</t>
    </r>
    <r>
      <rPr>
        <sz val="11"/>
        <color theme="1"/>
        <rFont val="Calibri"/>
        <family val="2"/>
        <scheme val="minor"/>
      </rPr>
      <t xml:space="preserve"> - Board of Education
</t>
    </r>
    <r>
      <rPr>
        <b/>
        <sz val="11"/>
        <color theme="1"/>
        <rFont val="Calibri"/>
        <family val="2"/>
        <scheme val="minor"/>
      </rPr>
      <t>2320</t>
    </r>
    <r>
      <rPr>
        <sz val="11"/>
        <color theme="1"/>
        <rFont val="Calibri"/>
        <family val="2"/>
        <scheme val="minor"/>
      </rPr>
      <t xml:space="preserve"> - Executive Administration
</t>
    </r>
    <r>
      <rPr>
        <b/>
        <sz val="11"/>
        <color theme="1"/>
        <rFont val="Calibri"/>
        <family val="2"/>
        <scheme val="minor"/>
      </rPr>
      <t>2400</t>
    </r>
    <r>
      <rPr>
        <sz val="11"/>
        <color theme="1"/>
        <rFont val="Calibri"/>
        <family val="2"/>
        <scheme val="minor"/>
      </rPr>
      <t xml:space="preserve"> - Support Services—School Administration
</t>
    </r>
    <r>
      <rPr>
        <b/>
        <sz val="11"/>
        <color theme="1"/>
        <rFont val="Calibri"/>
        <family val="2"/>
        <scheme val="minor"/>
      </rPr>
      <t>2410</t>
    </r>
    <r>
      <rPr>
        <sz val="11"/>
        <color theme="1"/>
        <rFont val="Calibri"/>
        <family val="2"/>
        <scheme val="minor"/>
      </rPr>
      <t xml:space="preserve"> - Office of the Principal
</t>
    </r>
    <r>
      <rPr>
        <b/>
        <sz val="11"/>
        <color theme="1"/>
        <rFont val="Calibri"/>
        <family val="2"/>
        <scheme val="minor"/>
      </rPr>
      <t>2490</t>
    </r>
    <r>
      <rPr>
        <sz val="11"/>
        <color theme="1"/>
        <rFont val="Calibri"/>
        <family val="2"/>
        <scheme val="minor"/>
      </rPr>
      <t xml:space="preserve"> - Other Support Services—School Administration
</t>
    </r>
    <r>
      <rPr>
        <b/>
        <sz val="11"/>
        <color theme="1"/>
        <rFont val="Calibri"/>
        <family val="2"/>
        <scheme val="minor"/>
      </rPr>
      <t>2500</t>
    </r>
    <r>
      <rPr>
        <sz val="11"/>
        <color theme="1"/>
        <rFont val="Calibri"/>
        <family val="2"/>
        <scheme val="minor"/>
      </rPr>
      <t xml:space="preserve"> - Central Services
</t>
    </r>
    <r>
      <rPr>
        <b/>
        <sz val="11"/>
        <color theme="1"/>
        <rFont val="Calibri"/>
        <family val="2"/>
        <scheme val="minor"/>
      </rPr>
      <t>2510</t>
    </r>
    <r>
      <rPr>
        <sz val="11"/>
        <color theme="1"/>
        <rFont val="Calibri"/>
        <family val="2"/>
        <scheme val="minor"/>
      </rPr>
      <t xml:space="preserve"> - Fiscal Services
</t>
    </r>
    <r>
      <rPr>
        <b/>
        <sz val="11"/>
        <color theme="1"/>
        <rFont val="Calibri"/>
        <family val="2"/>
        <scheme val="minor"/>
      </rPr>
      <t>2520</t>
    </r>
    <r>
      <rPr>
        <sz val="11"/>
        <color theme="1"/>
        <rFont val="Calibri"/>
        <family val="2"/>
        <scheme val="minor"/>
      </rPr>
      <t xml:space="preserve"> - Purchasing, Warehousing, and Distributing Services
</t>
    </r>
    <r>
      <rPr>
        <b/>
        <sz val="11"/>
        <color theme="1"/>
        <rFont val="Calibri"/>
        <family val="2"/>
        <scheme val="minor"/>
      </rPr>
      <t>2530</t>
    </r>
    <r>
      <rPr>
        <sz val="11"/>
        <color theme="1"/>
        <rFont val="Calibri"/>
        <family val="2"/>
        <scheme val="minor"/>
      </rPr>
      <t xml:space="preserve"> - Printing, Publishing, and Duplicating Services
</t>
    </r>
    <r>
      <rPr>
        <b/>
        <sz val="11"/>
        <color theme="1"/>
        <rFont val="Calibri"/>
        <family val="2"/>
        <scheme val="minor"/>
      </rPr>
      <t>2540</t>
    </r>
    <r>
      <rPr>
        <sz val="11"/>
        <color theme="1"/>
        <rFont val="Calibri"/>
        <family val="2"/>
        <scheme val="minor"/>
      </rPr>
      <t xml:space="preserve"> - Planning, Research, Development, and Evaluation Services
</t>
    </r>
    <r>
      <rPr>
        <b/>
        <sz val="11"/>
        <color theme="1"/>
        <rFont val="Calibri"/>
        <family val="2"/>
        <scheme val="minor"/>
      </rPr>
      <t>2560</t>
    </r>
    <r>
      <rPr>
        <sz val="11"/>
        <color theme="1"/>
        <rFont val="Calibri"/>
        <family val="2"/>
        <scheme val="minor"/>
      </rPr>
      <t xml:space="preserve"> - Public Information Services
</t>
    </r>
    <r>
      <rPr>
        <b/>
        <sz val="11"/>
        <color theme="1"/>
        <rFont val="Calibri"/>
        <family val="2"/>
        <scheme val="minor"/>
      </rPr>
      <t>2570</t>
    </r>
    <r>
      <rPr>
        <sz val="11"/>
        <color theme="1"/>
        <rFont val="Calibri"/>
        <family val="2"/>
        <scheme val="minor"/>
      </rPr>
      <t xml:space="preserve"> - Personnel Services
</t>
    </r>
    <r>
      <rPr>
        <b/>
        <sz val="11"/>
        <color theme="1"/>
        <rFont val="Calibri"/>
        <family val="2"/>
        <scheme val="minor"/>
      </rPr>
      <t>2580</t>
    </r>
    <r>
      <rPr>
        <sz val="11"/>
        <color theme="1"/>
        <rFont val="Calibri"/>
        <family val="2"/>
        <scheme val="minor"/>
      </rPr>
      <t xml:space="preserve"> - Administrative Technology Services
</t>
    </r>
    <r>
      <rPr>
        <b/>
        <sz val="11"/>
        <color theme="1"/>
        <rFont val="Calibri"/>
        <family val="2"/>
        <scheme val="minor"/>
      </rPr>
      <t>2590</t>
    </r>
    <r>
      <rPr>
        <sz val="11"/>
        <color theme="1"/>
        <rFont val="Calibri"/>
        <family val="2"/>
        <scheme val="minor"/>
      </rPr>
      <t xml:space="preserve"> - Other Support Services—Central Services
</t>
    </r>
    <r>
      <rPr>
        <b/>
        <sz val="11"/>
        <color theme="1"/>
        <rFont val="Calibri"/>
        <family val="2"/>
        <scheme val="minor"/>
      </rPr>
      <t>2600</t>
    </r>
    <r>
      <rPr>
        <sz val="11"/>
        <color theme="1"/>
        <rFont val="Calibri"/>
        <family val="2"/>
        <scheme val="minor"/>
      </rPr>
      <t xml:space="preserve"> - Operation and Maintenance of Plant
</t>
    </r>
    <r>
      <rPr>
        <b/>
        <sz val="11"/>
        <color theme="1"/>
        <rFont val="Calibri"/>
        <family val="2"/>
        <scheme val="minor"/>
      </rPr>
      <t>2610</t>
    </r>
    <r>
      <rPr>
        <sz val="11"/>
        <color theme="1"/>
        <rFont val="Calibri"/>
        <family val="2"/>
        <scheme val="minor"/>
      </rPr>
      <t xml:space="preserve"> - Operation of Buildings
</t>
    </r>
    <r>
      <rPr>
        <b/>
        <sz val="11"/>
        <color theme="1"/>
        <rFont val="Calibri"/>
        <family val="2"/>
        <scheme val="minor"/>
      </rPr>
      <t>2620</t>
    </r>
    <r>
      <rPr>
        <sz val="11"/>
        <color theme="1"/>
        <rFont val="Calibri"/>
        <family val="2"/>
        <scheme val="minor"/>
      </rPr>
      <t xml:space="preserve"> - Maintenance of Buildings
</t>
    </r>
    <r>
      <rPr>
        <b/>
        <sz val="11"/>
        <color theme="1"/>
        <rFont val="Calibri"/>
        <family val="2"/>
        <scheme val="minor"/>
      </rPr>
      <t>2630</t>
    </r>
    <r>
      <rPr>
        <sz val="11"/>
        <color theme="1"/>
        <rFont val="Calibri"/>
        <family val="2"/>
        <scheme val="minor"/>
      </rPr>
      <t xml:space="preserve"> - Care and Upkeep of Grounds
</t>
    </r>
    <r>
      <rPr>
        <b/>
        <sz val="11"/>
        <color theme="1"/>
        <rFont val="Calibri"/>
        <family val="2"/>
        <scheme val="minor"/>
      </rPr>
      <t>2640</t>
    </r>
    <r>
      <rPr>
        <sz val="11"/>
        <color theme="1"/>
        <rFont val="Calibri"/>
        <family val="2"/>
        <scheme val="minor"/>
      </rPr>
      <t xml:space="preserve"> - Care and Upkeep of Equipment
</t>
    </r>
    <r>
      <rPr>
        <b/>
        <sz val="11"/>
        <color theme="1"/>
        <rFont val="Calibri"/>
        <family val="2"/>
        <scheme val="minor"/>
      </rPr>
      <t>2650</t>
    </r>
    <r>
      <rPr>
        <sz val="11"/>
        <color theme="1"/>
        <rFont val="Calibri"/>
        <family val="2"/>
        <scheme val="minor"/>
      </rPr>
      <t xml:space="preserve"> - Vehicle Operation and Maintenance (Other Than Student Transportation Vehicles)
</t>
    </r>
    <r>
      <rPr>
        <b/>
        <sz val="11"/>
        <color theme="1"/>
        <rFont val="Calibri"/>
        <family val="2"/>
        <scheme val="minor"/>
      </rPr>
      <t>2660</t>
    </r>
    <r>
      <rPr>
        <sz val="11"/>
        <color theme="1"/>
        <rFont val="Calibri"/>
        <family val="2"/>
        <scheme val="minor"/>
      </rPr>
      <t xml:space="preserve"> - Security
</t>
    </r>
    <r>
      <rPr>
        <b/>
        <sz val="11"/>
        <color theme="1"/>
        <rFont val="Calibri"/>
        <family val="2"/>
        <scheme val="minor"/>
      </rPr>
      <t>2670</t>
    </r>
    <r>
      <rPr>
        <sz val="11"/>
        <color theme="1"/>
        <rFont val="Calibri"/>
        <family val="2"/>
        <scheme val="minor"/>
      </rPr>
      <t xml:space="preserve"> - Safety
</t>
    </r>
    <r>
      <rPr>
        <b/>
        <sz val="11"/>
        <color theme="1"/>
        <rFont val="Calibri"/>
        <family val="2"/>
        <scheme val="minor"/>
      </rPr>
      <t>2680</t>
    </r>
    <r>
      <rPr>
        <sz val="11"/>
        <color theme="1"/>
        <rFont val="Calibri"/>
        <family val="2"/>
        <scheme val="minor"/>
      </rPr>
      <t xml:space="preserve"> - Other Operation and Maintenance of Plant
</t>
    </r>
    <r>
      <rPr>
        <b/>
        <sz val="11"/>
        <color theme="1"/>
        <rFont val="Calibri"/>
        <family val="2"/>
        <scheme val="minor"/>
      </rPr>
      <t>2700</t>
    </r>
    <r>
      <rPr>
        <sz val="11"/>
        <color theme="1"/>
        <rFont val="Calibri"/>
        <family val="2"/>
        <scheme val="minor"/>
      </rPr>
      <t xml:space="preserve"> - Student Transportation
</t>
    </r>
    <r>
      <rPr>
        <b/>
        <sz val="11"/>
        <color theme="1"/>
        <rFont val="Calibri"/>
        <family val="2"/>
        <scheme val="minor"/>
      </rPr>
      <t>2710</t>
    </r>
    <r>
      <rPr>
        <sz val="11"/>
        <color theme="1"/>
        <rFont val="Calibri"/>
        <family val="2"/>
        <scheme val="minor"/>
      </rPr>
      <t xml:space="preserve"> - Vehicle Operation
</t>
    </r>
    <r>
      <rPr>
        <b/>
        <sz val="11"/>
        <color theme="1"/>
        <rFont val="Calibri"/>
        <family val="2"/>
        <scheme val="minor"/>
      </rPr>
      <t>2720</t>
    </r>
    <r>
      <rPr>
        <sz val="11"/>
        <color theme="1"/>
        <rFont val="Calibri"/>
        <family val="2"/>
        <scheme val="minor"/>
      </rPr>
      <t xml:space="preserve"> - Monitoring Services
</t>
    </r>
    <r>
      <rPr>
        <b/>
        <sz val="11"/>
        <color theme="1"/>
        <rFont val="Calibri"/>
        <family val="2"/>
        <scheme val="minor"/>
      </rPr>
      <t>2730</t>
    </r>
    <r>
      <rPr>
        <sz val="11"/>
        <color theme="1"/>
        <rFont val="Calibri"/>
        <family val="2"/>
        <scheme val="minor"/>
      </rPr>
      <t xml:space="preserve"> - Vehicle Servicing and Maintenance
</t>
    </r>
    <r>
      <rPr>
        <b/>
        <sz val="11"/>
        <color theme="1"/>
        <rFont val="Calibri"/>
        <family val="2"/>
        <scheme val="minor"/>
      </rPr>
      <t>2790</t>
    </r>
    <r>
      <rPr>
        <sz val="11"/>
        <color theme="1"/>
        <rFont val="Calibri"/>
        <family val="2"/>
        <scheme val="minor"/>
      </rPr>
      <t xml:space="preserve"> - Other Student Transportation Services
</t>
    </r>
    <r>
      <rPr>
        <b/>
        <sz val="11"/>
        <color theme="1"/>
        <rFont val="Calibri"/>
        <family val="2"/>
        <scheme val="minor"/>
      </rPr>
      <t>3000</t>
    </r>
    <r>
      <rPr>
        <sz val="11"/>
        <color theme="1"/>
        <rFont val="Calibri"/>
        <family val="2"/>
        <scheme val="minor"/>
      </rPr>
      <t xml:space="preserve"> - Operation of Noninstructional Services
</t>
    </r>
    <r>
      <rPr>
        <b/>
        <sz val="11"/>
        <color theme="1"/>
        <rFont val="Calibri"/>
        <family val="2"/>
        <scheme val="minor"/>
      </rPr>
      <t>3100</t>
    </r>
    <r>
      <rPr>
        <sz val="11"/>
        <color theme="1"/>
        <rFont val="Calibri"/>
        <family val="2"/>
        <scheme val="minor"/>
      </rPr>
      <t xml:space="preserve"> - Food Services Operations
</t>
    </r>
    <r>
      <rPr>
        <b/>
        <sz val="11"/>
        <color theme="1"/>
        <rFont val="Calibri"/>
        <family val="2"/>
        <scheme val="minor"/>
      </rPr>
      <t>3200</t>
    </r>
    <r>
      <rPr>
        <sz val="11"/>
        <color theme="1"/>
        <rFont val="Calibri"/>
        <family val="2"/>
        <scheme val="minor"/>
      </rPr>
      <t xml:space="preserve"> - Enterprise Operations
</t>
    </r>
    <r>
      <rPr>
        <b/>
        <sz val="11"/>
        <color theme="1"/>
        <rFont val="Calibri"/>
        <family val="2"/>
        <scheme val="minor"/>
      </rPr>
      <t>3300</t>
    </r>
    <r>
      <rPr>
        <sz val="11"/>
        <color theme="1"/>
        <rFont val="Calibri"/>
        <family val="2"/>
        <scheme val="minor"/>
      </rPr>
      <t xml:space="preserve"> - Community Services Operations
</t>
    </r>
    <r>
      <rPr>
        <b/>
        <sz val="11"/>
        <color theme="1"/>
        <rFont val="Calibri"/>
        <family val="2"/>
        <scheme val="minor"/>
      </rPr>
      <t>4100</t>
    </r>
    <r>
      <rPr>
        <sz val="11"/>
        <color theme="1"/>
        <rFont val="Calibri"/>
        <family val="2"/>
        <scheme val="minor"/>
      </rPr>
      <t xml:space="preserve"> - Land Acquisition. Activities concerned with initially acquiring and improving land
</t>
    </r>
    <r>
      <rPr>
        <b/>
        <sz val="11"/>
        <color theme="1"/>
        <rFont val="Calibri"/>
        <family val="2"/>
        <scheme val="minor"/>
      </rPr>
      <t>4200</t>
    </r>
    <r>
      <rPr>
        <sz val="11"/>
        <color theme="1"/>
        <rFont val="Calibri"/>
        <family val="2"/>
        <scheme val="minor"/>
      </rPr>
      <t xml:space="preserve"> - Land Improvement
</t>
    </r>
    <r>
      <rPr>
        <b/>
        <sz val="11"/>
        <color theme="1"/>
        <rFont val="Calibri"/>
        <family val="2"/>
        <scheme val="minor"/>
      </rPr>
      <t>4300</t>
    </r>
    <r>
      <rPr>
        <sz val="11"/>
        <color theme="1"/>
        <rFont val="Calibri"/>
        <family val="2"/>
        <scheme val="minor"/>
      </rPr>
      <t xml:space="preserve"> - Architecture and Engineering
</t>
    </r>
    <r>
      <rPr>
        <b/>
        <sz val="11"/>
        <color theme="1"/>
        <rFont val="Calibri"/>
        <family val="2"/>
        <scheme val="minor"/>
      </rPr>
      <t>4400</t>
    </r>
    <r>
      <rPr>
        <sz val="11"/>
        <color theme="1"/>
        <rFont val="Calibri"/>
        <family val="2"/>
        <scheme val="minor"/>
      </rPr>
      <t xml:space="preserve"> - Educational Specifications Development
</t>
    </r>
    <r>
      <rPr>
        <b/>
        <sz val="11"/>
        <color theme="1"/>
        <rFont val="Calibri"/>
        <family val="2"/>
        <scheme val="minor"/>
      </rPr>
      <t>4500</t>
    </r>
    <r>
      <rPr>
        <sz val="11"/>
        <color theme="1"/>
        <rFont val="Calibri"/>
        <family val="2"/>
        <scheme val="minor"/>
      </rPr>
      <t xml:space="preserve"> - Building Acquisition and Construction
</t>
    </r>
    <r>
      <rPr>
        <b/>
        <sz val="11"/>
        <color theme="1"/>
        <rFont val="Calibri"/>
        <family val="2"/>
        <scheme val="minor"/>
      </rPr>
      <t>4600</t>
    </r>
    <r>
      <rPr>
        <sz val="11"/>
        <color theme="1"/>
        <rFont val="Calibri"/>
        <family val="2"/>
        <scheme val="minor"/>
      </rPr>
      <t xml:space="preserve"> - Site Improvement
</t>
    </r>
    <r>
      <rPr>
        <b/>
        <sz val="11"/>
        <color theme="1"/>
        <rFont val="Calibri"/>
        <family val="2"/>
        <scheme val="minor"/>
      </rPr>
      <t>4700</t>
    </r>
    <r>
      <rPr>
        <sz val="11"/>
        <color theme="1"/>
        <rFont val="Calibri"/>
        <family val="2"/>
        <scheme val="minor"/>
      </rPr>
      <t xml:space="preserve"> - Building Improvements
</t>
    </r>
    <r>
      <rPr>
        <b/>
        <sz val="11"/>
        <color theme="1"/>
        <rFont val="Calibri"/>
        <family val="2"/>
        <scheme val="minor"/>
      </rPr>
      <t>4900</t>
    </r>
    <r>
      <rPr>
        <sz val="11"/>
        <color theme="1"/>
        <rFont val="Calibri"/>
        <family val="2"/>
        <scheme val="minor"/>
      </rPr>
      <t xml:space="preserve"> - Other Facilities Acquisition and Construction
</t>
    </r>
    <r>
      <rPr>
        <b/>
        <sz val="11"/>
        <color theme="1"/>
        <rFont val="Calibri"/>
        <family val="2"/>
        <scheme val="minor"/>
      </rPr>
      <t>5000</t>
    </r>
    <r>
      <rPr>
        <sz val="11"/>
        <color theme="1"/>
        <rFont val="Calibri"/>
        <family val="2"/>
        <scheme val="minor"/>
      </rPr>
      <t xml:space="preserve"> - Debt Service
</t>
    </r>
  </si>
  <si>
    <r>
      <t>100</t>
    </r>
    <r>
      <rPr>
        <sz val="11"/>
        <color theme="1"/>
        <rFont val="Calibri"/>
        <family val="2"/>
        <scheme val="minor"/>
      </rPr>
      <t xml:space="preserve"> - Personal Services—Salaries
</t>
    </r>
    <r>
      <rPr>
        <b/>
        <sz val="11"/>
        <color theme="1"/>
        <rFont val="Calibri"/>
        <family val="2"/>
        <scheme val="minor"/>
      </rPr>
      <t>101</t>
    </r>
    <r>
      <rPr>
        <sz val="11"/>
        <color theme="1"/>
        <rFont val="Calibri"/>
        <family val="2"/>
        <scheme val="minor"/>
      </rPr>
      <t xml:space="preserve"> - Salaries Paid to Teachers
</t>
    </r>
    <r>
      <rPr>
        <b/>
        <sz val="11"/>
        <color theme="1"/>
        <rFont val="Calibri"/>
        <family val="2"/>
        <scheme val="minor"/>
      </rPr>
      <t>102</t>
    </r>
    <r>
      <rPr>
        <sz val="11"/>
        <color theme="1"/>
        <rFont val="Calibri"/>
        <family val="2"/>
        <scheme val="minor"/>
      </rPr>
      <t xml:space="preserve"> - Salaries Paid to Instructional Aides or Assistants
</t>
    </r>
    <r>
      <rPr>
        <b/>
        <sz val="11"/>
        <color theme="1"/>
        <rFont val="Calibri"/>
        <family val="2"/>
        <scheme val="minor"/>
      </rPr>
      <t>103</t>
    </r>
    <r>
      <rPr>
        <sz val="11"/>
        <color theme="1"/>
        <rFont val="Calibri"/>
        <family val="2"/>
        <scheme val="minor"/>
      </rPr>
      <t xml:space="preserve"> - Salaries Paid to Substitute Teachers
</t>
    </r>
    <r>
      <rPr>
        <b/>
        <sz val="11"/>
        <color theme="1"/>
        <rFont val="Calibri"/>
        <family val="2"/>
        <scheme val="minor"/>
      </rPr>
      <t>110</t>
    </r>
    <r>
      <rPr>
        <sz val="11"/>
        <color theme="1"/>
        <rFont val="Calibri"/>
        <family val="2"/>
        <scheme val="minor"/>
      </rPr>
      <t xml:space="preserve"> - Salaries of Regular Employees
</t>
    </r>
    <r>
      <rPr>
        <b/>
        <sz val="11"/>
        <color theme="1"/>
        <rFont val="Calibri"/>
        <family val="2"/>
        <scheme val="minor"/>
      </rPr>
      <t>111</t>
    </r>
    <r>
      <rPr>
        <sz val="11"/>
        <color theme="1"/>
        <rFont val="Calibri"/>
        <family val="2"/>
        <scheme val="minor"/>
      </rPr>
      <t xml:space="preserve"> - Salaries of Regular Employees Paid to Teachers
</t>
    </r>
    <r>
      <rPr>
        <b/>
        <sz val="11"/>
        <color theme="1"/>
        <rFont val="Calibri"/>
        <family val="2"/>
        <scheme val="minor"/>
      </rPr>
      <t>112</t>
    </r>
    <r>
      <rPr>
        <sz val="11"/>
        <color theme="1"/>
        <rFont val="Calibri"/>
        <family val="2"/>
        <scheme val="minor"/>
      </rPr>
      <t xml:space="preserve"> - Salaries of Regular Employees Paid to Instructional Aides and Assistants
</t>
    </r>
    <r>
      <rPr>
        <b/>
        <sz val="11"/>
        <color theme="1"/>
        <rFont val="Calibri"/>
        <family val="2"/>
        <scheme val="minor"/>
      </rPr>
      <t>113</t>
    </r>
    <r>
      <rPr>
        <sz val="11"/>
        <color theme="1"/>
        <rFont val="Calibri"/>
        <family val="2"/>
        <scheme val="minor"/>
      </rPr>
      <t xml:space="preserve"> - Salaries of Regular Employees Paid to Substitute Teachers
</t>
    </r>
    <r>
      <rPr>
        <b/>
        <sz val="11"/>
        <color theme="1"/>
        <rFont val="Calibri"/>
        <family val="2"/>
        <scheme val="minor"/>
      </rPr>
      <t>120</t>
    </r>
    <r>
      <rPr>
        <sz val="11"/>
        <color theme="1"/>
        <rFont val="Calibri"/>
        <family val="2"/>
        <scheme val="minor"/>
      </rPr>
      <t xml:space="preserve"> - Salaries of Temporary Employees
</t>
    </r>
    <r>
      <rPr>
        <b/>
        <sz val="11"/>
        <color theme="1"/>
        <rFont val="Calibri"/>
        <family val="2"/>
        <scheme val="minor"/>
      </rPr>
      <t>121</t>
    </r>
    <r>
      <rPr>
        <sz val="11"/>
        <color theme="1"/>
        <rFont val="Calibri"/>
        <family val="2"/>
        <scheme val="minor"/>
      </rPr>
      <t xml:space="preserve"> - Salaries of Temporary Employees Paid to Teachers
</t>
    </r>
    <r>
      <rPr>
        <b/>
        <sz val="11"/>
        <color theme="1"/>
        <rFont val="Calibri"/>
        <family val="2"/>
        <scheme val="minor"/>
      </rPr>
      <t>122</t>
    </r>
    <r>
      <rPr>
        <sz val="11"/>
        <color theme="1"/>
        <rFont val="Calibri"/>
        <family val="2"/>
        <scheme val="minor"/>
      </rPr>
      <t xml:space="preserve"> - Salaries of Temporary Employees Paid to Instructional Aides and Assistants
</t>
    </r>
    <r>
      <rPr>
        <b/>
        <sz val="11"/>
        <color theme="1"/>
        <rFont val="Calibri"/>
        <family val="2"/>
        <scheme val="minor"/>
      </rPr>
      <t>123</t>
    </r>
    <r>
      <rPr>
        <sz val="11"/>
        <color theme="1"/>
        <rFont val="Calibri"/>
        <family val="2"/>
        <scheme val="minor"/>
      </rPr>
      <t xml:space="preserve"> - Salaries of Temporary Employees Paid to Substitute Teachers
</t>
    </r>
    <r>
      <rPr>
        <b/>
        <sz val="11"/>
        <color theme="1"/>
        <rFont val="Calibri"/>
        <family val="2"/>
        <scheme val="minor"/>
      </rPr>
      <t>130</t>
    </r>
    <r>
      <rPr>
        <sz val="11"/>
        <color theme="1"/>
        <rFont val="Calibri"/>
        <family val="2"/>
        <scheme val="minor"/>
      </rPr>
      <t xml:space="preserve"> - Salaries for Overtime
</t>
    </r>
    <r>
      <rPr>
        <b/>
        <sz val="11"/>
        <color theme="1"/>
        <rFont val="Calibri"/>
        <family val="2"/>
        <scheme val="minor"/>
      </rPr>
      <t>131</t>
    </r>
    <r>
      <rPr>
        <sz val="11"/>
        <color theme="1"/>
        <rFont val="Calibri"/>
        <family val="2"/>
        <scheme val="minor"/>
      </rPr>
      <t xml:space="preserve"> - Salaries for Overtime Employees Paid to Teachers
</t>
    </r>
    <r>
      <rPr>
        <b/>
        <sz val="11"/>
        <color theme="1"/>
        <rFont val="Calibri"/>
        <family val="2"/>
        <scheme val="minor"/>
      </rPr>
      <t>132</t>
    </r>
    <r>
      <rPr>
        <sz val="11"/>
        <color theme="1"/>
        <rFont val="Calibri"/>
        <family val="2"/>
        <scheme val="minor"/>
      </rPr>
      <t xml:space="preserve"> - Salaries for Overtime Employees Paid to Instructional Aides and Assistants
</t>
    </r>
    <r>
      <rPr>
        <b/>
        <sz val="11"/>
        <color theme="1"/>
        <rFont val="Calibri"/>
        <family val="2"/>
        <scheme val="minor"/>
      </rPr>
      <t>133</t>
    </r>
    <r>
      <rPr>
        <sz val="11"/>
        <color theme="1"/>
        <rFont val="Calibri"/>
        <family val="2"/>
        <scheme val="minor"/>
      </rPr>
      <t xml:space="preserve"> - Salaries for Overtime Employees Paid to Substitute Teachers
</t>
    </r>
    <r>
      <rPr>
        <b/>
        <sz val="11"/>
        <color theme="1"/>
        <rFont val="Calibri"/>
        <family val="2"/>
        <scheme val="minor"/>
      </rPr>
      <t>140</t>
    </r>
    <r>
      <rPr>
        <sz val="11"/>
        <color theme="1"/>
        <rFont val="Calibri"/>
        <family val="2"/>
        <scheme val="minor"/>
      </rPr>
      <t xml:space="preserve"> - Salaries for Sabbatical Leave
</t>
    </r>
    <r>
      <rPr>
        <b/>
        <sz val="11"/>
        <color theme="1"/>
        <rFont val="Calibri"/>
        <family val="2"/>
        <scheme val="minor"/>
      </rPr>
      <t>141</t>
    </r>
    <r>
      <rPr>
        <sz val="11"/>
        <color theme="1"/>
        <rFont val="Calibri"/>
        <family val="2"/>
        <scheme val="minor"/>
      </rPr>
      <t xml:space="preserve"> - Salaries for Sabbatical Leave Paid to Teachers
</t>
    </r>
    <r>
      <rPr>
        <b/>
        <sz val="11"/>
        <color theme="1"/>
        <rFont val="Calibri"/>
        <family val="2"/>
        <scheme val="minor"/>
      </rPr>
      <t>142</t>
    </r>
    <r>
      <rPr>
        <sz val="11"/>
        <color theme="1"/>
        <rFont val="Calibri"/>
        <family val="2"/>
        <scheme val="minor"/>
      </rPr>
      <t xml:space="preserve"> - Salaries for Sabbatical Leave Paid to Instructional Aides and Assistants
</t>
    </r>
    <r>
      <rPr>
        <b/>
        <sz val="11"/>
        <color theme="1"/>
        <rFont val="Calibri"/>
        <family val="2"/>
        <scheme val="minor"/>
      </rPr>
      <t>143</t>
    </r>
    <r>
      <rPr>
        <sz val="11"/>
        <color theme="1"/>
        <rFont val="Calibri"/>
        <family val="2"/>
        <scheme val="minor"/>
      </rPr>
      <t xml:space="preserve"> - Salaries for Sabbatical Leave Paid to Substitute Teachers
</t>
    </r>
    <r>
      <rPr>
        <b/>
        <sz val="11"/>
        <color theme="1"/>
        <rFont val="Calibri"/>
        <family val="2"/>
        <scheme val="minor"/>
      </rPr>
      <t>150</t>
    </r>
    <r>
      <rPr>
        <sz val="11"/>
        <color theme="1"/>
        <rFont val="Calibri"/>
        <family val="2"/>
        <scheme val="minor"/>
      </rPr>
      <t xml:space="preserve"> - Additional Compensation Such as Bonuses or Incentives
</t>
    </r>
    <r>
      <rPr>
        <b/>
        <sz val="11"/>
        <color theme="1"/>
        <rFont val="Calibri"/>
        <family val="2"/>
        <scheme val="minor"/>
      </rPr>
      <t>151</t>
    </r>
    <r>
      <rPr>
        <sz val="11"/>
        <color theme="1"/>
        <rFont val="Calibri"/>
        <family val="2"/>
        <scheme val="minor"/>
      </rPr>
      <t xml:space="preserve"> - Additional Compensation Paid to Teachers
</t>
    </r>
    <r>
      <rPr>
        <b/>
        <sz val="11"/>
        <color theme="1"/>
        <rFont val="Calibri"/>
        <family val="2"/>
        <scheme val="minor"/>
      </rPr>
      <t>152</t>
    </r>
    <r>
      <rPr>
        <sz val="11"/>
        <color theme="1"/>
        <rFont val="Calibri"/>
        <family val="2"/>
        <scheme val="minor"/>
      </rPr>
      <t xml:space="preserve"> - Additional Compensation Paid to Instructional Aides and Assistants
</t>
    </r>
    <r>
      <rPr>
        <b/>
        <sz val="11"/>
        <color theme="1"/>
        <rFont val="Calibri"/>
        <family val="2"/>
        <scheme val="minor"/>
      </rPr>
      <t>153</t>
    </r>
    <r>
      <rPr>
        <sz val="11"/>
        <color theme="1"/>
        <rFont val="Calibri"/>
        <family val="2"/>
        <scheme val="minor"/>
      </rPr>
      <t xml:space="preserve"> - Additional Compensation Paid to Substitute Teachers
</t>
    </r>
    <r>
      <rPr>
        <b/>
        <sz val="11"/>
        <color theme="1"/>
        <rFont val="Calibri"/>
        <family val="2"/>
        <scheme val="minor"/>
      </rPr>
      <t>200</t>
    </r>
    <r>
      <rPr>
        <sz val="11"/>
        <color theme="1"/>
        <rFont val="Calibri"/>
        <family val="2"/>
        <scheme val="minor"/>
      </rPr>
      <t xml:space="preserve"> - Personal Services—Employee Benefits
</t>
    </r>
    <r>
      <rPr>
        <b/>
        <sz val="11"/>
        <color theme="1"/>
        <rFont val="Calibri"/>
        <family val="2"/>
        <scheme val="minor"/>
      </rPr>
      <t>201</t>
    </r>
    <r>
      <rPr>
        <sz val="11"/>
        <color theme="1"/>
        <rFont val="Calibri"/>
        <family val="2"/>
        <scheme val="minor"/>
      </rPr>
      <t xml:space="preserve"> - Employee Benefits for Teachers
</t>
    </r>
    <r>
      <rPr>
        <b/>
        <sz val="11"/>
        <color theme="1"/>
        <rFont val="Calibri"/>
        <family val="2"/>
        <scheme val="minor"/>
      </rPr>
      <t>202</t>
    </r>
    <r>
      <rPr>
        <sz val="11"/>
        <color theme="1"/>
        <rFont val="Calibri"/>
        <family val="2"/>
        <scheme val="minor"/>
      </rPr>
      <t xml:space="preserve"> - Employee Benefits for Instructional Aides or Assistants
</t>
    </r>
    <r>
      <rPr>
        <b/>
        <sz val="11"/>
        <color theme="1"/>
        <rFont val="Calibri"/>
        <family val="2"/>
        <scheme val="minor"/>
      </rPr>
      <t>203</t>
    </r>
    <r>
      <rPr>
        <sz val="11"/>
        <color theme="1"/>
        <rFont val="Calibri"/>
        <family val="2"/>
        <scheme val="minor"/>
      </rPr>
      <t xml:space="preserve"> - Employee Benefits for Substitute Teachers
</t>
    </r>
    <r>
      <rPr>
        <b/>
        <sz val="11"/>
        <color theme="1"/>
        <rFont val="Calibri"/>
        <family val="2"/>
        <scheme val="minor"/>
      </rPr>
      <t>210</t>
    </r>
    <r>
      <rPr>
        <sz val="11"/>
        <color theme="1"/>
        <rFont val="Calibri"/>
        <family val="2"/>
        <scheme val="minor"/>
      </rPr>
      <t xml:space="preserve"> - Group InsuranceEmployer’s share of any insurance plan
</t>
    </r>
    <r>
      <rPr>
        <b/>
        <sz val="11"/>
        <color theme="1"/>
        <rFont val="Calibri"/>
        <family val="2"/>
        <scheme val="minor"/>
      </rPr>
      <t>211</t>
    </r>
    <r>
      <rPr>
        <sz val="11"/>
        <color theme="1"/>
        <rFont val="Calibri"/>
        <family val="2"/>
        <scheme val="minor"/>
      </rPr>
      <t xml:space="preserve"> - Group Insurance for Teachers
</t>
    </r>
    <r>
      <rPr>
        <b/>
        <sz val="11"/>
        <color theme="1"/>
        <rFont val="Calibri"/>
        <family val="2"/>
        <scheme val="minor"/>
      </rPr>
      <t>212</t>
    </r>
    <r>
      <rPr>
        <sz val="11"/>
        <color theme="1"/>
        <rFont val="Calibri"/>
        <family val="2"/>
        <scheme val="minor"/>
      </rPr>
      <t xml:space="preserve"> - Group Insurance for Instructional Aides or Assistants
</t>
    </r>
    <r>
      <rPr>
        <b/>
        <sz val="11"/>
        <color theme="1"/>
        <rFont val="Calibri"/>
        <family val="2"/>
        <scheme val="minor"/>
      </rPr>
      <t>213</t>
    </r>
    <r>
      <rPr>
        <sz val="11"/>
        <color theme="1"/>
        <rFont val="Calibri"/>
        <family val="2"/>
        <scheme val="minor"/>
      </rPr>
      <t xml:space="preserve"> - Group Insurance for Substitute Teachers
</t>
    </r>
    <r>
      <rPr>
        <b/>
        <sz val="11"/>
        <color theme="1"/>
        <rFont val="Calibri"/>
        <family val="2"/>
        <scheme val="minor"/>
      </rPr>
      <t>220</t>
    </r>
    <r>
      <rPr>
        <sz val="11"/>
        <color theme="1"/>
        <rFont val="Calibri"/>
        <family val="2"/>
        <scheme val="minor"/>
      </rPr>
      <t xml:space="preserve"> - Social Security Contributions
</t>
    </r>
    <r>
      <rPr>
        <b/>
        <sz val="11"/>
        <color theme="1"/>
        <rFont val="Calibri"/>
        <family val="2"/>
        <scheme val="minor"/>
      </rPr>
      <t>221</t>
    </r>
    <r>
      <rPr>
        <sz val="11"/>
        <color theme="1"/>
        <rFont val="Calibri"/>
        <family val="2"/>
        <scheme val="minor"/>
      </rPr>
      <t xml:space="preserve"> - Social Security Payments for Teachers
</t>
    </r>
    <r>
      <rPr>
        <b/>
        <sz val="11"/>
        <color theme="1"/>
        <rFont val="Calibri"/>
        <family val="2"/>
        <scheme val="minor"/>
      </rPr>
      <t>222</t>
    </r>
    <r>
      <rPr>
        <sz val="11"/>
        <color theme="1"/>
        <rFont val="Calibri"/>
        <family val="2"/>
        <scheme val="minor"/>
      </rPr>
      <t xml:space="preserve"> - Social Security Payments for Instructional Aides or Assistants
</t>
    </r>
    <r>
      <rPr>
        <b/>
        <sz val="11"/>
        <color theme="1"/>
        <rFont val="Calibri"/>
        <family val="2"/>
        <scheme val="minor"/>
      </rPr>
      <t>223</t>
    </r>
    <r>
      <rPr>
        <sz val="11"/>
        <color theme="1"/>
        <rFont val="Calibri"/>
        <family val="2"/>
        <scheme val="minor"/>
      </rPr>
      <t xml:space="preserve"> - Social Security Payments for Substitute Teachers
</t>
    </r>
    <r>
      <rPr>
        <b/>
        <sz val="11"/>
        <color theme="1"/>
        <rFont val="Calibri"/>
        <family val="2"/>
        <scheme val="minor"/>
      </rPr>
      <t>230</t>
    </r>
    <r>
      <rPr>
        <sz val="11"/>
        <color theme="1"/>
        <rFont val="Calibri"/>
        <family val="2"/>
        <scheme val="minor"/>
      </rPr>
      <t xml:space="preserve"> - Retirement Contributions
</t>
    </r>
    <r>
      <rPr>
        <b/>
        <sz val="11"/>
        <color theme="1"/>
        <rFont val="Calibri"/>
        <family val="2"/>
        <scheme val="minor"/>
      </rPr>
      <t>231</t>
    </r>
    <r>
      <rPr>
        <sz val="11"/>
        <color theme="1"/>
        <rFont val="Calibri"/>
        <family val="2"/>
        <scheme val="minor"/>
      </rPr>
      <t xml:space="preserve"> - Retirement Contributions for Teachers
</t>
    </r>
    <r>
      <rPr>
        <b/>
        <sz val="11"/>
        <color theme="1"/>
        <rFont val="Calibri"/>
        <family val="2"/>
        <scheme val="minor"/>
      </rPr>
      <t>232</t>
    </r>
    <r>
      <rPr>
        <sz val="11"/>
        <color theme="1"/>
        <rFont val="Calibri"/>
        <family val="2"/>
        <scheme val="minor"/>
      </rPr>
      <t xml:space="preserve"> - Retirement Contributions for Instructional Aides or Assistants
</t>
    </r>
    <r>
      <rPr>
        <b/>
        <sz val="11"/>
        <color theme="1"/>
        <rFont val="Calibri"/>
        <family val="2"/>
        <scheme val="minor"/>
      </rPr>
      <t>233</t>
    </r>
    <r>
      <rPr>
        <sz val="11"/>
        <color theme="1"/>
        <rFont val="Calibri"/>
        <family val="2"/>
        <scheme val="minor"/>
      </rPr>
      <t xml:space="preserve"> - Retirement Contributions for Substitute Teachers
</t>
    </r>
    <r>
      <rPr>
        <b/>
        <sz val="11"/>
        <color theme="1"/>
        <rFont val="Calibri"/>
        <family val="2"/>
        <scheme val="minor"/>
      </rPr>
      <t>240</t>
    </r>
    <r>
      <rPr>
        <sz val="11"/>
        <color theme="1"/>
        <rFont val="Calibri"/>
        <family val="2"/>
        <scheme val="minor"/>
      </rPr>
      <t xml:space="preserve"> - On-Behalf Payments
</t>
    </r>
    <r>
      <rPr>
        <b/>
        <sz val="11"/>
        <color theme="1"/>
        <rFont val="Calibri"/>
        <family val="2"/>
        <scheme val="minor"/>
      </rPr>
      <t>241</t>
    </r>
    <r>
      <rPr>
        <sz val="11"/>
        <color theme="1"/>
        <rFont val="Calibri"/>
        <family val="2"/>
        <scheme val="minor"/>
      </rPr>
      <t xml:space="preserve"> - On-Behalf Payments for Teachers
</t>
    </r>
    <r>
      <rPr>
        <b/>
        <sz val="11"/>
        <color theme="1"/>
        <rFont val="Calibri"/>
        <family val="2"/>
        <scheme val="minor"/>
      </rPr>
      <t>242</t>
    </r>
    <r>
      <rPr>
        <sz val="11"/>
        <color theme="1"/>
        <rFont val="Calibri"/>
        <family val="2"/>
        <scheme val="minor"/>
      </rPr>
      <t xml:space="preserve"> - On-Behalf Payments for Instructional Aides or Assistants
</t>
    </r>
    <r>
      <rPr>
        <b/>
        <sz val="11"/>
        <color theme="1"/>
        <rFont val="Calibri"/>
        <family val="2"/>
        <scheme val="minor"/>
      </rPr>
      <t>243</t>
    </r>
    <r>
      <rPr>
        <sz val="11"/>
        <color theme="1"/>
        <rFont val="Calibri"/>
        <family val="2"/>
        <scheme val="minor"/>
      </rPr>
      <t xml:space="preserve"> - On-Behalf Payments for Substitute Teachers
</t>
    </r>
    <r>
      <rPr>
        <b/>
        <sz val="11"/>
        <color theme="1"/>
        <rFont val="Calibri"/>
        <family val="2"/>
        <scheme val="minor"/>
      </rPr>
      <t>250</t>
    </r>
    <r>
      <rPr>
        <sz val="11"/>
        <color theme="1"/>
        <rFont val="Calibri"/>
        <family val="2"/>
        <scheme val="minor"/>
      </rPr>
      <t xml:space="preserve"> - Tuition Reimbursement
</t>
    </r>
    <r>
      <rPr>
        <b/>
        <sz val="11"/>
        <color theme="1"/>
        <rFont val="Calibri"/>
        <family val="2"/>
        <scheme val="minor"/>
      </rPr>
      <t>251</t>
    </r>
    <r>
      <rPr>
        <sz val="11"/>
        <color theme="1"/>
        <rFont val="Calibri"/>
        <family val="2"/>
        <scheme val="minor"/>
      </rPr>
      <t xml:space="preserve"> - Tuition Reimbursement for Teachers
</t>
    </r>
    <r>
      <rPr>
        <b/>
        <sz val="11"/>
        <color theme="1"/>
        <rFont val="Calibri"/>
        <family val="2"/>
        <scheme val="minor"/>
      </rPr>
      <t>252</t>
    </r>
    <r>
      <rPr>
        <sz val="11"/>
        <color theme="1"/>
        <rFont val="Calibri"/>
        <family val="2"/>
        <scheme val="minor"/>
      </rPr>
      <t xml:space="preserve"> - Tuition Reimbursement for Instructional Aides or Assistants
</t>
    </r>
    <r>
      <rPr>
        <b/>
        <sz val="11"/>
        <color theme="1"/>
        <rFont val="Calibri"/>
        <family val="2"/>
        <scheme val="minor"/>
      </rPr>
      <t>253</t>
    </r>
    <r>
      <rPr>
        <sz val="11"/>
        <color theme="1"/>
        <rFont val="Calibri"/>
        <family val="2"/>
        <scheme val="minor"/>
      </rPr>
      <t xml:space="preserve"> - Tuition Reimbursement for Substitute Teachers
</t>
    </r>
    <r>
      <rPr>
        <b/>
        <sz val="11"/>
        <color theme="1"/>
        <rFont val="Calibri"/>
        <family val="2"/>
        <scheme val="minor"/>
      </rPr>
      <t>260</t>
    </r>
    <r>
      <rPr>
        <sz val="11"/>
        <color theme="1"/>
        <rFont val="Calibri"/>
        <family val="2"/>
        <scheme val="minor"/>
      </rPr>
      <t xml:space="preserve"> - Unemployment Compensation
</t>
    </r>
    <r>
      <rPr>
        <b/>
        <sz val="11"/>
        <color theme="1"/>
        <rFont val="Calibri"/>
        <family val="2"/>
        <scheme val="minor"/>
      </rPr>
      <t>261</t>
    </r>
    <r>
      <rPr>
        <sz val="11"/>
        <color theme="1"/>
        <rFont val="Calibri"/>
        <family val="2"/>
        <scheme val="minor"/>
      </rPr>
      <t xml:space="preserve"> - Unemployment Compensation Paid for Teachers
</t>
    </r>
    <r>
      <rPr>
        <b/>
        <sz val="11"/>
        <color theme="1"/>
        <rFont val="Calibri"/>
        <family val="2"/>
        <scheme val="minor"/>
      </rPr>
      <t>262</t>
    </r>
    <r>
      <rPr>
        <sz val="11"/>
        <color theme="1"/>
        <rFont val="Calibri"/>
        <family val="2"/>
        <scheme val="minor"/>
      </rPr>
      <t xml:space="preserve"> - Unemployment Compensation Paid for Instructional Aides or Assistants
</t>
    </r>
    <r>
      <rPr>
        <b/>
        <sz val="11"/>
        <color theme="1"/>
        <rFont val="Calibri"/>
        <family val="2"/>
        <scheme val="minor"/>
      </rPr>
      <t>263</t>
    </r>
    <r>
      <rPr>
        <sz val="11"/>
        <color theme="1"/>
        <rFont val="Calibri"/>
        <family val="2"/>
        <scheme val="minor"/>
      </rPr>
      <t xml:space="preserve"> - Unemployment Compensation Paid for Substitute Teachers
</t>
    </r>
    <r>
      <rPr>
        <b/>
        <sz val="11"/>
        <color theme="1"/>
        <rFont val="Calibri"/>
        <family val="2"/>
        <scheme val="minor"/>
      </rPr>
      <t>270</t>
    </r>
    <r>
      <rPr>
        <sz val="11"/>
        <color theme="1"/>
        <rFont val="Calibri"/>
        <family val="2"/>
        <scheme val="minor"/>
      </rPr>
      <t xml:space="preserve"> - Workers’ Compensation
</t>
    </r>
    <r>
      <rPr>
        <b/>
        <sz val="11"/>
        <color theme="1"/>
        <rFont val="Calibri"/>
        <family val="2"/>
        <scheme val="minor"/>
      </rPr>
      <t>271</t>
    </r>
    <r>
      <rPr>
        <sz val="11"/>
        <color theme="1"/>
        <rFont val="Calibri"/>
        <family val="2"/>
        <scheme val="minor"/>
      </rPr>
      <t xml:space="preserve"> - Worker’s Compensation Paid for Teachers
</t>
    </r>
    <r>
      <rPr>
        <b/>
        <sz val="11"/>
        <color theme="1"/>
        <rFont val="Calibri"/>
        <family val="2"/>
        <scheme val="minor"/>
      </rPr>
      <t>272</t>
    </r>
    <r>
      <rPr>
        <sz val="11"/>
        <color theme="1"/>
        <rFont val="Calibri"/>
        <family val="2"/>
        <scheme val="minor"/>
      </rPr>
      <t xml:space="preserve"> - Worker’s Compensation Paid for Instructional Aides or Assistants
</t>
    </r>
    <r>
      <rPr>
        <b/>
        <sz val="11"/>
        <color theme="1"/>
        <rFont val="Calibri"/>
        <family val="2"/>
        <scheme val="minor"/>
      </rPr>
      <t>273</t>
    </r>
    <r>
      <rPr>
        <sz val="11"/>
        <color theme="1"/>
        <rFont val="Calibri"/>
        <family val="2"/>
        <scheme val="minor"/>
      </rPr>
      <t xml:space="preserve"> - Worker’s Compensation for Substitute Teachers
</t>
    </r>
    <r>
      <rPr>
        <b/>
        <sz val="11"/>
        <color theme="1"/>
        <rFont val="Calibri"/>
        <family val="2"/>
        <scheme val="minor"/>
      </rPr>
      <t>280</t>
    </r>
    <r>
      <rPr>
        <sz val="11"/>
        <color theme="1"/>
        <rFont val="Calibri"/>
        <family val="2"/>
        <scheme val="minor"/>
      </rPr>
      <t xml:space="preserve"> - Health Benefits
</t>
    </r>
    <r>
      <rPr>
        <b/>
        <sz val="11"/>
        <color theme="1"/>
        <rFont val="Calibri"/>
        <family val="2"/>
        <scheme val="minor"/>
      </rPr>
      <t>281</t>
    </r>
    <r>
      <rPr>
        <sz val="11"/>
        <color theme="1"/>
        <rFont val="Calibri"/>
        <family val="2"/>
        <scheme val="minor"/>
      </rPr>
      <t xml:space="preserve"> - Health Benefits Paid for Teachers
</t>
    </r>
    <r>
      <rPr>
        <b/>
        <sz val="11"/>
        <color theme="1"/>
        <rFont val="Calibri"/>
        <family val="2"/>
        <scheme val="minor"/>
      </rPr>
      <t>282</t>
    </r>
    <r>
      <rPr>
        <sz val="11"/>
        <color theme="1"/>
        <rFont val="Calibri"/>
        <family val="2"/>
        <scheme val="minor"/>
      </rPr>
      <t xml:space="preserve"> - Health Benefits Paid for Instructional Aides or Assistants
</t>
    </r>
    <r>
      <rPr>
        <b/>
        <sz val="11"/>
        <color theme="1"/>
        <rFont val="Calibri"/>
        <family val="2"/>
        <scheme val="minor"/>
      </rPr>
      <t>283</t>
    </r>
    <r>
      <rPr>
        <sz val="11"/>
        <color theme="1"/>
        <rFont val="Calibri"/>
        <family val="2"/>
        <scheme val="minor"/>
      </rPr>
      <t xml:space="preserve"> - Health Benefits Paid for Substitute Teachers
</t>
    </r>
    <r>
      <rPr>
        <b/>
        <sz val="11"/>
        <color theme="1"/>
        <rFont val="Calibri"/>
        <family val="2"/>
        <scheme val="minor"/>
      </rPr>
      <t>290</t>
    </r>
    <r>
      <rPr>
        <sz val="11"/>
        <color theme="1"/>
        <rFont val="Calibri"/>
        <family val="2"/>
        <scheme val="minor"/>
      </rPr>
      <t xml:space="preserve"> - Other Employee Benefits
</t>
    </r>
    <r>
      <rPr>
        <b/>
        <sz val="11"/>
        <color theme="1"/>
        <rFont val="Calibri"/>
        <family val="2"/>
        <scheme val="minor"/>
      </rPr>
      <t>291</t>
    </r>
    <r>
      <rPr>
        <sz val="11"/>
        <color theme="1"/>
        <rFont val="Calibri"/>
        <family val="2"/>
        <scheme val="minor"/>
      </rPr>
      <t xml:space="preserve"> - Other Employee Benefits Paid for Teachers
</t>
    </r>
    <r>
      <rPr>
        <b/>
        <sz val="11"/>
        <color theme="1"/>
        <rFont val="Calibri"/>
        <family val="2"/>
        <scheme val="minor"/>
      </rPr>
      <t>292</t>
    </r>
    <r>
      <rPr>
        <sz val="11"/>
        <color theme="1"/>
        <rFont val="Calibri"/>
        <family val="2"/>
        <scheme val="minor"/>
      </rPr>
      <t xml:space="preserve"> - Other Employee Benefits Paid for Instructional Aides or Assistants
</t>
    </r>
    <r>
      <rPr>
        <b/>
        <sz val="11"/>
        <color theme="1"/>
        <rFont val="Calibri"/>
        <family val="2"/>
        <scheme val="minor"/>
      </rPr>
      <t>293</t>
    </r>
    <r>
      <rPr>
        <sz val="11"/>
        <color theme="1"/>
        <rFont val="Calibri"/>
        <family val="2"/>
        <scheme val="minor"/>
      </rPr>
      <t xml:space="preserve"> - Other Employee Benefits for Substitute Teachers
</t>
    </r>
    <r>
      <rPr>
        <b/>
        <sz val="11"/>
        <color theme="1"/>
        <rFont val="Calibri"/>
        <family val="2"/>
        <scheme val="minor"/>
      </rPr>
      <t>300</t>
    </r>
    <r>
      <rPr>
        <sz val="11"/>
        <color theme="1"/>
        <rFont val="Calibri"/>
        <family val="2"/>
        <scheme val="minor"/>
      </rPr>
      <t xml:space="preserve"> - Purchased Professional and Technical Services
</t>
    </r>
    <r>
      <rPr>
        <b/>
        <sz val="11"/>
        <color theme="1"/>
        <rFont val="Calibri"/>
        <family val="2"/>
        <scheme val="minor"/>
      </rPr>
      <t>310</t>
    </r>
    <r>
      <rPr>
        <sz val="11"/>
        <color theme="1"/>
        <rFont val="Calibri"/>
        <family val="2"/>
        <scheme val="minor"/>
      </rPr>
      <t xml:space="preserve"> - Official/Administrative Services
</t>
    </r>
    <r>
      <rPr>
        <b/>
        <sz val="11"/>
        <color theme="1"/>
        <rFont val="Calibri"/>
        <family val="2"/>
        <scheme val="minor"/>
      </rPr>
      <t>320</t>
    </r>
    <r>
      <rPr>
        <sz val="11"/>
        <color theme="1"/>
        <rFont val="Calibri"/>
        <family val="2"/>
        <scheme val="minor"/>
      </rPr>
      <t xml:space="preserve"> - Professional Educational Services
</t>
    </r>
    <r>
      <rPr>
        <b/>
        <sz val="11"/>
        <color theme="1"/>
        <rFont val="Calibri"/>
        <family val="2"/>
        <scheme val="minor"/>
      </rPr>
      <t>330</t>
    </r>
    <r>
      <rPr>
        <sz val="11"/>
        <color theme="1"/>
        <rFont val="Calibri"/>
        <family val="2"/>
        <scheme val="minor"/>
      </rPr>
      <t xml:space="preserve"> - Employee Training and Development Services
</t>
    </r>
    <r>
      <rPr>
        <b/>
        <sz val="11"/>
        <color theme="1"/>
        <rFont val="Calibri"/>
        <family val="2"/>
        <scheme val="minor"/>
      </rPr>
      <t>340</t>
    </r>
    <r>
      <rPr>
        <sz val="11"/>
        <color theme="1"/>
        <rFont val="Calibri"/>
        <family val="2"/>
        <scheme val="minor"/>
      </rPr>
      <t xml:space="preserve"> - Other Professional Services
</t>
    </r>
    <r>
      <rPr>
        <b/>
        <sz val="11"/>
        <color theme="1"/>
        <rFont val="Calibri"/>
        <family val="2"/>
        <scheme val="minor"/>
      </rPr>
      <t>350</t>
    </r>
    <r>
      <rPr>
        <sz val="11"/>
        <color theme="1"/>
        <rFont val="Calibri"/>
        <family val="2"/>
        <scheme val="minor"/>
      </rPr>
      <t xml:space="preserve"> - Technical Services
</t>
    </r>
    <r>
      <rPr>
        <b/>
        <sz val="11"/>
        <color theme="1"/>
        <rFont val="Calibri"/>
        <family val="2"/>
        <scheme val="minor"/>
      </rPr>
      <t>351</t>
    </r>
    <r>
      <rPr>
        <sz val="11"/>
        <color theme="1"/>
        <rFont val="Calibri"/>
        <family val="2"/>
        <scheme val="minor"/>
      </rPr>
      <t xml:space="preserve"> - Data-processing and Coding Services
</t>
    </r>
    <r>
      <rPr>
        <b/>
        <sz val="11"/>
        <color theme="1"/>
        <rFont val="Calibri"/>
        <family val="2"/>
        <scheme val="minor"/>
      </rPr>
      <t>352</t>
    </r>
    <r>
      <rPr>
        <sz val="11"/>
        <color theme="1"/>
        <rFont val="Calibri"/>
        <family val="2"/>
        <scheme val="minor"/>
      </rPr>
      <t xml:space="preserve"> - Other Technical Services
</t>
    </r>
    <r>
      <rPr>
        <b/>
        <sz val="11"/>
        <color theme="1"/>
        <rFont val="Calibri"/>
        <family val="2"/>
        <scheme val="minor"/>
      </rPr>
      <t>400</t>
    </r>
    <r>
      <rPr>
        <sz val="11"/>
        <color theme="1"/>
        <rFont val="Calibri"/>
        <family val="2"/>
        <scheme val="minor"/>
      </rPr>
      <t xml:space="preserve"> - Purchased Property Services
</t>
    </r>
    <r>
      <rPr>
        <b/>
        <sz val="11"/>
        <color theme="1"/>
        <rFont val="Calibri"/>
        <family val="2"/>
        <scheme val="minor"/>
      </rPr>
      <t>410</t>
    </r>
    <r>
      <rPr>
        <sz val="11"/>
        <color theme="1"/>
        <rFont val="Calibri"/>
        <family val="2"/>
        <scheme val="minor"/>
      </rPr>
      <t xml:space="preserve"> - Utility Services
</t>
    </r>
    <r>
      <rPr>
        <b/>
        <sz val="11"/>
        <color theme="1"/>
        <rFont val="Calibri"/>
        <family val="2"/>
        <scheme val="minor"/>
      </rPr>
      <t>420</t>
    </r>
    <r>
      <rPr>
        <sz val="11"/>
        <color theme="1"/>
        <rFont val="Calibri"/>
        <family val="2"/>
        <scheme val="minor"/>
      </rPr>
      <t xml:space="preserve"> - Cleaning Services
</t>
    </r>
    <r>
      <rPr>
        <b/>
        <sz val="11"/>
        <color theme="1"/>
        <rFont val="Calibri"/>
        <family val="2"/>
        <scheme val="minor"/>
      </rPr>
      <t>430</t>
    </r>
    <r>
      <rPr>
        <sz val="11"/>
        <color theme="1"/>
        <rFont val="Calibri"/>
        <family val="2"/>
        <scheme val="minor"/>
      </rPr>
      <t xml:space="preserve"> - Repairs and Maintenance Services
</t>
    </r>
    <r>
      <rPr>
        <b/>
        <sz val="11"/>
        <color theme="1"/>
        <rFont val="Calibri"/>
        <family val="2"/>
        <scheme val="minor"/>
      </rPr>
      <t>431</t>
    </r>
    <r>
      <rPr>
        <sz val="11"/>
        <color theme="1"/>
        <rFont val="Calibri"/>
        <family val="2"/>
        <scheme val="minor"/>
      </rPr>
      <t xml:space="preserve"> - Non-Technology-Related Repairs and Maintenance
</t>
    </r>
    <r>
      <rPr>
        <b/>
        <sz val="11"/>
        <color theme="1"/>
        <rFont val="Calibri"/>
        <family val="2"/>
        <scheme val="minor"/>
      </rPr>
      <t>432</t>
    </r>
    <r>
      <rPr>
        <sz val="11"/>
        <color theme="1"/>
        <rFont val="Calibri"/>
        <family val="2"/>
        <scheme val="minor"/>
      </rPr>
      <t xml:space="preserve"> - Technology-Related Repairs and Maintenance
</t>
    </r>
    <r>
      <rPr>
        <b/>
        <sz val="11"/>
        <color theme="1"/>
        <rFont val="Calibri"/>
        <family val="2"/>
        <scheme val="minor"/>
      </rPr>
      <t>440</t>
    </r>
    <r>
      <rPr>
        <sz val="11"/>
        <color theme="1"/>
        <rFont val="Calibri"/>
        <family val="2"/>
        <scheme val="minor"/>
      </rPr>
      <t xml:space="preserve"> - Rentals
</t>
    </r>
    <r>
      <rPr>
        <b/>
        <sz val="11"/>
        <color theme="1"/>
        <rFont val="Calibri"/>
        <family val="2"/>
        <scheme val="minor"/>
      </rPr>
      <t>441</t>
    </r>
    <r>
      <rPr>
        <sz val="11"/>
        <color theme="1"/>
        <rFont val="Calibri"/>
        <family val="2"/>
        <scheme val="minor"/>
      </rPr>
      <t xml:space="preserve"> - Rentals of Land and Buildings
</t>
    </r>
    <r>
      <rPr>
        <b/>
        <sz val="11"/>
        <color theme="1"/>
        <rFont val="Calibri"/>
        <family val="2"/>
        <scheme val="minor"/>
      </rPr>
      <t>442</t>
    </r>
    <r>
      <rPr>
        <sz val="11"/>
        <color theme="1"/>
        <rFont val="Calibri"/>
        <family val="2"/>
        <scheme val="minor"/>
      </rPr>
      <t xml:space="preserve"> - Rentals of Equipment and Vehicles
</t>
    </r>
    <r>
      <rPr>
        <b/>
        <sz val="11"/>
        <color theme="1"/>
        <rFont val="Calibri"/>
        <family val="2"/>
        <scheme val="minor"/>
      </rPr>
      <t>443</t>
    </r>
    <r>
      <rPr>
        <sz val="11"/>
        <color theme="1"/>
        <rFont val="Calibri"/>
        <family val="2"/>
        <scheme val="minor"/>
      </rPr>
      <t xml:space="preserve"> - Rentals of Computers and Related Equipment
</t>
    </r>
    <r>
      <rPr>
        <b/>
        <sz val="11"/>
        <color theme="1"/>
        <rFont val="Calibri"/>
        <family val="2"/>
        <scheme val="minor"/>
      </rPr>
      <t>450</t>
    </r>
    <r>
      <rPr>
        <sz val="11"/>
        <color theme="1"/>
        <rFont val="Calibri"/>
        <family val="2"/>
        <scheme val="minor"/>
      </rPr>
      <t xml:space="preserve"> - Construction Services
</t>
    </r>
    <r>
      <rPr>
        <b/>
        <sz val="11"/>
        <color theme="1"/>
        <rFont val="Calibri"/>
        <family val="2"/>
        <scheme val="minor"/>
      </rPr>
      <t>490</t>
    </r>
    <r>
      <rPr>
        <sz val="11"/>
        <color theme="1"/>
        <rFont val="Calibri"/>
        <family val="2"/>
        <scheme val="minor"/>
      </rPr>
      <t xml:space="preserve"> - Other Purchased Property Services
</t>
    </r>
    <r>
      <rPr>
        <b/>
        <sz val="11"/>
        <color theme="1"/>
        <rFont val="Calibri"/>
        <family val="2"/>
        <scheme val="minor"/>
      </rPr>
      <t>500</t>
    </r>
    <r>
      <rPr>
        <sz val="11"/>
        <color theme="1"/>
        <rFont val="Calibri"/>
        <family val="2"/>
        <scheme val="minor"/>
      </rPr>
      <t xml:space="preserve"> - Other Purchased Services
</t>
    </r>
    <r>
      <rPr>
        <b/>
        <sz val="11"/>
        <color theme="1"/>
        <rFont val="Calibri"/>
        <family val="2"/>
        <scheme val="minor"/>
      </rPr>
      <t>510</t>
    </r>
    <r>
      <rPr>
        <sz val="11"/>
        <color theme="1"/>
        <rFont val="Calibri"/>
        <family val="2"/>
        <scheme val="minor"/>
      </rPr>
      <t xml:space="preserve"> - Student Transportation Services
</t>
    </r>
    <r>
      <rPr>
        <b/>
        <sz val="11"/>
        <color theme="1"/>
        <rFont val="Calibri"/>
        <family val="2"/>
        <scheme val="minor"/>
      </rPr>
      <t>511</t>
    </r>
    <r>
      <rPr>
        <sz val="11"/>
        <color theme="1"/>
        <rFont val="Calibri"/>
        <family val="2"/>
        <scheme val="minor"/>
      </rPr>
      <t xml:space="preserve"> - Student Transportation Purchased From Another School District Within the State
</t>
    </r>
    <r>
      <rPr>
        <b/>
        <sz val="11"/>
        <color theme="1"/>
        <rFont val="Calibri"/>
        <family val="2"/>
        <scheme val="minor"/>
      </rPr>
      <t>512</t>
    </r>
    <r>
      <rPr>
        <sz val="11"/>
        <color theme="1"/>
        <rFont val="Calibri"/>
        <family val="2"/>
        <scheme val="minor"/>
      </rPr>
      <t xml:space="preserve"> - Student Transportation Purchased From Another School District Outside the State
</t>
    </r>
    <r>
      <rPr>
        <b/>
        <sz val="11"/>
        <color theme="1"/>
        <rFont val="Calibri"/>
        <family val="2"/>
        <scheme val="minor"/>
      </rPr>
      <t>519</t>
    </r>
    <r>
      <rPr>
        <sz val="11"/>
        <color theme="1"/>
        <rFont val="Calibri"/>
        <family val="2"/>
        <scheme val="minor"/>
      </rPr>
      <t xml:space="preserve"> - Student Transportation Purchased From Other Sources
</t>
    </r>
    <r>
      <rPr>
        <b/>
        <sz val="11"/>
        <color theme="1"/>
        <rFont val="Calibri"/>
        <family val="2"/>
        <scheme val="minor"/>
      </rPr>
      <t>520</t>
    </r>
    <r>
      <rPr>
        <sz val="11"/>
        <color theme="1"/>
        <rFont val="Calibri"/>
        <family val="2"/>
        <scheme val="minor"/>
      </rPr>
      <t xml:space="preserve"> - Insurance (Other Than Employee Benefits)
</t>
    </r>
    <r>
      <rPr>
        <b/>
        <sz val="11"/>
        <color theme="1"/>
        <rFont val="Calibri"/>
        <family val="2"/>
        <scheme val="minor"/>
      </rPr>
      <t>530</t>
    </r>
    <r>
      <rPr>
        <sz val="11"/>
        <color theme="1"/>
        <rFont val="Calibri"/>
        <family val="2"/>
        <scheme val="minor"/>
      </rPr>
      <t xml:space="preserve"> - Communications
</t>
    </r>
    <r>
      <rPr>
        <b/>
        <sz val="11"/>
        <color theme="1"/>
        <rFont val="Calibri"/>
        <family val="2"/>
        <scheme val="minor"/>
      </rPr>
      <t>540</t>
    </r>
    <r>
      <rPr>
        <sz val="11"/>
        <color theme="1"/>
        <rFont val="Calibri"/>
        <family val="2"/>
        <scheme val="minor"/>
      </rPr>
      <t xml:space="preserve"> - Advertising
</t>
    </r>
    <r>
      <rPr>
        <b/>
        <sz val="11"/>
        <color theme="1"/>
        <rFont val="Calibri"/>
        <family val="2"/>
        <scheme val="minor"/>
      </rPr>
      <t>550</t>
    </r>
    <r>
      <rPr>
        <sz val="11"/>
        <color theme="1"/>
        <rFont val="Calibri"/>
        <family val="2"/>
        <scheme val="minor"/>
      </rPr>
      <t xml:space="preserve"> - Printing and Binding
</t>
    </r>
    <r>
      <rPr>
        <b/>
        <sz val="11"/>
        <color theme="1"/>
        <rFont val="Calibri"/>
        <family val="2"/>
        <scheme val="minor"/>
      </rPr>
      <t>560</t>
    </r>
    <r>
      <rPr>
        <sz val="11"/>
        <color theme="1"/>
        <rFont val="Calibri"/>
        <family val="2"/>
        <scheme val="minor"/>
      </rPr>
      <t xml:space="preserve"> - Tuition
</t>
    </r>
    <r>
      <rPr>
        <b/>
        <sz val="11"/>
        <color theme="1"/>
        <rFont val="Calibri"/>
        <family val="2"/>
        <scheme val="minor"/>
      </rPr>
      <t>561</t>
    </r>
    <r>
      <rPr>
        <sz val="11"/>
        <color theme="1"/>
        <rFont val="Calibri"/>
        <family val="2"/>
        <scheme val="minor"/>
      </rPr>
      <t xml:space="preserve"> - Tuition to Other School Districts Within the State
</t>
    </r>
    <r>
      <rPr>
        <b/>
        <sz val="11"/>
        <color theme="1"/>
        <rFont val="Calibri"/>
        <family val="2"/>
        <scheme val="minor"/>
      </rPr>
      <t>562</t>
    </r>
    <r>
      <rPr>
        <sz val="11"/>
        <color theme="1"/>
        <rFont val="Calibri"/>
        <family val="2"/>
        <scheme val="minor"/>
      </rPr>
      <t xml:space="preserve"> - Tuition to Other School Districts Outside the State
</t>
    </r>
    <r>
      <rPr>
        <b/>
        <sz val="11"/>
        <color theme="1"/>
        <rFont val="Calibri"/>
        <family val="2"/>
        <scheme val="minor"/>
      </rPr>
      <t>563</t>
    </r>
    <r>
      <rPr>
        <sz val="11"/>
        <color theme="1"/>
        <rFont val="Calibri"/>
        <family val="2"/>
        <scheme val="minor"/>
      </rPr>
      <t xml:space="preserve"> - Tuition to Private SourcesTuition paid to private schools
</t>
    </r>
    <r>
      <rPr>
        <b/>
        <sz val="11"/>
        <color theme="1"/>
        <rFont val="Calibri"/>
        <family val="2"/>
        <scheme val="minor"/>
      </rPr>
      <t>564</t>
    </r>
    <r>
      <rPr>
        <sz val="11"/>
        <color theme="1"/>
        <rFont val="Calibri"/>
        <family val="2"/>
        <scheme val="minor"/>
      </rPr>
      <t xml:space="preserve"> - Tuition to Educational Service Agencies Within the State
</t>
    </r>
    <r>
      <rPr>
        <b/>
        <sz val="11"/>
        <color theme="1"/>
        <rFont val="Calibri"/>
        <family val="2"/>
        <scheme val="minor"/>
      </rPr>
      <t>565</t>
    </r>
    <r>
      <rPr>
        <sz val="11"/>
        <color theme="1"/>
        <rFont val="Calibri"/>
        <family val="2"/>
        <scheme val="minor"/>
      </rPr>
      <t xml:space="preserve"> - Tuition to Educational Service Agencies Outside the State
</t>
    </r>
    <r>
      <rPr>
        <b/>
        <sz val="11"/>
        <color theme="1"/>
        <rFont val="Calibri"/>
        <family val="2"/>
        <scheme val="minor"/>
      </rPr>
      <t>566</t>
    </r>
    <r>
      <rPr>
        <sz val="11"/>
        <color theme="1"/>
        <rFont val="Calibri"/>
        <family val="2"/>
        <scheme val="minor"/>
      </rPr>
      <t xml:space="preserve"> - Tuition to Charter Schools
</t>
    </r>
    <r>
      <rPr>
        <b/>
        <sz val="11"/>
        <color theme="1"/>
        <rFont val="Calibri"/>
        <family val="2"/>
        <scheme val="minor"/>
      </rPr>
      <t>567</t>
    </r>
    <r>
      <rPr>
        <sz val="11"/>
        <color theme="1"/>
        <rFont val="Calibri"/>
        <family val="2"/>
        <scheme val="minor"/>
      </rPr>
      <t xml:space="preserve"> - Tuition to School Districts for Voucher Payments
</t>
    </r>
    <r>
      <rPr>
        <b/>
        <sz val="11"/>
        <color theme="1"/>
        <rFont val="Calibri"/>
        <family val="2"/>
        <scheme val="minor"/>
      </rPr>
      <t>569</t>
    </r>
    <r>
      <rPr>
        <sz val="11"/>
        <color theme="1"/>
        <rFont val="Calibri"/>
        <family val="2"/>
        <scheme val="minor"/>
      </rPr>
      <t xml:space="preserve"> - Tuition—Other
</t>
    </r>
    <r>
      <rPr>
        <b/>
        <sz val="11"/>
        <color theme="1"/>
        <rFont val="Calibri"/>
        <family val="2"/>
        <scheme val="minor"/>
      </rPr>
      <t>570</t>
    </r>
    <r>
      <rPr>
        <sz val="11"/>
        <color theme="1"/>
        <rFont val="Calibri"/>
        <family val="2"/>
        <scheme val="minor"/>
      </rPr>
      <t xml:space="preserve"> - Food Service Management
</t>
    </r>
    <r>
      <rPr>
        <b/>
        <sz val="11"/>
        <color theme="1"/>
        <rFont val="Calibri"/>
        <family val="2"/>
        <scheme val="minor"/>
      </rPr>
      <t>580</t>
    </r>
    <r>
      <rPr>
        <sz val="11"/>
        <color theme="1"/>
        <rFont val="Calibri"/>
        <family val="2"/>
        <scheme val="minor"/>
      </rPr>
      <t xml:space="preserve"> - Travel
</t>
    </r>
    <r>
      <rPr>
        <b/>
        <sz val="11"/>
        <color theme="1"/>
        <rFont val="Calibri"/>
        <family val="2"/>
        <scheme val="minor"/>
      </rPr>
      <t>590</t>
    </r>
    <r>
      <rPr>
        <sz val="11"/>
        <color theme="1"/>
        <rFont val="Calibri"/>
        <family val="2"/>
        <scheme val="minor"/>
      </rPr>
      <t xml:space="preserve"> - Interagency Purchased Services
</t>
    </r>
    <r>
      <rPr>
        <b/>
        <sz val="11"/>
        <color theme="1"/>
        <rFont val="Calibri"/>
        <family val="2"/>
        <scheme val="minor"/>
      </rPr>
      <t>591</t>
    </r>
    <r>
      <rPr>
        <sz val="11"/>
        <color theme="1"/>
        <rFont val="Calibri"/>
        <family val="2"/>
        <scheme val="minor"/>
      </rPr>
      <t xml:space="preserve"> - Services Purchased From Another School District or Educational Services Agency Within the State
</t>
    </r>
    <r>
      <rPr>
        <b/>
        <sz val="11"/>
        <color theme="1"/>
        <rFont val="Calibri"/>
        <family val="2"/>
        <scheme val="minor"/>
      </rPr>
      <t>592</t>
    </r>
    <r>
      <rPr>
        <sz val="11"/>
        <color theme="1"/>
        <rFont val="Calibri"/>
        <family val="2"/>
        <scheme val="minor"/>
      </rPr>
      <t xml:space="preserve"> - Services Purchased From Another School District or Educational Service Agency Outside the State
</t>
    </r>
    <r>
      <rPr>
        <b/>
        <sz val="11"/>
        <color theme="1"/>
        <rFont val="Calibri"/>
        <family val="2"/>
        <scheme val="minor"/>
      </rPr>
      <t>600</t>
    </r>
    <r>
      <rPr>
        <sz val="11"/>
        <color theme="1"/>
        <rFont val="Calibri"/>
        <family val="2"/>
        <scheme val="minor"/>
      </rPr>
      <t xml:space="preserve"> - Supplies
</t>
    </r>
    <r>
      <rPr>
        <b/>
        <sz val="11"/>
        <color theme="1"/>
        <rFont val="Calibri"/>
        <family val="2"/>
        <scheme val="minor"/>
      </rPr>
      <t>610</t>
    </r>
    <r>
      <rPr>
        <sz val="11"/>
        <color theme="1"/>
        <rFont val="Calibri"/>
        <family val="2"/>
        <scheme val="minor"/>
      </rPr>
      <t xml:space="preserve"> - General Supplies
</t>
    </r>
    <r>
      <rPr>
        <b/>
        <sz val="11"/>
        <color theme="1"/>
        <rFont val="Calibri"/>
        <family val="2"/>
        <scheme val="minor"/>
      </rPr>
      <t>620</t>
    </r>
    <r>
      <rPr>
        <sz val="11"/>
        <color theme="1"/>
        <rFont val="Calibri"/>
        <family val="2"/>
        <scheme val="minor"/>
      </rPr>
      <t xml:space="preserve"> - Energy
</t>
    </r>
    <r>
      <rPr>
        <b/>
        <sz val="11"/>
        <color theme="1"/>
        <rFont val="Calibri"/>
        <family val="2"/>
        <scheme val="minor"/>
      </rPr>
      <t>621</t>
    </r>
    <r>
      <rPr>
        <sz val="11"/>
        <color theme="1"/>
        <rFont val="Calibri"/>
        <family val="2"/>
        <scheme val="minor"/>
      </rPr>
      <t xml:space="preserve"> - Natural Gas
</t>
    </r>
    <r>
      <rPr>
        <b/>
        <sz val="11"/>
        <color theme="1"/>
        <rFont val="Calibri"/>
        <family val="2"/>
        <scheme val="minor"/>
      </rPr>
      <t>622</t>
    </r>
    <r>
      <rPr>
        <sz val="11"/>
        <color theme="1"/>
        <rFont val="Calibri"/>
        <family val="2"/>
        <scheme val="minor"/>
      </rPr>
      <t xml:space="preserve"> - Electricity
</t>
    </r>
    <r>
      <rPr>
        <b/>
        <sz val="11"/>
        <color theme="1"/>
        <rFont val="Calibri"/>
        <family val="2"/>
        <scheme val="minor"/>
      </rPr>
      <t>623</t>
    </r>
    <r>
      <rPr>
        <sz val="11"/>
        <color theme="1"/>
        <rFont val="Calibri"/>
        <family val="2"/>
        <scheme val="minor"/>
      </rPr>
      <t xml:space="preserve"> - Bottled Gas
</t>
    </r>
    <r>
      <rPr>
        <b/>
        <sz val="11"/>
        <color theme="1"/>
        <rFont val="Calibri"/>
        <family val="2"/>
        <scheme val="minor"/>
      </rPr>
      <t>624</t>
    </r>
    <r>
      <rPr>
        <sz val="11"/>
        <color theme="1"/>
        <rFont val="Calibri"/>
        <family val="2"/>
        <scheme val="minor"/>
      </rPr>
      <t xml:space="preserve"> - Oil
</t>
    </r>
    <r>
      <rPr>
        <b/>
        <sz val="11"/>
        <color theme="1"/>
        <rFont val="Calibri"/>
        <family val="2"/>
        <scheme val="minor"/>
      </rPr>
      <t>625</t>
    </r>
    <r>
      <rPr>
        <sz val="11"/>
        <color theme="1"/>
        <rFont val="Calibri"/>
        <family val="2"/>
        <scheme val="minor"/>
      </rPr>
      <t xml:space="preserve"> - Coal
</t>
    </r>
    <r>
      <rPr>
        <b/>
        <sz val="11"/>
        <color theme="1"/>
        <rFont val="Calibri"/>
        <family val="2"/>
        <scheme val="minor"/>
      </rPr>
      <t>626</t>
    </r>
    <r>
      <rPr>
        <sz val="11"/>
        <color theme="1"/>
        <rFont val="Calibri"/>
        <family val="2"/>
        <scheme val="minor"/>
      </rPr>
      <t xml:space="preserve"> - Gasoline
</t>
    </r>
    <r>
      <rPr>
        <b/>
        <sz val="11"/>
        <color theme="1"/>
        <rFont val="Calibri"/>
        <family val="2"/>
        <scheme val="minor"/>
      </rPr>
      <t>629</t>
    </r>
    <r>
      <rPr>
        <sz val="11"/>
        <color theme="1"/>
        <rFont val="Calibri"/>
        <family val="2"/>
        <scheme val="minor"/>
      </rPr>
      <t xml:space="preserve"> - Other (Energy)
</t>
    </r>
    <r>
      <rPr>
        <b/>
        <sz val="11"/>
        <color theme="1"/>
        <rFont val="Calibri"/>
        <family val="2"/>
        <scheme val="minor"/>
      </rPr>
      <t>630</t>
    </r>
    <r>
      <rPr>
        <sz val="11"/>
        <color theme="1"/>
        <rFont val="Calibri"/>
        <family val="2"/>
        <scheme val="minor"/>
      </rPr>
      <t xml:space="preserve"> - Food
</t>
    </r>
    <r>
      <rPr>
        <b/>
        <sz val="11"/>
        <color theme="1"/>
        <rFont val="Calibri"/>
        <family val="2"/>
        <scheme val="minor"/>
      </rPr>
      <t>640</t>
    </r>
    <r>
      <rPr>
        <sz val="11"/>
        <color theme="1"/>
        <rFont val="Calibri"/>
        <family val="2"/>
        <scheme val="minor"/>
      </rPr>
      <t xml:space="preserve"> - Books and Periodicals
</t>
    </r>
    <r>
      <rPr>
        <b/>
        <sz val="11"/>
        <color theme="1"/>
        <rFont val="Calibri"/>
        <family val="2"/>
        <scheme val="minor"/>
      </rPr>
      <t>650</t>
    </r>
    <r>
      <rPr>
        <sz val="11"/>
        <color theme="1"/>
        <rFont val="Calibri"/>
        <family val="2"/>
        <scheme val="minor"/>
      </rPr>
      <t xml:space="preserve"> - Supplies—Technology Related
</t>
    </r>
    <r>
      <rPr>
        <b/>
        <sz val="11"/>
        <color theme="1"/>
        <rFont val="Calibri"/>
        <family val="2"/>
        <scheme val="minor"/>
      </rPr>
      <t>700</t>
    </r>
    <r>
      <rPr>
        <sz val="11"/>
        <color theme="1"/>
        <rFont val="Calibri"/>
        <family val="2"/>
        <scheme val="minor"/>
      </rPr>
      <t xml:space="preserve"> - Property
</t>
    </r>
    <r>
      <rPr>
        <b/>
        <sz val="11"/>
        <color theme="1"/>
        <rFont val="Calibri"/>
        <family val="2"/>
        <scheme val="minor"/>
      </rPr>
      <t>710</t>
    </r>
    <r>
      <rPr>
        <sz val="11"/>
        <color theme="1"/>
        <rFont val="Calibri"/>
        <family val="2"/>
        <scheme val="minor"/>
      </rPr>
      <t xml:space="preserve"> - Land and Land Improvements
</t>
    </r>
    <r>
      <rPr>
        <b/>
        <sz val="11"/>
        <color theme="1"/>
        <rFont val="Calibri"/>
        <family val="2"/>
        <scheme val="minor"/>
      </rPr>
      <t>720</t>
    </r>
    <r>
      <rPr>
        <sz val="11"/>
        <color theme="1"/>
        <rFont val="Calibri"/>
        <family val="2"/>
        <scheme val="minor"/>
      </rPr>
      <t xml:space="preserve"> - Buildings
</t>
    </r>
    <r>
      <rPr>
        <b/>
        <sz val="11"/>
        <color theme="1"/>
        <rFont val="Calibri"/>
        <family val="2"/>
        <scheme val="minor"/>
      </rPr>
      <t>730</t>
    </r>
    <r>
      <rPr>
        <sz val="11"/>
        <color theme="1"/>
        <rFont val="Calibri"/>
        <family val="2"/>
        <scheme val="minor"/>
      </rPr>
      <t xml:space="preserve"> - Equipment
</t>
    </r>
    <r>
      <rPr>
        <b/>
        <sz val="11"/>
        <color theme="1"/>
        <rFont val="Calibri"/>
        <family val="2"/>
        <scheme val="minor"/>
      </rPr>
      <t>731</t>
    </r>
    <r>
      <rPr>
        <sz val="11"/>
        <color theme="1"/>
        <rFont val="Calibri"/>
        <family val="2"/>
        <scheme val="minor"/>
      </rPr>
      <t xml:space="preserve"> - Machinery
</t>
    </r>
    <r>
      <rPr>
        <b/>
        <sz val="11"/>
        <color theme="1"/>
        <rFont val="Calibri"/>
        <family val="2"/>
        <scheme val="minor"/>
      </rPr>
      <t>732</t>
    </r>
    <r>
      <rPr>
        <sz val="11"/>
        <color theme="1"/>
        <rFont val="Calibri"/>
        <family val="2"/>
        <scheme val="minor"/>
      </rPr>
      <t xml:space="preserve"> - Vehicles
</t>
    </r>
    <r>
      <rPr>
        <b/>
        <sz val="11"/>
        <color theme="1"/>
        <rFont val="Calibri"/>
        <family val="2"/>
        <scheme val="minor"/>
      </rPr>
      <t>733</t>
    </r>
    <r>
      <rPr>
        <sz val="11"/>
        <color theme="1"/>
        <rFont val="Calibri"/>
        <family val="2"/>
        <scheme val="minor"/>
      </rPr>
      <t xml:space="preserve"> - Furniture and Fixtures
</t>
    </r>
    <r>
      <rPr>
        <b/>
        <sz val="11"/>
        <color theme="1"/>
        <rFont val="Calibri"/>
        <family val="2"/>
        <scheme val="minor"/>
      </rPr>
      <t>734</t>
    </r>
    <r>
      <rPr>
        <sz val="11"/>
        <color theme="1"/>
        <rFont val="Calibri"/>
        <family val="2"/>
        <scheme val="minor"/>
      </rPr>
      <t xml:space="preserve"> - Technology-Related Hardware
</t>
    </r>
    <r>
      <rPr>
        <b/>
        <sz val="11"/>
        <color theme="1"/>
        <rFont val="Calibri"/>
        <family val="2"/>
        <scheme val="minor"/>
      </rPr>
      <t>735</t>
    </r>
    <r>
      <rPr>
        <sz val="11"/>
        <color theme="1"/>
        <rFont val="Calibri"/>
        <family val="2"/>
        <scheme val="minor"/>
      </rPr>
      <t xml:space="preserve"> - Technology Software
</t>
    </r>
    <r>
      <rPr>
        <b/>
        <sz val="11"/>
        <color theme="1"/>
        <rFont val="Calibri"/>
        <family val="2"/>
        <scheme val="minor"/>
      </rPr>
      <t>739</t>
    </r>
    <r>
      <rPr>
        <sz val="11"/>
        <color theme="1"/>
        <rFont val="Calibri"/>
        <family val="2"/>
        <scheme val="minor"/>
      </rPr>
      <t xml:space="preserve"> - Other Equipment
</t>
    </r>
    <r>
      <rPr>
        <b/>
        <sz val="11"/>
        <color theme="1"/>
        <rFont val="Calibri"/>
        <family val="2"/>
        <scheme val="minor"/>
      </rPr>
      <t>740</t>
    </r>
    <r>
      <rPr>
        <sz val="11"/>
        <color theme="1"/>
        <rFont val="Calibri"/>
        <family val="2"/>
        <scheme val="minor"/>
      </rPr>
      <t xml:space="preserve"> - Infrastructure
</t>
    </r>
    <r>
      <rPr>
        <b/>
        <sz val="11"/>
        <color theme="1"/>
        <rFont val="Calibri"/>
        <family val="2"/>
        <scheme val="minor"/>
      </rPr>
      <t>790</t>
    </r>
    <r>
      <rPr>
        <sz val="11"/>
        <color theme="1"/>
        <rFont val="Calibri"/>
        <family val="2"/>
        <scheme val="minor"/>
      </rPr>
      <t xml:space="preserve"> - Depreciation
</t>
    </r>
    <r>
      <rPr>
        <b/>
        <sz val="11"/>
        <color theme="1"/>
        <rFont val="Calibri"/>
        <family val="2"/>
        <scheme val="minor"/>
      </rPr>
      <t>800</t>
    </r>
    <r>
      <rPr>
        <sz val="11"/>
        <color theme="1"/>
        <rFont val="Calibri"/>
        <family val="2"/>
        <scheme val="minor"/>
      </rPr>
      <t xml:space="preserve"> - Debt Service and Miscellaneous
</t>
    </r>
    <r>
      <rPr>
        <b/>
        <sz val="11"/>
        <color theme="1"/>
        <rFont val="Calibri"/>
        <family val="2"/>
        <scheme val="minor"/>
      </rPr>
      <t>810</t>
    </r>
    <r>
      <rPr>
        <sz val="11"/>
        <color theme="1"/>
        <rFont val="Calibri"/>
        <family val="2"/>
        <scheme val="minor"/>
      </rPr>
      <t xml:space="preserve"> - Dues and Fees
</t>
    </r>
    <r>
      <rPr>
        <b/>
        <sz val="11"/>
        <color theme="1"/>
        <rFont val="Calibri"/>
        <family val="2"/>
        <scheme val="minor"/>
      </rPr>
      <t>820</t>
    </r>
    <r>
      <rPr>
        <sz val="11"/>
        <color theme="1"/>
        <rFont val="Calibri"/>
        <family val="2"/>
        <scheme val="minor"/>
      </rPr>
      <t xml:space="preserve"> - Judgments Against the School District
</t>
    </r>
    <r>
      <rPr>
        <b/>
        <sz val="11"/>
        <color theme="1"/>
        <rFont val="Calibri"/>
        <family val="2"/>
        <scheme val="minor"/>
      </rPr>
      <t>830</t>
    </r>
    <r>
      <rPr>
        <sz val="11"/>
        <color theme="1"/>
        <rFont val="Calibri"/>
        <family val="2"/>
        <scheme val="minor"/>
      </rPr>
      <t xml:space="preserve"> - Debt-Related Expenditures/Expenses
</t>
    </r>
    <r>
      <rPr>
        <b/>
        <sz val="11"/>
        <color theme="1"/>
        <rFont val="Calibri"/>
        <family val="2"/>
        <scheme val="minor"/>
      </rPr>
      <t>831</t>
    </r>
    <r>
      <rPr>
        <sz val="11"/>
        <color theme="1"/>
        <rFont val="Calibri"/>
        <family val="2"/>
        <scheme val="minor"/>
      </rPr>
      <t xml:space="preserve"> - Redemption of Principal
</t>
    </r>
    <r>
      <rPr>
        <b/>
        <sz val="11"/>
        <color theme="1"/>
        <rFont val="Calibri"/>
        <family val="2"/>
        <scheme val="minor"/>
      </rPr>
      <t>832</t>
    </r>
    <r>
      <rPr>
        <sz val="11"/>
        <color theme="1"/>
        <rFont val="Calibri"/>
        <family val="2"/>
        <scheme val="minor"/>
      </rPr>
      <t xml:space="preserve"> - Interest
</t>
    </r>
    <r>
      <rPr>
        <b/>
        <sz val="11"/>
        <color theme="1"/>
        <rFont val="Calibri"/>
        <family val="2"/>
        <scheme val="minor"/>
      </rPr>
      <t>833</t>
    </r>
    <r>
      <rPr>
        <sz val="11"/>
        <color theme="1"/>
        <rFont val="Calibri"/>
        <family val="2"/>
        <scheme val="minor"/>
      </rPr>
      <t xml:space="preserve"> - Bond Issuance and Other Debt-Related Costs
</t>
    </r>
    <r>
      <rPr>
        <b/>
        <sz val="11"/>
        <color theme="1"/>
        <rFont val="Calibri"/>
        <family val="2"/>
        <scheme val="minor"/>
      </rPr>
      <t>834</t>
    </r>
    <r>
      <rPr>
        <sz val="11"/>
        <color theme="1"/>
        <rFont val="Calibri"/>
        <family val="2"/>
        <scheme val="minor"/>
      </rPr>
      <t xml:space="preserve"> - Amortization of Premium and Discount on Issuance of Bonds
</t>
    </r>
    <r>
      <rPr>
        <b/>
        <sz val="11"/>
        <color theme="1"/>
        <rFont val="Calibri"/>
        <family val="2"/>
        <scheme val="minor"/>
      </rPr>
      <t>835</t>
    </r>
    <r>
      <rPr>
        <sz val="11"/>
        <color theme="1"/>
        <rFont val="Calibri"/>
        <family val="2"/>
        <scheme val="minor"/>
      </rPr>
      <t xml:space="preserve"> - Interest on Short-Term Debt
</t>
    </r>
    <r>
      <rPr>
        <b/>
        <sz val="11"/>
        <color theme="1"/>
        <rFont val="Calibri"/>
        <family val="2"/>
        <scheme val="minor"/>
      </rPr>
      <t>890</t>
    </r>
    <r>
      <rPr>
        <sz val="11"/>
        <color theme="1"/>
        <rFont val="Calibri"/>
        <family val="2"/>
        <scheme val="minor"/>
      </rPr>
      <t xml:space="preserve"> - Miscellaneous Expenditures
</t>
    </r>
    <r>
      <rPr>
        <b/>
        <sz val="11"/>
        <color theme="1"/>
        <rFont val="Calibri"/>
        <family val="2"/>
        <scheme val="minor"/>
      </rPr>
      <t>900</t>
    </r>
    <r>
      <rPr>
        <sz val="11"/>
        <color theme="1"/>
        <rFont val="Calibri"/>
        <family val="2"/>
        <scheme val="minor"/>
      </rPr>
      <t xml:space="preserve"> - Other Items
</t>
    </r>
    <r>
      <rPr>
        <b/>
        <sz val="11"/>
        <color theme="1"/>
        <rFont val="Calibri"/>
        <family val="2"/>
        <scheme val="minor"/>
      </rPr>
      <t>910</t>
    </r>
    <r>
      <rPr>
        <sz val="11"/>
        <color theme="1"/>
        <rFont val="Calibri"/>
        <family val="2"/>
        <scheme val="minor"/>
      </rPr>
      <t xml:space="preserve"> - Fund Transfers Out
</t>
    </r>
    <r>
      <rPr>
        <b/>
        <sz val="11"/>
        <color theme="1"/>
        <rFont val="Calibri"/>
        <family val="2"/>
        <scheme val="minor"/>
      </rPr>
      <t>920</t>
    </r>
    <r>
      <rPr>
        <sz val="11"/>
        <color theme="1"/>
        <rFont val="Calibri"/>
        <family val="2"/>
        <scheme val="minor"/>
      </rPr>
      <t xml:space="preserve"> - Payments to Escrow Agents for Defeasance of Debt
</t>
    </r>
    <r>
      <rPr>
        <b/>
        <sz val="11"/>
        <color theme="1"/>
        <rFont val="Calibri"/>
        <family val="2"/>
        <scheme val="minor"/>
      </rPr>
      <t>925</t>
    </r>
    <r>
      <rPr>
        <sz val="11"/>
        <color theme="1"/>
        <rFont val="Calibri"/>
        <family val="2"/>
        <scheme val="minor"/>
      </rPr>
      <t xml:space="preserve"> - Discount on the Issuance of Bonds
</t>
    </r>
    <r>
      <rPr>
        <b/>
        <sz val="11"/>
        <color theme="1"/>
        <rFont val="Calibri"/>
        <family val="2"/>
        <scheme val="minor"/>
      </rPr>
      <t>930</t>
    </r>
    <r>
      <rPr>
        <sz val="11"/>
        <color theme="1"/>
        <rFont val="Calibri"/>
        <family val="2"/>
        <scheme val="minor"/>
      </rPr>
      <t xml:space="preserve"> - Net Decreases in the Fair Value of Investments
</t>
    </r>
    <r>
      <rPr>
        <b/>
        <sz val="11"/>
        <color theme="1"/>
        <rFont val="Calibri"/>
        <family val="2"/>
        <scheme val="minor"/>
      </rPr>
      <t>931</t>
    </r>
    <r>
      <rPr>
        <sz val="11"/>
        <color theme="1"/>
        <rFont val="Calibri"/>
        <family val="2"/>
        <scheme val="minor"/>
      </rPr>
      <t xml:space="preserve"> - Realized Losses on Investments
</t>
    </r>
    <r>
      <rPr>
        <b/>
        <sz val="11"/>
        <color theme="1"/>
        <rFont val="Calibri"/>
        <family val="2"/>
        <scheme val="minor"/>
      </rPr>
      <t>932</t>
    </r>
    <r>
      <rPr>
        <sz val="11"/>
        <color theme="1"/>
        <rFont val="Calibri"/>
        <family val="2"/>
        <scheme val="minor"/>
      </rPr>
      <t xml:space="preserve"> - Unrealized Losses on Investments
</t>
    </r>
    <r>
      <rPr>
        <b/>
        <sz val="11"/>
        <color theme="1"/>
        <rFont val="Calibri"/>
        <family val="2"/>
        <scheme val="minor"/>
      </rPr>
      <t>940</t>
    </r>
    <r>
      <rPr>
        <sz val="11"/>
        <color theme="1"/>
        <rFont val="Calibri"/>
        <family val="2"/>
        <scheme val="minor"/>
      </rPr>
      <t xml:space="preserve"> - Losses on the Sale of Capital Assets
</t>
    </r>
    <r>
      <rPr>
        <b/>
        <sz val="11"/>
        <color theme="1"/>
        <rFont val="Calibri"/>
        <family val="2"/>
        <scheme val="minor"/>
      </rPr>
      <t>950</t>
    </r>
    <r>
      <rPr>
        <sz val="11"/>
        <color theme="1"/>
        <rFont val="Calibri"/>
        <family val="2"/>
        <scheme val="minor"/>
      </rPr>
      <t xml:space="preserve"> - Special Items
</t>
    </r>
    <r>
      <rPr>
        <b/>
        <sz val="11"/>
        <color theme="1"/>
        <rFont val="Calibri"/>
        <family val="2"/>
        <scheme val="minor"/>
      </rPr>
      <t>960</t>
    </r>
    <r>
      <rPr>
        <sz val="11"/>
        <color theme="1"/>
        <rFont val="Calibri"/>
        <family val="2"/>
        <scheme val="minor"/>
      </rPr>
      <t xml:space="preserve"> - Extraordinary Items
</t>
    </r>
  </si>
  <si>
    <r>
      <t>1000</t>
    </r>
    <r>
      <rPr>
        <sz val="11"/>
        <color theme="1"/>
        <rFont val="Calibri"/>
        <family val="2"/>
        <scheme val="minor"/>
      </rPr>
      <t xml:space="preserve"> - Revenue From Local Sources
</t>
    </r>
    <r>
      <rPr>
        <b/>
        <sz val="11"/>
        <color theme="1"/>
        <rFont val="Calibri"/>
        <family val="2"/>
        <scheme val="minor"/>
      </rPr>
      <t>1100</t>
    </r>
    <r>
      <rPr>
        <sz val="11"/>
        <color theme="1"/>
        <rFont val="Calibri"/>
        <family val="2"/>
        <scheme val="minor"/>
      </rPr>
      <t xml:space="preserve"> - Taxes Levied/Assessed by the School District
</t>
    </r>
    <r>
      <rPr>
        <b/>
        <sz val="11"/>
        <color theme="1"/>
        <rFont val="Calibri"/>
        <family val="2"/>
        <scheme val="minor"/>
      </rPr>
      <t>1110</t>
    </r>
    <r>
      <rPr>
        <sz val="11"/>
        <color theme="1"/>
        <rFont val="Calibri"/>
        <family val="2"/>
        <scheme val="minor"/>
      </rPr>
      <t xml:space="preserve"> - Ad Valorem Taxes
</t>
    </r>
    <r>
      <rPr>
        <b/>
        <sz val="11"/>
        <color theme="1"/>
        <rFont val="Calibri"/>
        <family val="2"/>
        <scheme val="minor"/>
      </rPr>
      <t>1120</t>
    </r>
    <r>
      <rPr>
        <sz val="11"/>
        <color theme="1"/>
        <rFont val="Calibri"/>
        <family val="2"/>
        <scheme val="minor"/>
      </rPr>
      <t xml:space="preserve"> - Sales and Use Taxes
</t>
    </r>
    <r>
      <rPr>
        <b/>
        <sz val="11"/>
        <color theme="1"/>
        <rFont val="Calibri"/>
        <family val="2"/>
        <scheme val="minor"/>
      </rPr>
      <t>1130</t>
    </r>
    <r>
      <rPr>
        <sz val="11"/>
        <color theme="1"/>
        <rFont val="Calibri"/>
        <family val="2"/>
        <scheme val="minor"/>
      </rPr>
      <t xml:space="preserve"> - Income Taxes
</t>
    </r>
    <r>
      <rPr>
        <b/>
        <sz val="11"/>
        <color theme="1"/>
        <rFont val="Calibri"/>
        <family val="2"/>
        <scheme val="minor"/>
      </rPr>
      <t>1140</t>
    </r>
    <r>
      <rPr>
        <sz val="11"/>
        <color theme="1"/>
        <rFont val="Calibri"/>
        <family val="2"/>
        <scheme val="minor"/>
      </rPr>
      <t xml:space="preserve"> - Penalties and Interest on Taxes
</t>
    </r>
    <r>
      <rPr>
        <b/>
        <sz val="11"/>
        <color theme="1"/>
        <rFont val="Calibri"/>
        <family val="2"/>
        <scheme val="minor"/>
      </rPr>
      <t>1190</t>
    </r>
    <r>
      <rPr>
        <sz val="11"/>
        <color theme="1"/>
        <rFont val="Calibri"/>
        <family val="2"/>
        <scheme val="minor"/>
      </rPr>
      <t xml:space="preserve"> - Other Taxes
</t>
    </r>
    <r>
      <rPr>
        <b/>
        <sz val="11"/>
        <color theme="1"/>
        <rFont val="Calibri"/>
        <family val="2"/>
        <scheme val="minor"/>
      </rPr>
      <t>1200</t>
    </r>
    <r>
      <rPr>
        <sz val="11"/>
        <color theme="1"/>
        <rFont val="Calibri"/>
        <family val="2"/>
        <scheme val="minor"/>
      </rPr>
      <t xml:space="preserve"> - Revenue From Local Governmental Units Other Than School Districts
</t>
    </r>
    <r>
      <rPr>
        <b/>
        <sz val="11"/>
        <color theme="1"/>
        <rFont val="Calibri"/>
        <family val="2"/>
        <scheme val="minor"/>
      </rPr>
      <t>1210</t>
    </r>
    <r>
      <rPr>
        <sz val="11"/>
        <color theme="1"/>
        <rFont val="Calibri"/>
        <family val="2"/>
        <scheme val="minor"/>
      </rPr>
      <t xml:space="preserve"> - Ad Valorem Taxes
</t>
    </r>
    <r>
      <rPr>
        <b/>
        <sz val="11"/>
        <color theme="1"/>
        <rFont val="Calibri"/>
        <family val="2"/>
        <scheme val="minor"/>
      </rPr>
      <t>1220</t>
    </r>
    <r>
      <rPr>
        <sz val="11"/>
        <color theme="1"/>
        <rFont val="Calibri"/>
        <family val="2"/>
        <scheme val="minor"/>
      </rPr>
      <t xml:space="preserve"> - Sales and Use Tax
</t>
    </r>
    <r>
      <rPr>
        <b/>
        <sz val="11"/>
        <color theme="1"/>
        <rFont val="Calibri"/>
        <family val="2"/>
        <scheme val="minor"/>
      </rPr>
      <t>1230</t>
    </r>
    <r>
      <rPr>
        <sz val="11"/>
        <color theme="1"/>
        <rFont val="Calibri"/>
        <family val="2"/>
        <scheme val="minor"/>
      </rPr>
      <t xml:space="preserve"> - Income Taxes
</t>
    </r>
    <r>
      <rPr>
        <b/>
        <sz val="11"/>
        <color theme="1"/>
        <rFont val="Calibri"/>
        <family val="2"/>
        <scheme val="minor"/>
      </rPr>
      <t>1240</t>
    </r>
    <r>
      <rPr>
        <sz val="11"/>
        <color theme="1"/>
        <rFont val="Calibri"/>
        <family val="2"/>
        <scheme val="minor"/>
      </rPr>
      <t xml:space="preserve"> - Penalties and Interest on Taxes
</t>
    </r>
    <r>
      <rPr>
        <b/>
        <sz val="11"/>
        <color theme="1"/>
        <rFont val="Calibri"/>
        <family val="2"/>
        <scheme val="minor"/>
      </rPr>
      <t>1280</t>
    </r>
    <r>
      <rPr>
        <sz val="11"/>
        <color theme="1"/>
        <rFont val="Calibri"/>
        <family val="2"/>
        <scheme val="minor"/>
      </rPr>
      <t xml:space="preserve"> - Revenue in Lieu of Taxes
</t>
    </r>
    <r>
      <rPr>
        <b/>
        <sz val="11"/>
        <color theme="1"/>
        <rFont val="Calibri"/>
        <family val="2"/>
        <scheme val="minor"/>
      </rPr>
      <t>1290</t>
    </r>
    <r>
      <rPr>
        <sz val="11"/>
        <color theme="1"/>
        <rFont val="Calibri"/>
        <family val="2"/>
        <scheme val="minor"/>
      </rPr>
      <t xml:space="preserve"> - Other Taxes
</t>
    </r>
    <r>
      <rPr>
        <b/>
        <sz val="11"/>
        <color theme="1"/>
        <rFont val="Calibri"/>
        <family val="2"/>
        <scheme val="minor"/>
      </rPr>
      <t>1300</t>
    </r>
    <r>
      <rPr>
        <sz val="11"/>
        <color theme="1"/>
        <rFont val="Calibri"/>
        <family val="2"/>
        <scheme val="minor"/>
      </rPr>
      <t xml:space="preserve"> - Tuition
</t>
    </r>
    <r>
      <rPr>
        <b/>
        <sz val="11"/>
        <color theme="1"/>
        <rFont val="Calibri"/>
        <family val="2"/>
        <scheme val="minor"/>
      </rPr>
      <t>1310</t>
    </r>
    <r>
      <rPr>
        <sz val="11"/>
        <color theme="1"/>
        <rFont val="Calibri"/>
        <family val="2"/>
        <scheme val="minor"/>
      </rPr>
      <t xml:space="preserve"> - Tuition From Individuals
</t>
    </r>
    <r>
      <rPr>
        <b/>
        <sz val="11"/>
        <color theme="1"/>
        <rFont val="Calibri"/>
        <family val="2"/>
        <scheme val="minor"/>
      </rPr>
      <t>1311</t>
    </r>
    <r>
      <rPr>
        <sz val="11"/>
        <color theme="1"/>
        <rFont val="Calibri"/>
        <family val="2"/>
        <scheme val="minor"/>
      </rPr>
      <t xml:space="preserve"> - Tuition From Individuals Excluding Summer School
</t>
    </r>
    <r>
      <rPr>
        <b/>
        <sz val="11"/>
        <color theme="1"/>
        <rFont val="Calibri"/>
        <family val="2"/>
        <scheme val="minor"/>
      </rPr>
      <t>1312</t>
    </r>
    <r>
      <rPr>
        <sz val="11"/>
        <color theme="1"/>
        <rFont val="Calibri"/>
        <family val="2"/>
        <scheme val="minor"/>
      </rPr>
      <t xml:space="preserve"> - Tuition From Individuals for Summer School
</t>
    </r>
    <r>
      <rPr>
        <b/>
        <sz val="11"/>
        <color theme="1"/>
        <rFont val="Calibri"/>
        <family val="2"/>
        <scheme val="minor"/>
      </rPr>
      <t>1320</t>
    </r>
    <r>
      <rPr>
        <sz val="11"/>
        <color theme="1"/>
        <rFont val="Calibri"/>
        <family val="2"/>
        <scheme val="minor"/>
      </rPr>
      <t xml:space="preserve"> - Tuition From Other Government Sources Within the State
</t>
    </r>
    <r>
      <rPr>
        <b/>
        <sz val="11"/>
        <color theme="1"/>
        <rFont val="Calibri"/>
        <family val="2"/>
        <scheme val="minor"/>
      </rPr>
      <t>1321</t>
    </r>
    <r>
      <rPr>
        <sz val="11"/>
        <color theme="1"/>
        <rFont val="Calibri"/>
        <family val="2"/>
        <scheme val="minor"/>
      </rPr>
      <t xml:space="preserve"> - Tuition From Other School Districts Within the State
</t>
    </r>
    <r>
      <rPr>
        <b/>
        <sz val="11"/>
        <color theme="1"/>
        <rFont val="Calibri"/>
        <family val="2"/>
        <scheme val="minor"/>
      </rPr>
      <t>1322</t>
    </r>
    <r>
      <rPr>
        <sz val="11"/>
        <color theme="1"/>
        <rFont val="Calibri"/>
        <family val="2"/>
        <scheme val="minor"/>
      </rPr>
      <t xml:space="preserve"> - Tuition From Other Government Sources Excluding School Districts Within the State
</t>
    </r>
    <r>
      <rPr>
        <b/>
        <sz val="11"/>
        <color theme="1"/>
        <rFont val="Calibri"/>
        <family val="2"/>
        <scheme val="minor"/>
      </rPr>
      <t>1330</t>
    </r>
    <r>
      <rPr>
        <sz val="11"/>
        <color theme="1"/>
        <rFont val="Calibri"/>
        <family val="2"/>
        <scheme val="minor"/>
      </rPr>
      <t xml:space="preserve"> - Tuition From Other Government Sources Outside the State
</t>
    </r>
    <r>
      <rPr>
        <b/>
        <sz val="11"/>
        <color theme="1"/>
        <rFont val="Calibri"/>
        <family val="2"/>
        <scheme val="minor"/>
      </rPr>
      <t>1331</t>
    </r>
    <r>
      <rPr>
        <sz val="11"/>
        <color theme="1"/>
        <rFont val="Calibri"/>
        <family val="2"/>
        <scheme val="minor"/>
      </rPr>
      <t xml:space="preserve"> - Tuition From School Districts Outside the State
</t>
    </r>
    <r>
      <rPr>
        <b/>
        <sz val="11"/>
        <color theme="1"/>
        <rFont val="Calibri"/>
        <family val="2"/>
        <scheme val="minor"/>
      </rPr>
      <t>1340</t>
    </r>
    <r>
      <rPr>
        <sz val="11"/>
        <color theme="1"/>
        <rFont val="Calibri"/>
        <family val="2"/>
        <scheme val="minor"/>
      </rPr>
      <t xml:space="preserve"> - Tuition From Other Private Sources (other than individuals)
</t>
    </r>
    <r>
      <rPr>
        <b/>
        <sz val="11"/>
        <color theme="1"/>
        <rFont val="Calibri"/>
        <family val="2"/>
        <scheme val="minor"/>
      </rPr>
      <t>1350</t>
    </r>
    <r>
      <rPr>
        <sz val="11"/>
        <color theme="1"/>
        <rFont val="Calibri"/>
        <family val="2"/>
        <scheme val="minor"/>
      </rPr>
      <t xml:space="preserve"> - Tuition From the State/Other School Districts for Voucher Program Students
</t>
    </r>
    <r>
      <rPr>
        <b/>
        <sz val="11"/>
        <color theme="1"/>
        <rFont val="Calibri"/>
        <family val="2"/>
        <scheme val="minor"/>
      </rPr>
      <t>1400</t>
    </r>
    <r>
      <rPr>
        <sz val="11"/>
        <color theme="1"/>
        <rFont val="Calibri"/>
        <family val="2"/>
        <scheme val="minor"/>
      </rPr>
      <t xml:space="preserve"> - Transportation Fees
</t>
    </r>
    <r>
      <rPr>
        <b/>
        <sz val="11"/>
        <color theme="1"/>
        <rFont val="Calibri"/>
        <family val="2"/>
        <scheme val="minor"/>
      </rPr>
      <t>1410</t>
    </r>
    <r>
      <rPr>
        <sz val="11"/>
        <color theme="1"/>
        <rFont val="Calibri"/>
        <family val="2"/>
        <scheme val="minor"/>
      </rPr>
      <t xml:space="preserve"> - Transportation Fees From Individuals
</t>
    </r>
    <r>
      <rPr>
        <b/>
        <sz val="11"/>
        <color theme="1"/>
        <rFont val="Calibri"/>
        <family val="2"/>
        <scheme val="minor"/>
      </rPr>
      <t>1420</t>
    </r>
    <r>
      <rPr>
        <sz val="11"/>
        <color theme="1"/>
        <rFont val="Calibri"/>
        <family val="2"/>
        <scheme val="minor"/>
      </rPr>
      <t xml:space="preserve"> - Transportation Fees From Other Government Sources Within the State
</t>
    </r>
    <r>
      <rPr>
        <b/>
        <sz val="11"/>
        <color theme="1"/>
        <rFont val="Calibri"/>
        <family val="2"/>
        <scheme val="minor"/>
      </rPr>
      <t>1421</t>
    </r>
    <r>
      <rPr>
        <sz val="11"/>
        <color theme="1"/>
        <rFont val="Calibri"/>
        <family val="2"/>
        <scheme val="minor"/>
      </rPr>
      <t xml:space="preserve"> - Transportation Fees From Other School Districts Within the State
</t>
    </r>
    <r>
      <rPr>
        <b/>
        <sz val="11"/>
        <color theme="1"/>
        <rFont val="Calibri"/>
        <family val="2"/>
        <scheme val="minor"/>
      </rPr>
      <t>1422</t>
    </r>
    <r>
      <rPr>
        <sz val="11"/>
        <color theme="1"/>
        <rFont val="Calibri"/>
        <family val="2"/>
        <scheme val="minor"/>
      </rPr>
      <t xml:space="preserve"> - Transportation Fees From Other Government Sources Excluding School Districts Within the State
</t>
    </r>
    <r>
      <rPr>
        <b/>
        <sz val="11"/>
        <color theme="1"/>
        <rFont val="Calibri"/>
        <family val="2"/>
        <scheme val="minor"/>
      </rPr>
      <t>1430</t>
    </r>
    <r>
      <rPr>
        <sz val="11"/>
        <color theme="1"/>
        <rFont val="Calibri"/>
        <family val="2"/>
        <scheme val="minor"/>
      </rPr>
      <t xml:space="preserve"> - Transportation Fees From Other Government Sources Outside the State
</t>
    </r>
    <r>
      <rPr>
        <b/>
        <sz val="11"/>
        <color theme="1"/>
        <rFont val="Calibri"/>
        <family val="2"/>
        <scheme val="minor"/>
      </rPr>
      <t>1431</t>
    </r>
    <r>
      <rPr>
        <sz val="11"/>
        <color theme="1"/>
        <rFont val="Calibri"/>
        <family val="2"/>
        <scheme val="minor"/>
      </rPr>
      <t xml:space="preserve"> - Transportation Fees From Other School Districts Outside the State
</t>
    </r>
    <r>
      <rPr>
        <b/>
        <sz val="11"/>
        <color theme="1"/>
        <rFont val="Calibri"/>
        <family val="2"/>
        <scheme val="minor"/>
      </rPr>
      <t>1440</t>
    </r>
    <r>
      <rPr>
        <sz val="11"/>
        <color theme="1"/>
        <rFont val="Calibri"/>
        <family val="2"/>
        <scheme val="minor"/>
      </rPr>
      <t xml:space="preserve"> - Transportation Fees From Other Private Sources (other than individuals)
</t>
    </r>
    <r>
      <rPr>
        <b/>
        <sz val="11"/>
        <color theme="1"/>
        <rFont val="Calibri"/>
        <family val="2"/>
        <scheme val="minor"/>
      </rPr>
      <t>1500</t>
    </r>
    <r>
      <rPr>
        <sz val="11"/>
        <color theme="1"/>
        <rFont val="Calibri"/>
        <family val="2"/>
        <scheme val="minor"/>
      </rPr>
      <t xml:space="preserve"> - Investment Income
</t>
    </r>
    <r>
      <rPr>
        <b/>
        <sz val="11"/>
        <color theme="1"/>
        <rFont val="Calibri"/>
        <family val="2"/>
        <scheme val="minor"/>
      </rPr>
      <t>1510</t>
    </r>
    <r>
      <rPr>
        <sz val="11"/>
        <color theme="1"/>
        <rFont val="Calibri"/>
        <family val="2"/>
        <scheme val="minor"/>
      </rPr>
      <t xml:space="preserve"> - Interest on Investments
</t>
    </r>
    <r>
      <rPr>
        <b/>
        <sz val="11"/>
        <color theme="1"/>
        <rFont val="Calibri"/>
        <family val="2"/>
        <scheme val="minor"/>
      </rPr>
      <t>1520</t>
    </r>
    <r>
      <rPr>
        <sz val="11"/>
        <color theme="1"/>
        <rFont val="Calibri"/>
        <family val="2"/>
        <scheme val="minor"/>
      </rPr>
      <t xml:space="preserve"> - Dividends on Investments
</t>
    </r>
    <r>
      <rPr>
        <b/>
        <sz val="11"/>
        <color theme="1"/>
        <rFont val="Calibri"/>
        <family val="2"/>
        <scheme val="minor"/>
      </rPr>
      <t>1530</t>
    </r>
    <r>
      <rPr>
        <sz val="11"/>
        <color theme="1"/>
        <rFont val="Calibri"/>
        <family val="2"/>
        <scheme val="minor"/>
      </rPr>
      <t xml:space="preserve"> - Net Increase in the Fair Value of Investments
</t>
    </r>
    <r>
      <rPr>
        <b/>
        <sz val="11"/>
        <color theme="1"/>
        <rFont val="Calibri"/>
        <family val="2"/>
        <scheme val="minor"/>
      </rPr>
      <t>1531</t>
    </r>
    <r>
      <rPr>
        <sz val="11"/>
        <color theme="1"/>
        <rFont val="Calibri"/>
        <family val="2"/>
        <scheme val="minor"/>
      </rPr>
      <t xml:space="preserve"> - Realized Gains (Losses) on Investments
</t>
    </r>
    <r>
      <rPr>
        <b/>
        <sz val="11"/>
        <color theme="1"/>
        <rFont val="Calibri"/>
        <family val="2"/>
        <scheme val="minor"/>
      </rPr>
      <t>1532</t>
    </r>
    <r>
      <rPr>
        <sz val="11"/>
        <color theme="1"/>
        <rFont val="Calibri"/>
        <family val="2"/>
        <scheme val="minor"/>
      </rPr>
      <t xml:space="preserve"> - Unrealized Gains (Losses) on Investments
</t>
    </r>
    <r>
      <rPr>
        <b/>
        <sz val="11"/>
        <color theme="1"/>
        <rFont val="Calibri"/>
        <family val="2"/>
        <scheme val="minor"/>
      </rPr>
      <t>1540</t>
    </r>
    <r>
      <rPr>
        <sz val="11"/>
        <color theme="1"/>
        <rFont val="Calibri"/>
        <family val="2"/>
        <scheme val="minor"/>
      </rPr>
      <t xml:space="preserve"> - Investment Income From Real Property
</t>
    </r>
    <r>
      <rPr>
        <b/>
        <sz val="11"/>
        <color theme="1"/>
        <rFont val="Calibri"/>
        <family val="2"/>
        <scheme val="minor"/>
      </rPr>
      <t>1600</t>
    </r>
    <r>
      <rPr>
        <sz val="11"/>
        <color theme="1"/>
        <rFont val="Calibri"/>
        <family val="2"/>
        <scheme val="minor"/>
      </rPr>
      <t xml:space="preserve"> - Food Services
</t>
    </r>
    <r>
      <rPr>
        <b/>
        <sz val="11"/>
        <color theme="1"/>
        <rFont val="Calibri"/>
        <family val="2"/>
        <scheme val="minor"/>
      </rPr>
      <t>1610</t>
    </r>
    <r>
      <rPr>
        <sz val="11"/>
        <color theme="1"/>
        <rFont val="Calibri"/>
        <family val="2"/>
        <scheme val="minor"/>
      </rPr>
      <t xml:space="preserve"> - Daily Sales—Reimbursable Programs
</t>
    </r>
    <r>
      <rPr>
        <b/>
        <sz val="11"/>
        <color theme="1"/>
        <rFont val="Calibri"/>
        <family val="2"/>
        <scheme val="minor"/>
      </rPr>
      <t>1611</t>
    </r>
    <r>
      <rPr>
        <sz val="11"/>
        <color theme="1"/>
        <rFont val="Calibri"/>
        <family val="2"/>
        <scheme val="minor"/>
      </rPr>
      <t xml:space="preserve"> - Daily Sales—School Lunch Program
</t>
    </r>
    <r>
      <rPr>
        <b/>
        <sz val="11"/>
        <color theme="1"/>
        <rFont val="Calibri"/>
        <family val="2"/>
        <scheme val="minor"/>
      </rPr>
      <t>1612</t>
    </r>
    <r>
      <rPr>
        <sz val="11"/>
        <color theme="1"/>
        <rFont val="Calibri"/>
        <family val="2"/>
        <scheme val="minor"/>
      </rPr>
      <t xml:space="preserve"> - Daily Sales—School Breakfast Program
</t>
    </r>
    <r>
      <rPr>
        <b/>
        <sz val="11"/>
        <color theme="1"/>
        <rFont val="Calibri"/>
        <family val="2"/>
        <scheme val="minor"/>
      </rPr>
      <t>1613</t>
    </r>
    <r>
      <rPr>
        <sz val="11"/>
        <color theme="1"/>
        <rFont val="Calibri"/>
        <family val="2"/>
        <scheme val="minor"/>
      </rPr>
      <t xml:space="preserve"> - Daily Sales—Special Milk Program
</t>
    </r>
    <r>
      <rPr>
        <b/>
        <sz val="11"/>
        <color theme="1"/>
        <rFont val="Calibri"/>
        <family val="2"/>
        <scheme val="minor"/>
      </rPr>
      <t>1614</t>
    </r>
    <r>
      <rPr>
        <sz val="11"/>
        <color theme="1"/>
        <rFont val="Calibri"/>
        <family val="2"/>
        <scheme val="minor"/>
      </rPr>
      <t xml:space="preserve"> - Daily Sales—After-School Programs
</t>
    </r>
    <r>
      <rPr>
        <b/>
        <sz val="11"/>
        <color theme="1"/>
        <rFont val="Calibri"/>
        <family val="2"/>
        <scheme val="minor"/>
      </rPr>
      <t>1620</t>
    </r>
    <r>
      <rPr>
        <sz val="11"/>
        <color theme="1"/>
        <rFont val="Calibri"/>
        <family val="2"/>
        <scheme val="minor"/>
      </rPr>
      <t xml:space="preserve"> - Daily Sales—Nonreimbursable Programs
</t>
    </r>
    <r>
      <rPr>
        <b/>
        <sz val="11"/>
        <color theme="1"/>
        <rFont val="Calibri"/>
        <family val="2"/>
        <scheme val="minor"/>
      </rPr>
      <t>1630</t>
    </r>
    <r>
      <rPr>
        <sz val="11"/>
        <color theme="1"/>
        <rFont val="Calibri"/>
        <family val="2"/>
        <scheme val="minor"/>
      </rPr>
      <t xml:space="preserve"> - Special Functions
</t>
    </r>
    <r>
      <rPr>
        <b/>
        <sz val="11"/>
        <color theme="1"/>
        <rFont val="Calibri"/>
        <family val="2"/>
        <scheme val="minor"/>
      </rPr>
      <t>1650</t>
    </r>
    <r>
      <rPr>
        <sz val="11"/>
        <color theme="1"/>
        <rFont val="Calibri"/>
        <family val="2"/>
        <scheme val="minor"/>
      </rPr>
      <t xml:space="preserve"> - Daily Sales—Summer Food Programs
</t>
    </r>
    <r>
      <rPr>
        <b/>
        <sz val="11"/>
        <color theme="1"/>
        <rFont val="Calibri"/>
        <family val="2"/>
        <scheme val="minor"/>
      </rPr>
      <t>1700</t>
    </r>
    <r>
      <rPr>
        <sz val="11"/>
        <color theme="1"/>
        <rFont val="Calibri"/>
        <family val="2"/>
        <scheme val="minor"/>
      </rPr>
      <t xml:space="preserve"> - District Activities
</t>
    </r>
    <r>
      <rPr>
        <b/>
        <sz val="11"/>
        <color theme="1"/>
        <rFont val="Calibri"/>
        <family val="2"/>
        <scheme val="minor"/>
      </rPr>
      <t>1710</t>
    </r>
    <r>
      <rPr>
        <sz val="11"/>
        <color theme="1"/>
        <rFont val="Calibri"/>
        <family val="2"/>
        <scheme val="minor"/>
      </rPr>
      <t xml:space="preserve"> - Admissions
</t>
    </r>
    <r>
      <rPr>
        <b/>
        <sz val="11"/>
        <color theme="1"/>
        <rFont val="Calibri"/>
        <family val="2"/>
        <scheme val="minor"/>
      </rPr>
      <t>1720</t>
    </r>
    <r>
      <rPr>
        <sz val="11"/>
        <color theme="1"/>
        <rFont val="Calibri"/>
        <family val="2"/>
        <scheme val="minor"/>
      </rPr>
      <t xml:space="preserve"> - Bookstore Sales
</t>
    </r>
    <r>
      <rPr>
        <b/>
        <sz val="11"/>
        <color theme="1"/>
        <rFont val="Calibri"/>
        <family val="2"/>
        <scheme val="minor"/>
      </rPr>
      <t>1730</t>
    </r>
    <r>
      <rPr>
        <sz val="11"/>
        <color theme="1"/>
        <rFont val="Calibri"/>
        <family val="2"/>
        <scheme val="minor"/>
      </rPr>
      <t xml:space="preserve"> - Student Organization Membership Dues and Fees
</t>
    </r>
    <r>
      <rPr>
        <b/>
        <sz val="11"/>
        <color theme="1"/>
        <rFont val="Calibri"/>
        <family val="2"/>
        <scheme val="minor"/>
      </rPr>
      <t>1740</t>
    </r>
    <r>
      <rPr>
        <sz val="11"/>
        <color theme="1"/>
        <rFont val="Calibri"/>
        <family val="2"/>
        <scheme val="minor"/>
      </rPr>
      <t xml:space="preserve"> - Fees
</t>
    </r>
    <r>
      <rPr>
        <b/>
        <sz val="11"/>
        <color theme="1"/>
        <rFont val="Calibri"/>
        <family val="2"/>
        <scheme val="minor"/>
      </rPr>
      <t>1750</t>
    </r>
    <r>
      <rPr>
        <sz val="11"/>
        <color theme="1"/>
        <rFont val="Calibri"/>
        <family val="2"/>
        <scheme val="minor"/>
      </rPr>
      <t xml:space="preserve"> - Revenue From Enterprise Activities
</t>
    </r>
    <r>
      <rPr>
        <b/>
        <sz val="11"/>
        <color theme="1"/>
        <rFont val="Calibri"/>
        <family val="2"/>
        <scheme val="minor"/>
      </rPr>
      <t>1790</t>
    </r>
    <r>
      <rPr>
        <sz val="11"/>
        <color theme="1"/>
        <rFont val="Calibri"/>
        <family val="2"/>
        <scheme val="minor"/>
      </rPr>
      <t xml:space="preserve"> - Other Activity Income
</t>
    </r>
    <r>
      <rPr>
        <b/>
        <sz val="11"/>
        <color theme="1"/>
        <rFont val="Calibri"/>
        <family val="2"/>
        <scheme val="minor"/>
      </rPr>
      <t>1800</t>
    </r>
    <r>
      <rPr>
        <sz val="11"/>
        <color theme="1"/>
        <rFont val="Calibri"/>
        <family val="2"/>
        <scheme val="minor"/>
      </rPr>
      <t xml:space="preserve"> - Revenue From Community Services Activities
</t>
    </r>
    <r>
      <rPr>
        <b/>
        <sz val="11"/>
        <color theme="1"/>
        <rFont val="Calibri"/>
        <family val="2"/>
        <scheme val="minor"/>
      </rPr>
      <t>1900</t>
    </r>
    <r>
      <rPr>
        <sz val="11"/>
        <color theme="1"/>
        <rFont val="Calibri"/>
        <family val="2"/>
        <scheme val="minor"/>
      </rPr>
      <t xml:space="preserve"> - Other Revenue From Local Sources
</t>
    </r>
    <r>
      <rPr>
        <b/>
        <sz val="11"/>
        <color theme="1"/>
        <rFont val="Calibri"/>
        <family val="2"/>
        <scheme val="minor"/>
      </rPr>
      <t>1910</t>
    </r>
    <r>
      <rPr>
        <sz val="11"/>
        <color theme="1"/>
        <rFont val="Calibri"/>
        <family val="2"/>
        <scheme val="minor"/>
      </rPr>
      <t xml:space="preserve"> - Rentals
</t>
    </r>
    <r>
      <rPr>
        <b/>
        <sz val="11"/>
        <color theme="1"/>
        <rFont val="Calibri"/>
        <family val="2"/>
        <scheme val="minor"/>
      </rPr>
      <t>1920</t>
    </r>
    <r>
      <rPr>
        <sz val="11"/>
        <color theme="1"/>
        <rFont val="Calibri"/>
        <family val="2"/>
        <scheme val="minor"/>
      </rPr>
      <t xml:space="preserve"> - Contributions and Donations from Private Sources
</t>
    </r>
    <r>
      <rPr>
        <b/>
        <sz val="11"/>
        <color theme="1"/>
        <rFont val="Calibri"/>
        <family val="2"/>
        <scheme val="minor"/>
      </rPr>
      <t>1930</t>
    </r>
    <r>
      <rPr>
        <sz val="11"/>
        <color theme="1"/>
        <rFont val="Calibri"/>
        <family val="2"/>
        <scheme val="minor"/>
      </rPr>
      <t xml:space="preserve"> - Gains or Losses on the Sale of Capital Assets
</t>
    </r>
    <r>
      <rPr>
        <b/>
        <sz val="11"/>
        <color theme="1"/>
        <rFont val="Calibri"/>
        <family val="2"/>
        <scheme val="minor"/>
      </rPr>
      <t>1940</t>
    </r>
    <r>
      <rPr>
        <sz val="11"/>
        <color theme="1"/>
        <rFont val="Calibri"/>
        <family val="2"/>
        <scheme val="minor"/>
      </rPr>
      <t xml:space="preserve"> - Textbook Sales and Rentals
</t>
    </r>
    <r>
      <rPr>
        <b/>
        <sz val="11"/>
        <color theme="1"/>
        <rFont val="Calibri"/>
        <family val="2"/>
        <scheme val="minor"/>
      </rPr>
      <t>1941</t>
    </r>
    <r>
      <rPr>
        <sz val="11"/>
        <color theme="1"/>
        <rFont val="Calibri"/>
        <family val="2"/>
        <scheme val="minor"/>
      </rPr>
      <t xml:space="preserve"> - Textbook Sales
</t>
    </r>
    <r>
      <rPr>
        <b/>
        <sz val="11"/>
        <color theme="1"/>
        <rFont val="Calibri"/>
        <family val="2"/>
        <scheme val="minor"/>
      </rPr>
      <t>1942</t>
    </r>
    <r>
      <rPr>
        <sz val="11"/>
        <color theme="1"/>
        <rFont val="Calibri"/>
        <family val="2"/>
        <scheme val="minor"/>
      </rPr>
      <t xml:space="preserve"> - Textbook Rentals
</t>
    </r>
    <r>
      <rPr>
        <b/>
        <sz val="11"/>
        <color theme="1"/>
        <rFont val="Calibri"/>
        <family val="2"/>
        <scheme val="minor"/>
      </rPr>
      <t>1950</t>
    </r>
    <r>
      <rPr>
        <sz val="11"/>
        <color theme="1"/>
        <rFont val="Calibri"/>
        <family val="2"/>
        <scheme val="minor"/>
      </rPr>
      <t xml:space="preserve"> - Miscellaneous Revenues From Other School Districts
</t>
    </r>
    <r>
      <rPr>
        <b/>
        <sz val="11"/>
        <color theme="1"/>
        <rFont val="Calibri"/>
        <family val="2"/>
        <scheme val="minor"/>
      </rPr>
      <t>1951</t>
    </r>
    <r>
      <rPr>
        <sz val="11"/>
        <color theme="1"/>
        <rFont val="Calibri"/>
        <family val="2"/>
        <scheme val="minor"/>
      </rPr>
      <t xml:space="preserve"> - Miscellaneous Revenue From Other School Districts Within the State
</t>
    </r>
    <r>
      <rPr>
        <b/>
        <sz val="11"/>
        <color theme="1"/>
        <rFont val="Calibri"/>
        <family val="2"/>
        <scheme val="minor"/>
      </rPr>
      <t>1952</t>
    </r>
    <r>
      <rPr>
        <sz val="11"/>
        <color theme="1"/>
        <rFont val="Calibri"/>
        <family val="2"/>
        <scheme val="minor"/>
      </rPr>
      <t xml:space="preserve"> - Miscellaneous Revenue From Other School Districts Outside the State
</t>
    </r>
    <r>
      <rPr>
        <b/>
        <sz val="11"/>
        <color theme="1"/>
        <rFont val="Calibri"/>
        <family val="2"/>
        <scheme val="minor"/>
      </rPr>
      <t>1960</t>
    </r>
    <r>
      <rPr>
        <sz val="11"/>
        <color theme="1"/>
        <rFont val="Calibri"/>
        <family val="2"/>
        <scheme val="minor"/>
      </rPr>
      <t xml:space="preserve"> - Miscellaneous Revenues From Other Local Governmental Unites
</t>
    </r>
    <r>
      <rPr>
        <b/>
        <sz val="11"/>
        <color theme="1"/>
        <rFont val="Calibri"/>
        <family val="2"/>
        <scheme val="minor"/>
      </rPr>
      <t>1970</t>
    </r>
    <r>
      <rPr>
        <sz val="11"/>
        <color theme="1"/>
        <rFont val="Calibri"/>
        <family val="2"/>
        <scheme val="minor"/>
      </rPr>
      <t xml:space="preserve"> - Revenues From Other Departments in the Agency
</t>
    </r>
    <r>
      <rPr>
        <b/>
        <sz val="11"/>
        <color theme="1"/>
        <rFont val="Calibri"/>
        <family val="2"/>
        <scheme val="minor"/>
      </rPr>
      <t>1980</t>
    </r>
    <r>
      <rPr>
        <sz val="11"/>
        <color theme="1"/>
        <rFont val="Calibri"/>
        <family val="2"/>
        <scheme val="minor"/>
      </rPr>
      <t xml:space="preserve"> - Refund of Prior Year’s Expenditures
</t>
    </r>
    <r>
      <rPr>
        <b/>
        <sz val="11"/>
        <color theme="1"/>
        <rFont val="Calibri"/>
        <family val="2"/>
        <scheme val="minor"/>
      </rPr>
      <t>1990</t>
    </r>
    <r>
      <rPr>
        <sz val="11"/>
        <color theme="1"/>
        <rFont val="Calibri"/>
        <family val="2"/>
        <scheme val="minor"/>
      </rPr>
      <t xml:space="preserve"> - Miscellaneous
</t>
    </r>
    <r>
      <rPr>
        <b/>
        <sz val="11"/>
        <color theme="1"/>
        <rFont val="Calibri"/>
        <family val="2"/>
        <scheme val="minor"/>
      </rPr>
      <t>2000</t>
    </r>
    <r>
      <rPr>
        <sz val="11"/>
        <color theme="1"/>
        <rFont val="Calibri"/>
        <family val="2"/>
        <scheme val="minor"/>
      </rPr>
      <t xml:space="preserve"> - Revenue from Intermediate Sources
</t>
    </r>
    <r>
      <rPr>
        <b/>
        <sz val="11"/>
        <color theme="1"/>
        <rFont val="Calibri"/>
        <family val="2"/>
        <scheme val="minor"/>
      </rPr>
      <t>2100</t>
    </r>
    <r>
      <rPr>
        <sz val="11"/>
        <color theme="1"/>
        <rFont val="Calibri"/>
        <family val="2"/>
        <scheme val="minor"/>
      </rPr>
      <t xml:space="preserve"> - Unrestricted Grants-in-Aid
</t>
    </r>
    <r>
      <rPr>
        <b/>
        <sz val="11"/>
        <color theme="1"/>
        <rFont val="Calibri"/>
        <family val="2"/>
        <scheme val="minor"/>
      </rPr>
      <t>2200</t>
    </r>
    <r>
      <rPr>
        <sz val="11"/>
        <color theme="1"/>
        <rFont val="Calibri"/>
        <family val="2"/>
        <scheme val="minor"/>
      </rPr>
      <t xml:space="preserve"> - Restricted Grants-in-Aid
</t>
    </r>
    <r>
      <rPr>
        <b/>
        <sz val="11"/>
        <color theme="1"/>
        <rFont val="Calibri"/>
        <family val="2"/>
        <scheme val="minor"/>
      </rPr>
      <t>2800</t>
    </r>
    <r>
      <rPr>
        <sz val="11"/>
        <color theme="1"/>
        <rFont val="Calibri"/>
        <family val="2"/>
        <scheme val="minor"/>
      </rPr>
      <t xml:space="preserve"> - Revenue in Lieu of Taxes
</t>
    </r>
    <r>
      <rPr>
        <b/>
        <sz val="11"/>
        <color theme="1"/>
        <rFont val="Calibri"/>
        <family val="2"/>
        <scheme val="minor"/>
      </rPr>
      <t>2900</t>
    </r>
    <r>
      <rPr>
        <sz val="11"/>
        <color theme="1"/>
        <rFont val="Calibri"/>
        <family val="2"/>
        <scheme val="minor"/>
      </rPr>
      <t xml:space="preserve"> - Revenue for/on Behalf of the School District
</t>
    </r>
    <r>
      <rPr>
        <b/>
        <sz val="11"/>
        <color theme="1"/>
        <rFont val="Calibri"/>
        <family val="2"/>
        <scheme val="minor"/>
      </rPr>
      <t>3000</t>
    </r>
    <r>
      <rPr>
        <sz val="11"/>
        <color theme="1"/>
        <rFont val="Calibri"/>
        <family val="2"/>
        <scheme val="minor"/>
      </rPr>
      <t xml:space="preserve"> - Revenue From State Sources
</t>
    </r>
    <r>
      <rPr>
        <b/>
        <sz val="11"/>
        <color theme="1"/>
        <rFont val="Calibri"/>
        <family val="2"/>
        <scheme val="minor"/>
      </rPr>
      <t>3100</t>
    </r>
    <r>
      <rPr>
        <sz val="11"/>
        <color theme="1"/>
        <rFont val="Calibri"/>
        <family val="2"/>
        <scheme val="minor"/>
      </rPr>
      <t xml:space="preserve"> - Unrestricted Grants-in-Aid
</t>
    </r>
    <r>
      <rPr>
        <b/>
        <sz val="11"/>
        <color theme="1"/>
        <rFont val="Calibri"/>
        <family val="2"/>
        <scheme val="minor"/>
      </rPr>
      <t>3200</t>
    </r>
    <r>
      <rPr>
        <sz val="11"/>
        <color theme="1"/>
        <rFont val="Calibri"/>
        <family val="2"/>
        <scheme val="minor"/>
      </rPr>
      <t xml:space="preserve"> - Restricted Grants-in-Aid
</t>
    </r>
    <r>
      <rPr>
        <b/>
        <sz val="11"/>
        <color theme="1"/>
        <rFont val="Calibri"/>
        <family val="2"/>
        <scheme val="minor"/>
      </rPr>
      <t>3800</t>
    </r>
    <r>
      <rPr>
        <sz val="11"/>
        <color theme="1"/>
        <rFont val="Calibri"/>
        <family val="2"/>
        <scheme val="minor"/>
      </rPr>
      <t xml:space="preserve"> - Revenue in Lieu of Taxes
</t>
    </r>
    <r>
      <rPr>
        <b/>
        <sz val="11"/>
        <color theme="1"/>
        <rFont val="Calibri"/>
        <family val="2"/>
        <scheme val="minor"/>
      </rPr>
      <t>3900</t>
    </r>
    <r>
      <rPr>
        <sz val="11"/>
        <color theme="1"/>
        <rFont val="Calibri"/>
        <family val="2"/>
        <scheme val="minor"/>
      </rPr>
      <t xml:space="preserve"> - Revenue for/on Behalf of the School District
</t>
    </r>
    <r>
      <rPr>
        <b/>
        <sz val="11"/>
        <color theme="1"/>
        <rFont val="Calibri"/>
        <family val="2"/>
        <scheme val="minor"/>
      </rPr>
      <t>4000</t>
    </r>
    <r>
      <rPr>
        <sz val="11"/>
        <color theme="1"/>
        <rFont val="Calibri"/>
        <family val="2"/>
        <scheme val="minor"/>
      </rPr>
      <t xml:space="preserve"> - Revenue From Federal Sources
</t>
    </r>
    <r>
      <rPr>
        <b/>
        <sz val="11"/>
        <color theme="1"/>
        <rFont val="Calibri"/>
        <family val="2"/>
        <scheme val="minor"/>
      </rPr>
      <t>4100</t>
    </r>
    <r>
      <rPr>
        <sz val="11"/>
        <color theme="1"/>
        <rFont val="Calibri"/>
        <family val="2"/>
        <scheme val="minor"/>
      </rPr>
      <t xml:space="preserve"> - Unrestricted Grants-in-Aid Direct From the Federal Government
</t>
    </r>
    <r>
      <rPr>
        <b/>
        <sz val="11"/>
        <color theme="1"/>
        <rFont val="Calibri"/>
        <family val="2"/>
        <scheme val="minor"/>
      </rPr>
      <t>4200</t>
    </r>
    <r>
      <rPr>
        <sz val="11"/>
        <color theme="1"/>
        <rFont val="Calibri"/>
        <family val="2"/>
        <scheme val="minor"/>
      </rPr>
      <t xml:space="preserve"> - Unrestricted Grants-in-Aid From the Federal Government Through the State
</t>
    </r>
    <r>
      <rPr>
        <b/>
        <sz val="11"/>
        <color theme="1"/>
        <rFont val="Calibri"/>
        <family val="2"/>
        <scheme val="minor"/>
      </rPr>
      <t>4300</t>
    </r>
    <r>
      <rPr>
        <sz val="11"/>
        <color theme="1"/>
        <rFont val="Calibri"/>
        <family val="2"/>
        <scheme val="minor"/>
      </rPr>
      <t xml:space="preserve"> - Restricted Grants-in-Aid Direct From the Federal Government
</t>
    </r>
    <r>
      <rPr>
        <b/>
        <sz val="11"/>
        <color theme="1"/>
        <rFont val="Calibri"/>
        <family val="2"/>
        <scheme val="minor"/>
      </rPr>
      <t>4500</t>
    </r>
    <r>
      <rPr>
        <sz val="11"/>
        <color theme="1"/>
        <rFont val="Calibri"/>
        <family val="2"/>
        <scheme val="minor"/>
      </rPr>
      <t xml:space="preserve"> - Restricted Grants-in-Aid From the Federal Government Through the State
</t>
    </r>
    <r>
      <rPr>
        <b/>
        <sz val="11"/>
        <color theme="1"/>
        <rFont val="Calibri"/>
        <family val="2"/>
        <scheme val="minor"/>
      </rPr>
      <t>4700</t>
    </r>
    <r>
      <rPr>
        <sz val="11"/>
        <color theme="1"/>
        <rFont val="Calibri"/>
        <family val="2"/>
        <scheme val="minor"/>
      </rPr>
      <t xml:space="preserve"> - Grants-in-Aid From the Federal Government Through Other Intermediate Agencies
</t>
    </r>
    <r>
      <rPr>
        <b/>
        <sz val="11"/>
        <color theme="1"/>
        <rFont val="Calibri"/>
        <family val="2"/>
        <scheme val="minor"/>
      </rPr>
      <t>4800</t>
    </r>
    <r>
      <rPr>
        <sz val="11"/>
        <color theme="1"/>
        <rFont val="Calibri"/>
        <family val="2"/>
        <scheme val="minor"/>
      </rPr>
      <t xml:space="preserve"> - Revenue in Lieu of Taxes
</t>
    </r>
    <r>
      <rPr>
        <b/>
        <sz val="11"/>
        <color theme="1"/>
        <rFont val="Calibri"/>
        <family val="2"/>
        <scheme val="minor"/>
      </rPr>
      <t>4900</t>
    </r>
    <r>
      <rPr>
        <sz val="11"/>
        <color theme="1"/>
        <rFont val="Calibri"/>
        <family val="2"/>
        <scheme val="minor"/>
      </rPr>
      <t xml:space="preserve"> - Revenue for/on Behalf of the School District
</t>
    </r>
    <r>
      <rPr>
        <b/>
        <sz val="11"/>
        <color theme="1"/>
        <rFont val="Calibri"/>
        <family val="2"/>
        <scheme val="minor"/>
      </rPr>
      <t>5000</t>
    </r>
    <r>
      <rPr>
        <sz val="11"/>
        <color theme="1"/>
        <rFont val="Calibri"/>
        <family val="2"/>
        <scheme val="minor"/>
      </rPr>
      <t xml:space="preserve"> - Other Financing Sources
</t>
    </r>
    <r>
      <rPr>
        <b/>
        <sz val="11"/>
        <color theme="1"/>
        <rFont val="Calibri"/>
        <family val="2"/>
        <scheme val="minor"/>
      </rPr>
      <t>5100</t>
    </r>
    <r>
      <rPr>
        <sz val="11"/>
        <color theme="1"/>
        <rFont val="Calibri"/>
        <family val="2"/>
        <scheme val="minor"/>
      </rPr>
      <t xml:space="preserve"> - Issuance of Bonds
</t>
    </r>
    <r>
      <rPr>
        <b/>
        <sz val="11"/>
        <color theme="1"/>
        <rFont val="Calibri"/>
        <family val="2"/>
        <scheme val="minor"/>
      </rPr>
      <t>5110</t>
    </r>
    <r>
      <rPr>
        <sz val="11"/>
        <color theme="1"/>
        <rFont val="Calibri"/>
        <family val="2"/>
        <scheme val="minor"/>
      </rPr>
      <t xml:space="preserve"> - Bond Principal
</t>
    </r>
    <r>
      <rPr>
        <b/>
        <sz val="11"/>
        <color theme="1"/>
        <rFont val="Calibri"/>
        <family val="2"/>
        <scheme val="minor"/>
      </rPr>
      <t>5120</t>
    </r>
    <r>
      <rPr>
        <sz val="11"/>
        <color theme="1"/>
        <rFont val="Calibri"/>
        <family val="2"/>
        <scheme val="minor"/>
      </rPr>
      <t xml:space="preserve"> - Premium on the Issuance of Bonds
</t>
    </r>
    <r>
      <rPr>
        <b/>
        <sz val="11"/>
        <color theme="1"/>
        <rFont val="Calibri"/>
        <family val="2"/>
        <scheme val="minor"/>
      </rPr>
      <t>5200</t>
    </r>
    <r>
      <rPr>
        <sz val="11"/>
        <color theme="1"/>
        <rFont val="Calibri"/>
        <family val="2"/>
        <scheme val="minor"/>
      </rPr>
      <t xml:space="preserve"> - Fund Transfers In
</t>
    </r>
    <r>
      <rPr>
        <b/>
        <sz val="11"/>
        <color theme="1"/>
        <rFont val="Calibri"/>
        <family val="2"/>
        <scheme val="minor"/>
      </rPr>
      <t>5300</t>
    </r>
    <r>
      <rPr>
        <sz val="11"/>
        <color theme="1"/>
        <rFont val="Calibri"/>
        <family val="2"/>
        <scheme val="minor"/>
      </rPr>
      <t xml:space="preserve"> - Proceeds From the Disposal of Real or Personal Property
</t>
    </r>
    <r>
      <rPr>
        <b/>
        <sz val="11"/>
        <color theme="1"/>
        <rFont val="Calibri"/>
        <family val="2"/>
        <scheme val="minor"/>
      </rPr>
      <t>5400</t>
    </r>
    <r>
      <rPr>
        <sz val="11"/>
        <color theme="1"/>
        <rFont val="Calibri"/>
        <family val="2"/>
        <scheme val="minor"/>
      </rPr>
      <t xml:space="preserve"> - Loan Proceeds
</t>
    </r>
    <r>
      <rPr>
        <b/>
        <sz val="11"/>
        <color theme="1"/>
        <rFont val="Calibri"/>
        <family val="2"/>
        <scheme val="minor"/>
      </rPr>
      <t>5500</t>
    </r>
    <r>
      <rPr>
        <sz val="11"/>
        <color theme="1"/>
        <rFont val="Calibri"/>
        <family val="2"/>
        <scheme val="minor"/>
      </rPr>
      <t xml:space="preserve"> - Capital Lease Proceeds
</t>
    </r>
    <r>
      <rPr>
        <b/>
        <sz val="11"/>
        <color theme="1"/>
        <rFont val="Calibri"/>
        <family val="2"/>
        <scheme val="minor"/>
      </rPr>
      <t>5600</t>
    </r>
    <r>
      <rPr>
        <sz val="11"/>
        <color theme="1"/>
        <rFont val="Calibri"/>
        <family val="2"/>
        <scheme val="minor"/>
      </rPr>
      <t xml:space="preserve"> - Other Long-Term Debt Proceeds
</t>
    </r>
    <r>
      <rPr>
        <b/>
        <sz val="11"/>
        <color theme="1"/>
        <rFont val="Calibri"/>
        <family val="2"/>
        <scheme val="minor"/>
      </rPr>
      <t>6100</t>
    </r>
    <r>
      <rPr>
        <sz val="11"/>
        <color theme="1"/>
        <rFont val="Calibri"/>
        <family val="2"/>
        <scheme val="minor"/>
      </rPr>
      <t xml:space="preserve"> - Capital Contributions
</t>
    </r>
    <r>
      <rPr>
        <b/>
        <sz val="11"/>
        <color theme="1"/>
        <rFont val="Calibri"/>
        <family val="2"/>
        <scheme val="minor"/>
      </rPr>
      <t>6200</t>
    </r>
    <r>
      <rPr>
        <sz val="11"/>
        <color theme="1"/>
        <rFont val="Calibri"/>
        <family val="2"/>
        <scheme val="minor"/>
      </rPr>
      <t xml:space="preserve"> - Amortization of Premium on Issuance of Bonds
</t>
    </r>
    <r>
      <rPr>
        <b/>
        <sz val="11"/>
        <color theme="1"/>
        <rFont val="Calibri"/>
        <family val="2"/>
        <scheme val="minor"/>
      </rPr>
      <t>6300</t>
    </r>
    <r>
      <rPr>
        <sz val="11"/>
        <color theme="1"/>
        <rFont val="Calibri"/>
        <family val="2"/>
        <scheme val="minor"/>
      </rPr>
      <t xml:space="preserve"> - Special Items
</t>
    </r>
    <r>
      <rPr>
        <b/>
        <sz val="11"/>
        <color theme="1"/>
        <rFont val="Calibri"/>
        <family val="2"/>
        <scheme val="minor"/>
      </rPr>
      <t>6400</t>
    </r>
    <r>
      <rPr>
        <sz val="11"/>
        <color theme="1"/>
        <rFont val="Calibri"/>
        <family val="2"/>
        <scheme val="minor"/>
      </rPr>
      <t xml:space="preserve"> - Extraordinary Items
</t>
    </r>
  </si>
  <si>
    <r>
      <t>Handguns</t>
    </r>
    <r>
      <rPr>
        <sz val="11"/>
        <color theme="1"/>
        <rFont val="Calibri"/>
        <family val="2"/>
        <scheme val="minor"/>
      </rPr>
      <t xml:space="preserve"> - Handguns
</t>
    </r>
    <r>
      <rPr>
        <b/>
        <sz val="11"/>
        <color theme="1"/>
        <rFont val="Calibri"/>
        <family val="2"/>
        <scheme val="minor"/>
      </rPr>
      <t>RiflesShotguns</t>
    </r>
    <r>
      <rPr>
        <sz val="11"/>
        <color theme="1"/>
        <rFont val="Calibri"/>
        <family val="2"/>
        <scheme val="minor"/>
      </rPr>
      <t xml:space="preserve"> - Rifles / Shotguns
</t>
    </r>
    <r>
      <rPr>
        <b/>
        <sz val="11"/>
        <color theme="1"/>
        <rFont val="Calibri"/>
        <family val="2"/>
        <scheme val="minor"/>
      </rPr>
      <t>Multiple</t>
    </r>
    <r>
      <rPr>
        <sz val="11"/>
        <color theme="1"/>
        <rFont val="Calibri"/>
        <family val="2"/>
        <scheme val="minor"/>
      </rPr>
      <t xml:space="preserve"> - More than one type of weapon or firearm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</si>
  <si>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Health insurance
</t>
    </r>
    <r>
      <rPr>
        <b/>
        <sz val="11"/>
        <color theme="1"/>
        <rFont val="Calibri"/>
        <family val="2"/>
        <scheme val="minor"/>
      </rPr>
      <t>02</t>
    </r>
    <r>
      <rPr>
        <sz val="11"/>
        <color theme="1"/>
        <rFont val="Calibri"/>
        <family val="2"/>
        <scheme val="minor"/>
      </rPr>
      <t xml:space="preserve"> - Dental insurance
</t>
    </r>
    <r>
      <rPr>
        <b/>
        <sz val="11"/>
        <color theme="1"/>
        <rFont val="Calibri"/>
        <family val="2"/>
        <scheme val="minor"/>
      </rPr>
      <t>03</t>
    </r>
    <r>
      <rPr>
        <sz val="11"/>
        <color theme="1"/>
        <rFont val="Calibri"/>
        <family val="2"/>
        <scheme val="minor"/>
      </rPr>
      <t xml:space="preserve"> - Vision
</t>
    </r>
    <r>
      <rPr>
        <b/>
        <sz val="11"/>
        <color theme="1"/>
        <rFont val="Calibri"/>
        <family val="2"/>
        <scheme val="minor"/>
      </rPr>
      <t>04</t>
    </r>
    <r>
      <rPr>
        <sz val="11"/>
        <color theme="1"/>
        <rFont val="Calibri"/>
        <family val="2"/>
        <scheme val="minor"/>
      </rPr>
      <t xml:space="preserve"> - Disability insurance
</t>
    </r>
    <r>
      <rPr>
        <b/>
        <sz val="11"/>
        <color theme="1"/>
        <rFont val="Calibri"/>
        <family val="2"/>
        <scheme val="minor"/>
      </rPr>
      <t>05</t>
    </r>
    <r>
      <rPr>
        <sz val="11"/>
        <color theme="1"/>
        <rFont val="Calibri"/>
        <family val="2"/>
        <scheme val="minor"/>
      </rPr>
      <t xml:space="preserve"> - Retirement
</t>
    </r>
    <r>
      <rPr>
        <b/>
        <sz val="11"/>
        <color theme="1"/>
        <rFont val="Calibri"/>
        <family val="2"/>
        <scheme val="minor"/>
      </rPr>
      <t>06</t>
    </r>
    <r>
      <rPr>
        <sz val="11"/>
        <color theme="1"/>
        <rFont val="Calibri"/>
        <family val="2"/>
        <scheme val="minor"/>
      </rPr>
      <t xml:space="preserve"> - Professional membership fees paid
</t>
    </r>
    <r>
      <rPr>
        <b/>
        <sz val="11"/>
        <color theme="1"/>
        <rFont val="Calibri"/>
        <family val="2"/>
        <scheme val="minor"/>
      </rPr>
      <t>07</t>
    </r>
    <r>
      <rPr>
        <sz val="11"/>
        <color theme="1"/>
        <rFont val="Calibri"/>
        <family val="2"/>
        <scheme val="minor"/>
      </rPr>
      <t xml:space="preserve"> - Sick leave
</t>
    </r>
    <r>
      <rPr>
        <b/>
        <sz val="11"/>
        <color theme="1"/>
        <rFont val="Calibri"/>
        <family val="2"/>
        <scheme val="minor"/>
      </rPr>
      <t>08</t>
    </r>
    <r>
      <rPr>
        <sz val="11"/>
        <color theme="1"/>
        <rFont val="Calibri"/>
        <family val="2"/>
        <scheme val="minor"/>
      </rPr>
      <t xml:space="preserve"> - Leave
</t>
    </r>
    <r>
      <rPr>
        <b/>
        <sz val="11"/>
        <color theme="1"/>
        <rFont val="Calibri"/>
        <family val="2"/>
        <scheme val="minor"/>
      </rPr>
      <t>09</t>
    </r>
    <r>
      <rPr>
        <sz val="11"/>
        <color theme="1"/>
        <rFont val="Calibri"/>
        <family val="2"/>
        <scheme val="minor"/>
      </rPr>
      <t xml:space="preserve"> - Vacation
</t>
    </r>
    <r>
      <rPr>
        <b/>
        <sz val="11"/>
        <color theme="1"/>
        <rFont val="Calibri"/>
        <family val="2"/>
        <scheme val="minor"/>
      </rPr>
      <t>10</t>
    </r>
    <r>
      <rPr>
        <sz val="11"/>
        <color theme="1"/>
        <rFont val="Calibri"/>
        <family val="2"/>
        <scheme val="minor"/>
      </rPr>
      <t xml:space="preserve"> - Holiday
</t>
    </r>
    <r>
      <rPr>
        <b/>
        <sz val="11"/>
        <color theme="1"/>
        <rFont val="Calibri"/>
        <family val="2"/>
        <scheme val="minor"/>
      </rPr>
      <t>11</t>
    </r>
    <r>
      <rPr>
        <sz val="11"/>
        <color theme="1"/>
        <rFont val="Calibri"/>
        <family val="2"/>
        <scheme val="minor"/>
      </rPr>
      <t xml:space="preserve"> - Personal leave
</t>
    </r>
    <r>
      <rPr>
        <b/>
        <sz val="11"/>
        <color theme="1"/>
        <rFont val="Calibri"/>
        <family val="2"/>
        <scheme val="minor"/>
      </rPr>
      <t>12</t>
    </r>
    <r>
      <rPr>
        <sz val="11"/>
        <color theme="1"/>
        <rFont val="Calibri"/>
        <family val="2"/>
        <scheme val="minor"/>
      </rPr>
      <t xml:space="preserve"> - Family leave
</t>
    </r>
    <r>
      <rPr>
        <b/>
        <sz val="11"/>
        <color theme="1"/>
        <rFont val="Calibri"/>
        <family val="2"/>
        <scheme val="minor"/>
      </rPr>
      <t>13</t>
    </r>
    <r>
      <rPr>
        <sz val="11"/>
        <color theme="1"/>
        <rFont val="Calibri"/>
        <family val="2"/>
        <scheme val="minor"/>
      </rPr>
      <t xml:space="preserve"> - Bereavement leave
</t>
    </r>
    <r>
      <rPr>
        <b/>
        <sz val="11"/>
        <color theme="1"/>
        <rFont val="Calibri"/>
        <family val="2"/>
        <scheme val="minor"/>
      </rPr>
      <t>14</t>
    </r>
    <r>
      <rPr>
        <sz val="11"/>
        <color theme="1"/>
        <rFont val="Calibri"/>
        <family val="2"/>
        <scheme val="minor"/>
      </rPr>
      <t xml:space="preserve"> - Jury duty leave
</t>
    </r>
    <r>
      <rPr>
        <b/>
        <sz val="11"/>
        <color theme="1"/>
        <rFont val="Calibri"/>
        <family val="2"/>
        <scheme val="minor"/>
      </rPr>
      <t>15</t>
    </r>
    <r>
      <rPr>
        <sz val="11"/>
        <color theme="1"/>
        <rFont val="Calibri"/>
        <family val="2"/>
        <scheme val="minor"/>
      </rPr>
      <t xml:space="preserve"> - Life insurance
</t>
    </r>
    <r>
      <rPr>
        <b/>
        <sz val="11"/>
        <color theme="1"/>
        <rFont val="Calibri"/>
        <family val="2"/>
        <scheme val="minor"/>
      </rPr>
      <t>16</t>
    </r>
    <r>
      <rPr>
        <sz val="11"/>
        <color theme="1"/>
        <rFont val="Calibri"/>
        <family val="2"/>
        <scheme val="minor"/>
      </rPr>
      <t xml:space="preserve"> - Maternity leave
</t>
    </r>
    <r>
      <rPr>
        <b/>
        <sz val="11"/>
        <color theme="1"/>
        <rFont val="Calibri"/>
        <family val="2"/>
        <scheme val="minor"/>
      </rPr>
      <t>17</t>
    </r>
    <r>
      <rPr>
        <sz val="11"/>
        <color theme="1"/>
        <rFont val="Calibri"/>
        <family val="2"/>
        <scheme val="minor"/>
      </rPr>
      <t xml:space="preserve"> - Paternity leave
</t>
    </r>
    <r>
      <rPr>
        <b/>
        <sz val="11"/>
        <color theme="1"/>
        <rFont val="Calibri"/>
        <family val="2"/>
        <scheme val="minor"/>
      </rPr>
      <t>18</t>
    </r>
    <r>
      <rPr>
        <sz val="11"/>
        <color theme="1"/>
        <rFont val="Calibri"/>
        <family val="2"/>
        <scheme val="minor"/>
      </rPr>
      <t xml:space="preserve"> - Family medical leave
</t>
    </r>
    <r>
      <rPr>
        <b/>
        <sz val="11"/>
        <color theme="1"/>
        <rFont val="Calibri"/>
        <family val="2"/>
        <scheme val="minor"/>
      </rPr>
      <t>19</t>
    </r>
    <r>
      <rPr>
        <sz val="11"/>
        <color theme="1"/>
        <rFont val="Calibri"/>
        <family val="2"/>
        <scheme val="minor"/>
      </rPr>
      <t xml:space="preserve"> - Flex plan-dependent care
</t>
    </r>
    <r>
      <rPr>
        <b/>
        <sz val="11"/>
        <color theme="1"/>
        <rFont val="Calibri"/>
        <family val="2"/>
        <scheme val="minor"/>
      </rPr>
      <t>20</t>
    </r>
    <r>
      <rPr>
        <sz val="11"/>
        <color theme="1"/>
        <rFont val="Calibri"/>
        <family val="2"/>
        <scheme val="minor"/>
      </rPr>
      <t xml:space="preserve"> - Flex plan-medical (MSA/HSA)
</t>
    </r>
    <r>
      <rPr>
        <b/>
        <sz val="11"/>
        <color theme="1"/>
        <rFont val="Calibri"/>
        <family val="2"/>
        <scheme val="minor"/>
      </rPr>
      <t>21</t>
    </r>
    <r>
      <rPr>
        <sz val="11"/>
        <color theme="1"/>
        <rFont val="Calibri"/>
        <family val="2"/>
        <scheme val="minor"/>
      </rPr>
      <t xml:space="preserve"> - Transportation
</t>
    </r>
    <r>
      <rPr>
        <b/>
        <sz val="11"/>
        <color theme="1"/>
        <rFont val="Calibri"/>
        <family val="2"/>
        <scheme val="minor"/>
      </rPr>
      <t>22</t>
    </r>
    <r>
      <rPr>
        <sz val="11"/>
        <color theme="1"/>
        <rFont val="Calibri"/>
        <family val="2"/>
        <scheme val="minor"/>
      </rPr>
      <t xml:space="preserve"> - Parking
</t>
    </r>
    <r>
      <rPr>
        <b/>
        <sz val="11"/>
        <color theme="1"/>
        <rFont val="Calibri"/>
        <family val="2"/>
        <scheme val="minor"/>
      </rPr>
      <t>23</t>
    </r>
    <r>
      <rPr>
        <sz val="11"/>
        <color theme="1"/>
        <rFont val="Calibri"/>
        <family val="2"/>
        <scheme val="minor"/>
      </rPr>
      <t xml:space="preserve"> - Flex schedule/time
</t>
    </r>
    <r>
      <rPr>
        <b/>
        <sz val="11"/>
        <color theme="1"/>
        <rFont val="Calibri"/>
        <family val="2"/>
        <scheme val="minor"/>
      </rPr>
      <t>24</t>
    </r>
    <r>
      <rPr>
        <sz val="11"/>
        <color theme="1"/>
        <rFont val="Calibri"/>
        <family val="2"/>
        <scheme val="minor"/>
      </rPr>
      <t xml:space="preserve"> - Employee Assistance Program (EAP)
</t>
    </r>
    <r>
      <rPr>
        <b/>
        <sz val="11"/>
        <color theme="1"/>
        <rFont val="Calibri"/>
        <family val="2"/>
        <scheme val="minor"/>
      </rPr>
      <t>25</t>
    </r>
    <r>
      <rPr>
        <sz val="11"/>
        <color theme="1"/>
        <rFont val="Calibri"/>
        <family val="2"/>
        <scheme val="minor"/>
      </rPr>
      <t xml:space="preserve"> - Paid training
</t>
    </r>
    <r>
      <rPr>
        <b/>
        <sz val="11"/>
        <color theme="1"/>
        <rFont val="Calibri"/>
        <family val="2"/>
        <scheme val="minor"/>
      </rPr>
      <t>26</t>
    </r>
    <r>
      <rPr>
        <sz val="11"/>
        <color theme="1"/>
        <rFont val="Calibri"/>
        <family val="2"/>
        <scheme val="minor"/>
      </rPr>
      <t xml:space="preserve"> - Tuition reimbursement
</t>
    </r>
    <r>
      <rPr>
        <b/>
        <sz val="11"/>
        <color theme="1"/>
        <rFont val="Calibri"/>
        <family val="2"/>
        <scheme val="minor"/>
      </rPr>
      <t>27</t>
    </r>
    <r>
      <rPr>
        <sz val="11"/>
        <color theme="1"/>
        <rFont val="Calibri"/>
        <family val="2"/>
        <scheme val="minor"/>
      </rPr>
      <t xml:space="preserve"> - Child care fee assistance
</t>
    </r>
    <r>
      <rPr>
        <b/>
        <sz val="11"/>
        <color theme="1"/>
        <rFont val="Calibri"/>
        <family val="2"/>
        <scheme val="minor"/>
      </rPr>
      <t>28</t>
    </r>
    <r>
      <rPr>
        <sz val="11"/>
        <color theme="1"/>
        <rFont val="Calibri"/>
        <family val="2"/>
        <scheme val="minor"/>
      </rPr>
      <t xml:space="preserve"> - Bonus
</t>
    </r>
  </si>
  <si>
    <r>
      <t>01</t>
    </r>
    <r>
      <rPr>
        <sz val="11"/>
        <color theme="1"/>
        <rFont val="Calibri"/>
        <family val="2"/>
        <scheme val="minor"/>
      </rPr>
      <t xml:space="preserve"> - Obtain a job
</t>
    </r>
    <r>
      <rPr>
        <b/>
        <sz val="11"/>
        <color theme="1"/>
        <rFont val="Calibri"/>
        <family val="2"/>
        <scheme val="minor"/>
      </rPr>
      <t>02</t>
    </r>
    <r>
      <rPr>
        <sz val="11"/>
        <color theme="1"/>
        <rFont val="Calibri"/>
        <family val="2"/>
        <scheme val="minor"/>
      </rPr>
      <t xml:space="preserve"> - Retain current job
</t>
    </r>
    <r>
      <rPr>
        <b/>
        <sz val="11"/>
        <color theme="1"/>
        <rFont val="Calibri"/>
        <family val="2"/>
        <scheme val="minor"/>
      </rPr>
      <t>03</t>
    </r>
    <r>
      <rPr>
        <sz val="11"/>
        <color theme="1"/>
        <rFont val="Calibri"/>
        <family val="2"/>
        <scheme val="minor"/>
      </rPr>
      <t xml:space="preserve"> - Earn a secondary school diploma or achieve GED certificate
</t>
    </r>
    <r>
      <rPr>
        <b/>
        <sz val="11"/>
        <color theme="1"/>
        <rFont val="Calibri"/>
        <family val="2"/>
        <scheme val="minor"/>
      </rPr>
      <t>04</t>
    </r>
    <r>
      <rPr>
        <sz val="11"/>
        <color theme="1"/>
        <rFont val="Calibri"/>
        <family val="2"/>
        <scheme val="minor"/>
      </rPr>
      <t xml:space="preserve"> - Enter postsecondary education or job training
</t>
    </r>
    <r>
      <rPr>
        <b/>
        <sz val="11"/>
        <color theme="1"/>
        <rFont val="Calibri"/>
        <family val="2"/>
        <scheme val="minor"/>
      </rPr>
      <t>05</t>
    </r>
    <r>
      <rPr>
        <sz val="11"/>
        <color theme="1"/>
        <rFont val="Calibri"/>
        <family val="2"/>
        <scheme val="minor"/>
      </rPr>
      <t xml:space="preserve"> - Improve basic literacy skills
</t>
    </r>
    <r>
      <rPr>
        <b/>
        <sz val="11"/>
        <color theme="1"/>
        <rFont val="Calibri"/>
        <family val="2"/>
        <scheme val="minor"/>
      </rPr>
      <t>06</t>
    </r>
    <r>
      <rPr>
        <sz val="11"/>
        <color theme="1"/>
        <rFont val="Calibri"/>
        <family val="2"/>
        <scheme val="minor"/>
      </rPr>
      <t xml:space="preserve"> - Improve English language skills
</t>
    </r>
    <r>
      <rPr>
        <b/>
        <sz val="11"/>
        <color theme="1"/>
        <rFont val="Calibri"/>
        <family val="2"/>
        <scheme val="minor"/>
      </rPr>
      <t>07</t>
    </r>
    <r>
      <rPr>
        <sz val="11"/>
        <color theme="1"/>
        <rFont val="Calibri"/>
        <family val="2"/>
        <scheme val="minor"/>
      </rPr>
      <t xml:space="preserve"> - Obtain citizenship skills
</t>
    </r>
    <r>
      <rPr>
        <b/>
        <sz val="11"/>
        <color theme="1"/>
        <rFont val="Calibri"/>
        <family val="2"/>
        <scheme val="minor"/>
      </rPr>
      <t>08</t>
    </r>
    <r>
      <rPr>
        <sz val="11"/>
        <color theme="1"/>
        <rFont val="Calibri"/>
        <family val="2"/>
        <scheme val="minor"/>
      </rPr>
      <t xml:space="preserve"> - Achieve work-based project learner goals
</t>
    </r>
    <r>
      <rPr>
        <b/>
        <sz val="11"/>
        <color theme="1"/>
        <rFont val="Calibri"/>
        <family val="2"/>
        <scheme val="minor"/>
      </rPr>
      <t>09</t>
    </r>
    <r>
      <rPr>
        <sz val="11"/>
        <color theme="1"/>
        <rFont val="Calibri"/>
        <family val="2"/>
        <scheme val="minor"/>
      </rPr>
      <t xml:space="preserve"> - Other personal goals
</t>
    </r>
  </si>
  <si>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OutOfSchool</t>
    </r>
    <r>
      <rPr>
        <sz val="11"/>
        <color theme="1"/>
        <rFont val="Calibri"/>
        <family val="2"/>
        <scheme val="minor"/>
      </rPr>
      <t xml:space="preserve"> - Out of school
</t>
    </r>
  </si>
  <si>
    <r>
      <t>HighSchool</t>
    </r>
    <r>
      <rPr>
        <sz val="11"/>
        <color theme="1"/>
        <rFont val="Calibri"/>
        <family val="2"/>
        <scheme val="minor"/>
      </rPr>
      <t xml:space="preserve"> - High School
</t>
    </r>
    <r>
      <rPr>
        <b/>
        <sz val="11"/>
        <color theme="1"/>
        <rFont val="Calibri"/>
        <family val="2"/>
        <scheme val="minor"/>
      </rPr>
      <t>PSUndergraduate</t>
    </r>
    <r>
      <rPr>
        <sz val="11"/>
        <color theme="1"/>
        <rFont val="Calibri"/>
        <family val="2"/>
        <scheme val="minor"/>
      </rPr>
      <t xml:space="preserve"> - Postsecondary Undergraduate
</t>
    </r>
    <r>
      <rPr>
        <b/>
        <sz val="11"/>
        <color theme="1"/>
        <rFont val="Calibri"/>
        <family val="2"/>
        <scheme val="minor"/>
      </rPr>
      <t>PSTransfer</t>
    </r>
    <r>
      <rPr>
        <sz val="11"/>
        <color theme="1"/>
        <rFont val="Calibri"/>
        <family val="2"/>
        <scheme val="minor"/>
      </rPr>
      <t xml:space="preserve"> - Postsecondary Transfer Institution
</t>
    </r>
    <r>
      <rPr>
        <b/>
        <sz val="11"/>
        <color theme="1"/>
        <rFont val="Calibri"/>
        <family val="2"/>
        <scheme val="minor"/>
      </rPr>
      <t>PSGraduate</t>
    </r>
    <r>
      <rPr>
        <sz val="11"/>
        <color theme="1"/>
        <rFont val="Calibri"/>
        <family val="2"/>
        <scheme val="minor"/>
      </rPr>
      <t xml:space="preserve"> - Postsecondary Graduate
</t>
    </r>
  </si>
  <si>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PS</t>
    </r>
    <r>
      <rPr>
        <sz val="11"/>
        <color theme="1"/>
        <rFont val="Calibri"/>
        <family val="2"/>
        <scheme val="minor"/>
      </rPr>
      <t xml:space="preserve"> - Postsecondary
</t>
    </r>
    <r>
      <rPr>
        <b/>
        <sz val="11"/>
        <color theme="1"/>
        <rFont val="Calibri"/>
        <family val="2"/>
        <scheme val="minor"/>
      </rPr>
      <t>ABE</t>
    </r>
    <r>
      <rPr>
        <sz val="11"/>
        <color theme="1"/>
        <rFont val="Calibri"/>
        <family val="2"/>
        <scheme val="minor"/>
      </rPr>
      <t xml:space="preserve"> - Adult Basic Education
</t>
    </r>
    <r>
      <rPr>
        <b/>
        <sz val="11"/>
        <color theme="1"/>
        <rFont val="Calibri"/>
        <family val="2"/>
        <scheme val="minor"/>
      </rPr>
      <t>ASE</t>
    </r>
    <r>
      <rPr>
        <sz val="11"/>
        <color theme="1"/>
        <rFont val="Calibri"/>
        <family val="2"/>
        <scheme val="minor"/>
      </rPr>
      <t xml:space="preserve"> - Adult Secondary Education
</t>
    </r>
    <r>
      <rPr>
        <b/>
        <sz val="11"/>
        <color theme="1"/>
        <rFont val="Calibri"/>
        <family val="2"/>
        <scheme val="minor"/>
      </rPr>
      <t>AdultESL</t>
    </r>
    <r>
      <rPr>
        <sz val="11"/>
        <color theme="1"/>
        <rFont val="Calibri"/>
        <family val="2"/>
        <scheme val="minor"/>
      </rPr>
      <t xml:space="preserve"> - Adult English as a Second Language
</t>
    </r>
    <r>
      <rPr>
        <b/>
        <sz val="11"/>
        <color theme="1"/>
        <rFont val="Calibri"/>
        <family val="2"/>
        <scheme val="minor"/>
      </rPr>
      <t>UG</t>
    </r>
    <r>
      <rPr>
        <sz val="11"/>
        <color theme="1"/>
        <rFont val="Calibri"/>
        <family val="2"/>
        <scheme val="minor"/>
      </rPr>
      <t xml:space="preserve"> - Ungraded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</si>
  <si>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Teaching
</t>
    </r>
    <r>
      <rPr>
        <b/>
        <sz val="11"/>
        <color theme="1"/>
        <rFont val="Calibri"/>
        <family val="2"/>
        <scheme val="minor"/>
      </rPr>
      <t>02</t>
    </r>
    <r>
      <rPr>
        <sz val="11"/>
        <color theme="1"/>
        <rFont val="Calibri"/>
        <family val="2"/>
        <scheme val="minor"/>
      </rPr>
      <t xml:space="preserve"> - Research
</t>
    </r>
    <r>
      <rPr>
        <b/>
        <sz val="11"/>
        <color theme="1"/>
        <rFont val="Calibri"/>
        <family val="2"/>
        <scheme val="minor"/>
      </rPr>
      <t>03</t>
    </r>
    <r>
      <rPr>
        <sz val="11"/>
        <color theme="1"/>
        <rFont val="Calibri"/>
        <family val="2"/>
        <scheme val="minor"/>
      </rPr>
      <t xml:space="preserve"> - Management Occupations
</t>
    </r>
    <r>
      <rPr>
        <b/>
        <sz val="11"/>
        <color theme="1"/>
        <rFont val="Calibri"/>
        <family val="2"/>
        <scheme val="minor"/>
      </rPr>
      <t>04</t>
    </r>
    <r>
      <rPr>
        <sz val="11"/>
        <color theme="1"/>
        <rFont val="Calibri"/>
        <family val="2"/>
        <scheme val="minor"/>
      </rPr>
      <t xml:space="preserve"> - Business and Financial Occupations
</t>
    </r>
    <r>
      <rPr>
        <b/>
        <sz val="11"/>
        <color theme="1"/>
        <rFont val="Calibri"/>
        <family val="2"/>
        <scheme val="minor"/>
      </rPr>
      <t>05</t>
    </r>
    <r>
      <rPr>
        <sz val="11"/>
        <color theme="1"/>
        <rFont val="Calibri"/>
        <family val="2"/>
        <scheme val="minor"/>
      </rPr>
      <t xml:space="preserve"> - Computer, Engineering and Science Occupations
</t>
    </r>
    <r>
      <rPr>
        <b/>
        <sz val="11"/>
        <color theme="1"/>
        <rFont val="Calibri"/>
        <family val="2"/>
        <scheme val="minor"/>
      </rPr>
      <t>06</t>
    </r>
    <r>
      <rPr>
        <sz val="11"/>
        <color theme="1"/>
        <rFont val="Calibri"/>
        <family val="2"/>
        <scheme val="minor"/>
      </rPr>
      <t xml:space="preserve"> - Community Service, Legal, Arts and Media Occupations
</t>
    </r>
    <r>
      <rPr>
        <b/>
        <sz val="11"/>
        <color theme="1"/>
        <rFont val="Calibri"/>
        <family val="2"/>
        <scheme val="minor"/>
      </rPr>
      <t>07</t>
    </r>
    <r>
      <rPr>
        <sz val="11"/>
        <color theme="1"/>
        <rFont val="Calibri"/>
        <family val="2"/>
        <scheme val="minor"/>
      </rPr>
      <t xml:space="preserve"> - Library and Non-postsecondary Teaching
</t>
    </r>
    <r>
      <rPr>
        <b/>
        <sz val="11"/>
        <color theme="1"/>
        <rFont val="Calibri"/>
        <family val="2"/>
        <scheme val="minor"/>
      </rPr>
      <t>08</t>
    </r>
    <r>
      <rPr>
        <sz val="11"/>
        <color theme="1"/>
        <rFont val="Calibri"/>
        <family val="2"/>
        <scheme val="minor"/>
      </rPr>
      <t xml:space="preserve"> - Healthcare Practitioners and Technical Occupations
</t>
    </r>
  </si>
  <si>
    <r>
      <t>NotRequired</t>
    </r>
    <r>
      <rPr>
        <sz val="11"/>
        <color theme="1"/>
        <rFont val="Calibri"/>
        <family val="2"/>
        <scheme val="minor"/>
      </rPr>
      <t xml:space="preserve"> - Exam not required
</t>
    </r>
    <r>
      <rPr>
        <b/>
        <sz val="11"/>
        <color theme="1"/>
        <rFont val="Calibri"/>
        <family val="2"/>
        <scheme val="minor"/>
      </rPr>
      <t>NotTaken</t>
    </r>
    <r>
      <rPr>
        <sz val="11"/>
        <color theme="1"/>
        <rFont val="Calibri"/>
        <family val="2"/>
        <scheme val="minor"/>
      </rPr>
      <t xml:space="preserve"> - Exam required but not taken
</t>
    </r>
    <r>
      <rPr>
        <b/>
        <sz val="11"/>
        <color theme="1"/>
        <rFont val="Calibri"/>
        <family val="2"/>
        <scheme val="minor"/>
      </rPr>
      <t>Waived</t>
    </r>
    <r>
      <rPr>
        <sz val="11"/>
        <color theme="1"/>
        <rFont val="Calibri"/>
        <family val="2"/>
        <scheme val="minor"/>
      </rPr>
      <t xml:space="preserve"> - Exam waived
</t>
    </r>
    <r>
      <rPr>
        <b/>
        <sz val="11"/>
        <color theme="1"/>
        <rFont val="Calibri"/>
        <family val="2"/>
        <scheme val="minor"/>
      </rPr>
      <t>Passed</t>
    </r>
    <r>
      <rPr>
        <sz val="11"/>
        <color theme="1"/>
        <rFont val="Calibri"/>
        <family val="2"/>
        <scheme val="minor"/>
      </rPr>
      <t xml:space="preserve"> - Exam taken and passed
</t>
    </r>
    <r>
      <rPr>
        <b/>
        <sz val="11"/>
        <color theme="1"/>
        <rFont val="Calibri"/>
        <family val="2"/>
        <scheme val="minor"/>
      </rPr>
      <t>Failed</t>
    </r>
    <r>
      <rPr>
        <sz val="11"/>
        <color theme="1"/>
        <rFont val="Calibri"/>
        <family val="2"/>
        <scheme val="minor"/>
      </rPr>
      <t xml:space="preserve"> - Exam taken and failed
</t>
    </r>
  </si>
  <si>
    <r>
      <t>YesReportingOffenses</t>
    </r>
    <r>
      <rPr>
        <sz val="11"/>
        <color theme="1"/>
        <rFont val="Calibri"/>
        <family val="2"/>
        <scheme val="minor"/>
      </rPr>
      <t xml:space="preserve"> - Yes, with reporting of one or more students for an offense
</t>
    </r>
    <r>
      <rPr>
        <b/>
        <sz val="11"/>
        <color theme="1"/>
        <rFont val="Calibri"/>
        <family val="2"/>
        <scheme val="minor"/>
      </rPr>
      <t>YesNoReportedOffenses</t>
    </r>
    <r>
      <rPr>
        <sz val="11"/>
        <color theme="1"/>
        <rFont val="Calibri"/>
        <family val="2"/>
        <scheme val="minor"/>
      </rPr>
      <t xml:space="preserve"> - Yes, with no reported offenses
</t>
    </r>
    <r>
      <rPr>
        <b/>
        <sz val="11"/>
        <color theme="1"/>
        <rFont val="Calibri"/>
        <family val="2"/>
        <scheme val="minor"/>
      </rPr>
      <t>No</t>
    </r>
    <r>
      <rPr>
        <sz val="11"/>
        <color theme="1"/>
        <rFont val="Calibri"/>
        <family val="2"/>
        <scheme val="minor"/>
      </rPr>
      <t xml:space="preserve">
</t>
    </r>
    <r>
      <rPr>
        <b/>
        <sz val="11"/>
        <color theme="1"/>
        <rFont val="Calibri"/>
        <family val="2"/>
        <scheme val="minor"/>
      </rPr>
      <t>NA</t>
    </r>
    <r>
      <rPr>
        <sz val="11"/>
        <color theme="1"/>
        <rFont val="Calibri"/>
        <family val="2"/>
        <scheme val="minor"/>
      </rPr>
      <t xml:space="preserve"> - Not applicable
</t>
    </r>
  </si>
  <si>
    <r>
      <t>Passed</t>
    </r>
    <r>
      <rPr>
        <sz val="11"/>
        <color theme="1"/>
        <rFont val="Calibri"/>
        <family val="2"/>
        <scheme val="minor"/>
      </rPr>
      <t xml:space="preserve"> - Passed
</t>
    </r>
    <r>
      <rPr>
        <b/>
        <sz val="11"/>
        <color theme="1"/>
        <rFont val="Calibri"/>
        <family val="2"/>
        <scheme val="minor"/>
      </rPr>
      <t>FurtherEvaluation</t>
    </r>
    <r>
      <rPr>
        <sz val="11"/>
        <color theme="1"/>
        <rFont val="Calibri"/>
        <family val="2"/>
        <scheme val="minor"/>
      </rPr>
      <t xml:space="preserve"> - Further Evaluation Needed
</t>
    </r>
  </si>
  <si>
    <r>
      <t>Minimum</t>
    </r>
    <r>
      <rPr>
        <sz val="11"/>
        <color theme="1"/>
        <rFont val="Calibri"/>
        <family val="2"/>
        <scheme val="minor"/>
      </rPr>
      <t xml:space="preserve"> - Minimum
</t>
    </r>
    <r>
      <rPr>
        <b/>
        <sz val="11"/>
        <color theme="1"/>
        <rFont val="Calibri"/>
        <family val="2"/>
        <scheme val="minor"/>
      </rPr>
      <t>Recommended</t>
    </r>
    <r>
      <rPr>
        <sz val="11"/>
        <color theme="1"/>
        <rFont val="Calibri"/>
        <family val="2"/>
        <scheme val="minor"/>
      </rPr>
      <t xml:space="preserve"> - Recommended
</t>
    </r>
    <r>
      <rPr>
        <b/>
        <sz val="11"/>
        <color theme="1"/>
        <rFont val="Calibri"/>
        <family val="2"/>
        <scheme val="minor"/>
      </rPr>
      <t>Distinguished</t>
    </r>
    <r>
      <rPr>
        <sz val="11"/>
        <color theme="1"/>
        <rFont val="Calibri"/>
        <family val="2"/>
        <scheme val="minor"/>
      </rPr>
      <t xml:space="preserve"> - Distinguished
</t>
    </r>
    <r>
      <rPr>
        <b/>
        <sz val="11"/>
        <color theme="1"/>
        <rFont val="Calibri"/>
        <family val="2"/>
        <scheme val="minor"/>
      </rPr>
      <t>OpenEnrollment</t>
    </r>
    <r>
      <rPr>
        <sz val="11"/>
        <color theme="1"/>
        <rFont val="Calibri"/>
        <family val="2"/>
        <scheme val="minor"/>
      </rPr>
      <t xml:space="preserve"> - Open Enrollment
</t>
    </r>
    <r>
      <rPr>
        <b/>
        <sz val="11"/>
        <color theme="1"/>
        <rFont val="Calibri"/>
        <family val="2"/>
        <scheme val="minor"/>
      </rPr>
      <t>MagnaCumLaude</t>
    </r>
    <r>
      <rPr>
        <sz val="11"/>
        <color theme="1"/>
        <rFont val="Calibri"/>
        <family val="2"/>
        <scheme val="minor"/>
      </rPr>
      <t xml:space="preserve"> - Magna cum laude
</t>
    </r>
    <r>
      <rPr>
        <b/>
        <sz val="11"/>
        <color theme="1"/>
        <rFont val="Calibri"/>
        <family val="2"/>
        <scheme val="minor"/>
      </rPr>
      <t>SummaCumLaude</t>
    </r>
    <r>
      <rPr>
        <sz val="11"/>
        <color theme="1"/>
        <rFont val="Calibri"/>
        <family val="2"/>
        <scheme val="minor"/>
      </rPr>
      <t xml:space="preserve"> - Summa cum laude
</t>
    </r>
  </si>
  <si>
    <r>
      <t>00806</t>
    </r>
    <r>
      <rPr>
        <sz val="11"/>
        <color theme="1"/>
        <rFont val="Calibri"/>
        <family val="2"/>
        <scheme val="minor"/>
      </rPr>
      <t xml:space="preserve"> - Regular diploma
</t>
    </r>
    <r>
      <rPr>
        <b/>
        <sz val="11"/>
        <color theme="1"/>
        <rFont val="Calibri"/>
        <family val="2"/>
        <scheme val="minor"/>
      </rPr>
      <t>00807</t>
    </r>
    <r>
      <rPr>
        <sz val="11"/>
        <color theme="1"/>
        <rFont val="Calibri"/>
        <family val="2"/>
        <scheme val="minor"/>
      </rPr>
      <t xml:space="preserve"> - Endorsed/advanced diploma
</t>
    </r>
    <r>
      <rPr>
        <b/>
        <sz val="11"/>
        <color theme="1"/>
        <rFont val="Calibri"/>
        <family val="2"/>
        <scheme val="minor"/>
      </rPr>
      <t>00808</t>
    </r>
    <r>
      <rPr>
        <sz val="11"/>
        <color theme="1"/>
        <rFont val="Calibri"/>
        <family val="2"/>
        <scheme val="minor"/>
      </rPr>
      <t xml:space="preserve"> - Regents diploma
</t>
    </r>
    <r>
      <rPr>
        <b/>
        <sz val="11"/>
        <color theme="1"/>
        <rFont val="Calibri"/>
        <family val="2"/>
        <scheme val="minor"/>
      </rPr>
      <t>00809</t>
    </r>
    <r>
      <rPr>
        <sz val="11"/>
        <color theme="1"/>
        <rFont val="Calibri"/>
        <family val="2"/>
        <scheme val="minor"/>
      </rPr>
      <t xml:space="preserve"> - International Baccalaureate
</t>
    </r>
    <r>
      <rPr>
        <b/>
        <sz val="11"/>
        <color theme="1"/>
        <rFont val="Calibri"/>
        <family val="2"/>
        <scheme val="minor"/>
      </rPr>
      <t>00810</t>
    </r>
    <r>
      <rPr>
        <sz val="11"/>
        <color theme="1"/>
        <rFont val="Calibri"/>
        <family val="2"/>
        <scheme val="minor"/>
      </rPr>
      <t xml:space="preserve"> - Modified diploma
</t>
    </r>
    <r>
      <rPr>
        <b/>
        <sz val="11"/>
        <color theme="1"/>
        <rFont val="Calibri"/>
        <family val="2"/>
        <scheme val="minor"/>
      </rPr>
      <t>00811</t>
    </r>
    <r>
      <rPr>
        <sz val="11"/>
        <color theme="1"/>
        <rFont val="Calibri"/>
        <family val="2"/>
        <scheme val="minor"/>
      </rPr>
      <t xml:space="preserve"> - Other diploma
</t>
    </r>
    <r>
      <rPr>
        <b/>
        <sz val="11"/>
        <color theme="1"/>
        <rFont val="Calibri"/>
        <family val="2"/>
        <scheme val="minor"/>
      </rPr>
      <t>00812</t>
    </r>
    <r>
      <rPr>
        <sz val="11"/>
        <color theme="1"/>
        <rFont val="Calibri"/>
        <family val="2"/>
        <scheme val="minor"/>
      </rPr>
      <t xml:space="preserve"> - Alternative credential
</t>
    </r>
    <r>
      <rPr>
        <b/>
        <sz val="11"/>
        <color theme="1"/>
        <rFont val="Calibri"/>
        <family val="2"/>
        <scheme val="minor"/>
      </rPr>
      <t>00813</t>
    </r>
    <r>
      <rPr>
        <sz val="11"/>
        <color theme="1"/>
        <rFont val="Calibri"/>
        <family val="2"/>
        <scheme val="minor"/>
      </rPr>
      <t xml:space="preserve"> - Certificate of attendance
</t>
    </r>
    <r>
      <rPr>
        <b/>
        <sz val="11"/>
        <color theme="1"/>
        <rFont val="Calibri"/>
        <family val="2"/>
        <scheme val="minor"/>
      </rPr>
      <t>00814</t>
    </r>
    <r>
      <rPr>
        <sz val="11"/>
        <color theme="1"/>
        <rFont val="Calibri"/>
        <family val="2"/>
        <scheme val="minor"/>
      </rPr>
      <t xml:space="preserve"> - Certificate of completion
</t>
    </r>
    <r>
      <rPr>
        <b/>
        <sz val="11"/>
        <color theme="1"/>
        <rFont val="Calibri"/>
        <family val="2"/>
        <scheme val="minor"/>
      </rPr>
      <t>00815</t>
    </r>
    <r>
      <rPr>
        <sz val="11"/>
        <color theme="1"/>
        <rFont val="Calibri"/>
        <family val="2"/>
        <scheme val="minor"/>
      </rPr>
      <t xml:space="preserve"> - High school equivalency credential, other than GED
</t>
    </r>
    <r>
      <rPr>
        <b/>
        <sz val="11"/>
        <color theme="1"/>
        <rFont val="Calibri"/>
        <family val="2"/>
        <scheme val="minor"/>
      </rPr>
      <t>00816</t>
    </r>
    <r>
      <rPr>
        <sz val="11"/>
        <color theme="1"/>
        <rFont val="Calibri"/>
        <family val="2"/>
        <scheme val="minor"/>
      </rPr>
      <t xml:space="preserve"> - General Educational Development (GED) credential
</t>
    </r>
    <r>
      <rPr>
        <b/>
        <sz val="11"/>
        <color theme="1"/>
        <rFont val="Calibri"/>
        <family val="2"/>
        <scheme val="minor"/>
      </rPr>
      <t>00818</t>
    </r>
    <r>
      <rPr>
        <sz val="11"/>
        <color theme="1"/>
        <rFont val="Calibri"/>
        <family val="2"/>
        <scheme val="minor"/>
      </rPr>
      <t xml:space="preserve"> - Post graduate certificate (grade 13)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09999</t>
    </r>
    <r>
      <rPr>
        <sz val="11"/>
        <color theme="1"/>
        <rFont val="Calibri"/>
        <family val="2"/>
        <scheme val="minor"/>
      </rPr>
      <t xml:space="preserve"> - Other
</t>
    </r>
  </si>
  <si>
    <r>
      <t>MetGoal</t>
    </r>
    <r>
      <rPr>
        <sz val="11"/>
        <color theme="1"/>
        <rFont val="Calibri"/>
        <family val="2"/>
        <scheme val="minor"/>
      </rPr>
      <t xml:space="preserve"> - Met (Goal)
</t>
    </r>
    <r>
      <rPr>
        <b/>
        <sz val="11"/>
        <color theme="1"/>
        <rFont val="Calibri"/>
        <family val="2"/>
        <scheme val="minor"/>
      </rPr>
      <t>MetTarget</t>
    </r>
    <r>
      <rPr>
        <sz val="11"/>
        <color theme="1"/>
        <rFont val="Calibri"/>
        <family val="2"/>
        <scheme val="minor"/>
      </rPr>
      <t xml:space="preserve"> - Met (Target)
</t>
    </r>
    <r>
      <rPr>
        <b/>
        <sz val="11"/>
        <color theme="1"/>
        <rFont val="Calibri"/>
        <family val="2"/>
        <scheme val="minor"/>
      </rPr>
      <t>DidNotMeet</t>
    </r>
    <r>
      <rPr>
        <sz val="11"/>
        <color theme="1"/>
        <rFont val="Calibri"/>
        <family val="2"/>
        <scheme val="minor"/>
      </rPr>
      <t xml:space="preserve"> - Did Not Meet
</t>
    </r>
    <r>
      <rPr>
        <b/>
        <sz val="11"/>
        <color theme="1"/>
        <rFont val="Calibri"/>
        <family val="2"/>
        <scheme val="minor"/>
      </rPr>
      <t>TooFewStudents</t>
    </r>
    <r>
      <rPr>
        <sz val="11"/>
        <color theme="1"/>
        <rFont val="Calibri"/>
        <family val="2"/>
        <scheme val="minor"/>
      </rPr>
      <t xml:space="preserve"> - Too Few Students
</t>
    </r>
    <r>
      <rPr>
        <b/>
        <sz val="11"/>
        <color theme="1"/>
        <rFont val="Calibri"/>
        <family val="2"/>
        <scheme val="minor"/>
      </rPr>
      <t>NoStudents</t>
    </r>
    <r>
      <rPr>
        <sz val="11"/>
        <color theme="1"/>
        <rFont val="Calibri"/>
        <family val="2"/>
        <scheme val="minor"/>
      </rPr>
      <t xml:space="preserve"> - There are no students in a student subgroup. 
</t>
    </r>
    <r>
      <rPr>
        <b/>
        <sz val="11"/>
        <color theme="1"/>
        <rFont val="Calibri"/>
        <family val="2"/>
        <scheme val="minor"/>
      </rPr>
      <t>NA</t>
    </r>
    <r>
      <rPr>
        <sz val="11"/>
        <color theme="1"/>
        <rFont val="Calibri"/>
        <family val="2"/>
        <scheme val="minor"/>
      </rPr>
      <t xml:space="preserve"> - Not applicable
</t>
    </r>
  </si>
  <si>
    <r>
      <t>Regional</t>
    </r>
    <r>
      <rPr>
        <sz val="11"/>
        <color theme="1"/>
        <rFont val="Calibri"/>
        <family val="2"/>
        <scheme val="minor"/>
      </rPr>
      <t xml:space="preserve"> - Regionally accredited
</t>
    </r>
    <r>
      <rPr>
        <b/>
        <sz val="11"/>
        <color theme="1"/>
        <rFont val="Calibri"/>
        <family val="2"/>
        <scheme val="minor"/>
      </rPr>
      <t>Programmatic</t>
    </r>
    <r>
      <rPr>
        <sz val="11"/>
        <color theme="1"/>
        <rFont val="Calibri"/>
        <family val="2"/>
        <scheme val="minor"/>
      </rPr>
      <t xml:space="preserve"> - Programmatic accreditation
</t>
    </r>
    <r>
      <rPr>
        <b/>
        <sz val="11"/>
        <color theme="1"/>
        <rFont val="Calibri"/>
        <family val="2"/>
        <scheme val="minor"/>
      </rPr>
      <t>National</t>
    </r>
    <r>
      <rPr>
        <sz val="11"/>
        <color theme="1"/>
        <rFont val="Calibri"/>
        <family val="2"/>
        <scheme val="minor"/>
      </rPr>
      <t xml:space="preserve"> - Nationally accredited
</t>
    </r>
    <r>
      <rPr>
        <b/>
        <sz val="11"/>
        <color theme="1"/>
        <rFont val="Calibri"/>
        <family val="2"/>
        <scheme val="minor"/>
      </rPr>
      <t>Faith</t>
    </r>
    <r>
      <rPr>
        <sz val="11"/>
        <color theme="1"/>
        <rFont val="Calibri"/>
        <family val="2"/>
        <scheme val="minor"/>
      </rPr>
      <t xml:space="preserve"> - Faith
</t>
    </r>
    <r>
      <rPr>
        <b/>
        <sz val="11"/>
        <color theme="1"/>
        <rFont val="Calibri"/>
        <family val="2"/>
        <scheme val="minor"/>
      </rPr>
      <t>CareerRelated</t>
    </r>
    <r>
      <rPr>
        <sz val="11"/>
        <color theme="1"/>
        <rFont val="Calibri"/>
        <family val="2"/>
        <scheme val="minor"/>
      </rPr>
      <t xml:space="preserve"> - Career related
</t>
    </r>
    <r>
      <rPr>
        <b/>
        <sz val="11"/>
        <color theme="1"/>
        <rFont val="Calibri"/>
        <family val="2"/>
        <scheme val="minor"/>
      </rPr>
      <t>NotAccredited</t>
    </r>
    <r>
      <rPr>
        <sz val="11"/>
        <color theme="1"/>
        <rFont val="Calibri"/>
        <family val="2"/>
        <scheme val="minor"/>
      </rPr>
      <t xml:space="preserve"> - Not accredited
</t>
    </r>
  </si>
  <si>
    <r>
      <t>01043</t>
    </r>
    <r>
      <rPr>
        <sz val="11"/>
        <color theme="1"/>
        <rFont val="Calibri"/>
        <family val="2"/>
        <scheme val="minor"/>
      </rPr>
      <t xml:space="preserve"> - No school completed 
</t>
    </r>
    <r>
      <rPr>
        <b/>
        <sz val="11"/>
        <color theme="1"/>
        <rFont val="Calibri"/>
        <family val="2"/>
        <scheme val="minor"/>
      </rPr>
      <t>00788</t>
    </r>
    <r>
      <rPr>
        <sz val="11"/>
        <color theme="1"/>
        <rFont val="Calibri"/>
        <family val="2"/>
        <scheme val="minor"/>
      </rPr>
      <t xml:space="preserve"> - Preschool 
</t>
    </r>
    <r>
      <rPr>
        <b/>
        <sz val="11"/>
        <color theme="1"/>
        <rFont val="Calibri"/>
        <family val="2"/>
        <scheme val="minor"/>
      </rPr>
      <t>00805</t>
    </r>
    <r>
      <rPr>
        <sz val="11"/>
        <color theme="1"/>
        <rFont val="Calibri"/>
        <family val="2"/>
        <scheme val="minor"/>
      </rPr>
      <t xml:space="preserve"> - Kindergarten 
</t>
    </r>
    <r>
      <rPr>
        <b/>
        <sz val="11"/>
        <color theme="1"/>
        <rFont val="Calibri"/>
        <family val="2"/>
        <scheme val="minor"/>
      </rPr>
      <t>00790</t>
    </r>
    <r>
      <rPr>
        <sz val="11"/>
        <color theme="1"/>
        <rFont val="Calibri"/>
        <family val="2"/>
        <scheme val="minor"/>
      </rPr>
      <t xml:space="preserve"> - First grade 
</t>
    </r>
    <r>
      <rPr>
        <b/>
        <sz val="11"/>
        <color theme="1"/>
        <rFont val="Calibri"/>
        <family val="2"/>
        <scheme val="minor"/>
      </rPr>
      <t>00791</t>
    </r>
    <r>
      <rPr>
        <sz val="11"/>
        <color theme="1"/>
        <rFont val="Calibri"/>
        <family val="2"/>
        <scheme val="minor"/>
      </rPr>
      <t xml:space="preserve"> - Second grade 
</t>
    </r>
    <r>
      <rPr>
        <b/>
        <sz val="11"/>
        <color theme="1"/>
        <rFont val="Calibri"/>
        <family val="2"/>
        <scheme val="minor"/>
      </rPr>
      <t>00792</t>
    </r>
    <r>
      <rPr>
        <sz val="11"/>
        <color theme="1"/>
        <rFont val="Calibri"/>
        <family val="2"/>
        <scheme val="minor"/>
      </rPr>
      <t xml:space="preserve"> - Third grade 
</t>
    </r>
    <r>
      <rPr>
        <b/>
        <sz val="11"/>
        <color theme="1"/>
        <rFont val="Calibri"/>
        <family val="2"/>
        <scheme val="minor"/>
      </rPr>
      <t>00793</t>
    </r>
    <r>
      <rPr>
        <sz val="11"/>
        <color theme="1"/>
        <rFont val="Calibri"/>
        <family val="2"/>
        <scheme val="minor"/>
      </rPr>
      <t xml:space="preserve"> - Fourth grade 
</t>
    </r>
    <r>
      <rPr>
        <b/>
        <sz val="11"/>
        <color theme="1"/>
        <rFont val="Calibri"/>
        <family val="2"/>
        <scheme val="minor"/>
      </rPr>
      <t>00794</t>
    </r>
    <r>
      <rPr>
        <sz val="11"/>
        <color theme="1"/>
        <rFont val="Calibri"/>
        <family val="2"/>
        <scheme val="minor"/>
      </rPr>
      <t xml:space="preserve"> - Fifth grade 
</t>
    </r>
    <r>
      <rPr>
        <b/>
        <sz val="11"/>
        <color theme="1"/>
        <rFont val="Calibri"/>
        <family val="2"/>
        <scheme val="minor"/>
      </rPr>
      <t>00795</t>
    </r>
    <r>
      <rPr>
        <sz val="11"/>
        <color theme="1"/>
        <rFont val="Calibri"/>
        <family val="2"/>
        <scheme val="minor"/>
      </rPr>
      <t xml:space="preserve"> - Sixth grade 
</t>
    </r>
    <r>
      <rPr>
        <b/>
        <sz val="11"/>
        <color theme="1"/>
        <rFont val="Calibri"/>
        <family val="2"/>
        <scheme val="minor"/>
      </rPr>
      <t>00796</t>
    </r>
    <r>
      <rPr>
        <sz val="11"/>
        <color theme="1"/>
        <rFont val="Calibri"/>
        <family val="2"/>
        <scheme val="minor"/>
      </rPr>
      <t xml:space="preserve"> - Seventh grade 
</t>
    </r>
    <r>
      <rPr>
        <b/>
        <sz val="11"/>
        <color theme="1"/>
        <rFont val="Calibri"/>
        <family val="2"/>
        <scheme val="minor"/>
      </rPr>
      <t>00798</t>
    </r>
    <r>
      <rPr>
        <sz val="11"/>
        <color theme="1"/>
        <rFont val="Calibri"/>
        <family val="2"/>
        <scheme val="minor"/>
      </rPr>
      <t xml:space="preserve"> - Eighth grade 
</t>
    </r>
    <r>
      <rPr>
        <b/>
        <sz val="11"/>
        <color theme="1"/>
        <rFont val="Calibri"/>
        <family val="2"/>
        <scheme val="minor"/>
      </rPr>
      <t>00799</t>
    </r>
    <r>
      <rPr>
        <sz val="11"/>
        <color theme="1"/>
        <rFont val="Calibri"/>
        <family val="2"/>
        <scheme val="minor"/>
      </rPr>
      <t xml:space="preserve"> - Ninth grade 
</t>
    </r>
    <r>
      <rPr>
        <b/>
        <sz val="11"/>
        <color theme="1"/>
        <rFont val="Calibri"/>
        <family val="2"/>
        <scheme val="minor"/>
      </rPr>
      <t>00800</t>
    </r>
    <r>
      <rPr>
        <sz val="11"/>
        <color theme="1"/>
        <rFont val="Calibri"/>
        <family val="2"/>
        <scheme val="minor"/>
      </rPr>
      <t xml:space="preserve"> - Tenth grade 
</t>
    </r>
    <r>
      <rPr>
        <b/>
        <sz val="11"/>
        <color theme="1"/>
        <rFont val="Calibri"/>
        <family val="2"/>
        <scheme val="minor"/>
      </rPr>
      <t>00801</t>
    </r>
    <r>
      <rPr>
        <sz val="11"/>
        <color theme="1"/>
        <rFont val="Calibri"/>
        <family val="2"/>
        <scheme val="minor"/>
      </rPr>
      <t xml:space="preserve"> - Eleventh Grade 
</t>
    </r>
    <r>
      <rPr>
        <b/>
        <sz val="11"/>
        <color theme="1"/>
        <rFont val="Calibri"/>
        <family val="2"/>
        <scheme val="minor"/>
      </rPr>
      <t>01809</t>
    </r>
    <r>
      <rPr>
        <sz val="11"/>
        <color theme="1"/>
        <rFont val="Calibri"/>
        <family val="2"/>
        <scheme val="minor"/>
      </rPr>
      <t xml:space="preserve"> - 12th grade, no diploma 
</t>
    </r>
    <r>
      <rPr>
        <b/>
        <sz val="11"/>
        <color theme="1"/>
        <rFont val="Calibri"/>
        <family val="2"/>
        <scheme val="minor"/>
      </rPr>
      <t>01044</t>
    </r>
    <r>
      <rPr>
        <sz val="11"/>
        <color theme="1"/>
        <rFont val="Calibri"/>
        <family val="2"/>
        <scheme val="minor"/>
      </rPr>
      <t xml:space="preserve"> - High school diploma 
</t>
    </r>
    <r>
      <rPr>
        <b/>
        <sz val="11"/>
        <color theme="1"/>
        <rFont val="Calibri"/>
        <family val="2"/>
        <scheme val="minor"/>
      </rPr>
      <t>02408</t>
    </r>
    <r>
      <rPr>
        <sz val="11"/>
        <color theme="1"/>
        <rFont val="Calibri"/>
        <family val="2"/>
        <scheme val="minor"/>
      </rPr>
      <t xml:space="preserve"> - High school completers (e.g., certificate of attendance) 
</t>
    </r>
    <r>
      <rPr>
        <b/>
        <sz val="11"/>
        <color theme="1"/>
        <rFont val="Calibri"/>
        <family val="2"/>
        <scheme val="minor"/>
      </rPr>
      <t>02409</t>
    </r>
    <r>
      <rPr>
        <sz val="11"/>
        <color theme="1"/>
        <rFont val="Calibri"/>
        <family val="2"/>
        <scheme val="minor"/>
      </rPr>
      <t xml:space="preserve"> - High school equivalency (e.g., GED) 
</t>
    </r>
    <r>
      <rPr>
        <b/>
        <sz val="11"/>
        <color theme="1"/>
        <rFont val="Calibri"/>
        <family val="2"/>
        <scheme val="minor"/>
      </rPr>
      <t>00819</t>
    </r>
    <r>
      <rPr>
        <sz val="11"/>
        <color theme="1"/>
        <rFont val="Calibri"/>
        <family val="2"/>
        <scheme val="minor"/>
      </rPr>
      <t xml:space="preserve"> - Career and Technical Education certificate
</t>
    </r>
    <r>
      <rPr>
        <b/>
        <sz val="11"/>
        <color theme="1"/>
        <rFont val="Calibri"/>
        <family val="2"/>
        <scheme val="minor"/>
      </rPr>
      <t>00803</t>
    </r>
    <r>
      <rPr>
        <sz val="11"/>
        <color theme="1"/>
        <rFont val="Calibri"/>
        <family val="2"/>
        <scheme val="minor"/>
      </rPr>
      <t xml:space="preserve"> - Grade 13
</t>
    </r>
    <r>
      <rPr>
        <b/>
        <sz val="11"/>
        <color theme="1"/>
        <rFont val="Calibri"/>
        <family val="2"/>
        <scheme val="minor"/>
      </rPr>
      <t>01049</t>
    </r>
    <r>
      <rPr>
        <sz val="11"/>
        <color theme="1"/>
        <rFont val="Calibri"/>
        <family val="2"/>
        <scheme val="minor"/>
      </rPr>
      <t xml:space="preserve"> - Some college but no degree 
</t>
    </r>
    <r>
      <rPr>
        <b/>
        <sz val="11"/>
        <color theme="1"/>
        <rFont val="Calibri"/>
        <family val="2"/>
        <scheme val="minor"/>
      </rPr>
      <t>01047</t>
    </r>
    <r>
      <rPr>
        <sz val="11"/>
        <color theme="1"/>
        <rFont val="Calibri"/>
        <family val="2"/>
        <scheme val="minor"/>
      </rPr>
      <t xml:space="preserve"> - Formal award, certificate or diploma (less than one year) 
</t>
    </r>
    <r>
      <rPr>
        <b/>
        <sz val="11"/>
        <color theme="1"/>
        <rFont val="Calibri"/>
        <family val="2"/>
        <scheme val="minor"/>
      </rPr>
      <t>01048</t>
    </r>
    <r>
      <rPr>
        <sz val="11"/>
        <color theme="1"/>
        <rFont val="Calibri"/>
        <family val="2"/>
        <scheme val="minor"/>
      </rPr>
      <t xml:space="preserve"> - Formal award, certificate or diploma (more than or equal to one year) 
</t>
    </r>
    <r>
      <rPr>
        <b/>
        <sz val="11"/>
        <color theme="1"/>
        <rFont val="Calibri"/>
        <family val="2"/>
        <scheme val="minor"/>
      </rPr>
      <t>01050</t>
    </r>
    <r>
      <rPr>
        <sz val="11"/>
        <color theme="1"/>
        <rFont val="Calibri"/>
        <family val="2"/>
        <scheme val="minor"/>
      </rPr>
      <t xml:space="preserve"> - Associate's degree (two years or more) 
</t>
    </r>
    <r>
      <rPr>
        <b/>
        <sz val="11"/>
        <color theme="1"/>
        <rFont val="Calibri"/>
        <family val="2"/>
        <scheme val="minor"/>
      </rPr>
      <t>73063</t>
    </r>
    <r>
      <rPr>
        <sz val="11"/>
        <color theme="1"/>
        <rFont val="Calibri"/>
        <family val="2"/>
        <scheme val="minor"/>
      </rPr>
      <t xml:space="preserve"> - Adult education certification, endorsement, or degree
</t>
    </r>
    <r>
      <rPr>
        <b/>
        <sz val="11"/>
        <color theme="1"/>
        <rFont val="Calibri"/>
        <family val="2"/>
        <scheme val="minor"/>
      </rPr>
      <t>01051</t>
    </r>
    <r>
      <rPr>
        <sz val="11"/>
        <color theme="1"/>
        <rFont val="Calibri"/>
        <family val="2"/>
        <scheme val="minor"/>
      </rPr>
      <t xml:space="preserve"> - Bachelor's (Baccalaureate) degree 
</t>
    </r>
    <r>
      <rPr>
        <b/>
        <sz val="11"/>
        <color theme="1"/>
        <rFont val="Calibri"/>
        <family val="2"/>
        <scheme val="minor"/>
      </rPr>
      <t>01054</t>
    </r>
    <r>
      <rPr>
        <sz val="11"/>
        <color theme="1"/>
        <rFont val="Calibri"/>
        <family val="2"/>
        <scheme val="minor"/>
      </rPr>
      <t xml:space="preserve"> - Master's degree (e.g., M.A., M.S., M. Eng., M.Ed., M.S.W., M.B.A., M.L.S.) 
</t>
    </r>
    <r>
      <rPr>
        <b/>
        <sz val="11"/>
        <color theme="1"/>
        <rFont val="Calibri"/>
        <family val="2"/>
        <scheme val="minor"/>
      </rPr>
      <t>01055</t>
    </r>
    <r>
      <rPr>
        <sz val="11"/>
        <color theme="1"/>
        <rFont val="Calibri"/>
        <family val="2"/>
        <scheme val="minor"/>
      </rPr>
      <t xml:space="preserve"> - Specialist's degree (e.g., Ed.S.) 
</t>
    </r>
    <r>
      <rPr>
        <b/>
        <sz val="11"/>
        <color theme="1"/>
        <rFont val="Calibri"/>
        <family val="2"/>
        <scheme val="minor"/>
      </rPr>
      <t>73081</t>
    </r>
    <r>
      <rPr>
        <sz val="11"/>
        <color theme="1"/>
        <rFont val="Calibri"/>
        <family val="2"/>
        <scheme val="minor"/>
      </rPr>
      <t xml:space="preserve"> - Post-master’s certificate
</t>
    </r>
    <r>
      <rPr>
        <b/>
        <sz val="11"/>
        <color theme="1"/>
        <rFont val="Calibri"/>
        <family val="2"/>
        <scheme val="minor"/>
      </rPr>
      <t>01052</t>
    </r>
    <r>
      <rPr>
        <sz val="11"/>
        <color theme="1"/>
        <rFont val="Calibri"/>
        <family val="2"/>
        <scheme val="minor"/>
      </rPr>
      <t xml:space="preserve"> - Graduate certificate 
</t>
    </r>
    <r>
      <rPr>
        <b/>
        <sz val="11"/>
        <color theme="1"/>
        <rFont val="Calibri"/>
        <family val="2"/>
        <scheme val="minor"/>
      </rPr>
      <t>01057</t>
    </r>
    <r>
      <rPr>
        <sz val="11"/>
        <color theme="1"/>
        <rFont val="Calibri"/>
        <family val="2"/>
        <scheme val="minor"/>
      </rPr>
      <t xml:space="preserve"> - Doctoral (Doctor's) degree 
</t>
    </r>
    <r>
      <rPr>
        <b/>
        <sz val="11"/>
        <color theme="1"/>
        <rFont val="Calibri"/>
        <family val="2"/>
        <scheme val="minor"/>
      </rPr>
      <t>01053</t>
    </r>
    <r>
      <rPr>
        <sz val="11"/>
        <color theme="1"/>
        <rFont val="Calibri"/>
        <family val="2"/>
        <scheme val="minor"/>
      </rPr>
      <t xml:space="preserve"> - First-professional degree 
</t>
    </r>
    <r>
      <rPr>
        <b/>
        <sz val="11"/>
        <color theme="1"/>
        <rFont val="Calibri"/>
        <family val="2"/>
        <scheme val="minor"/>
      </rPr>
      <t>01056</t>
    </r>
    <r>
      <rPr>
        <sz val="11"/>
        <color theme="1"/>
        <rFont val="Calibri"/>
        <family val="2"/>
        <scheme val="minor"/>
      </rPr>
      <t xml:space="preserve"> - Post-professional degree 
</t>
    </r>
    <r>
      <rPr>
        <b/>
        <sz val="11"/>
        <color theme="1"/>
        <rFont val="Calibri"/>
        <family val="2"/>
        <scheme val="minor"/>
      </rPr>
      <t>73082</t>
    </r>
    <r>
      <rPr>
        <sz val="11"/>
        <color theme="1"/>
        <rFont val="Calibri"/>
        <family val="2"/>
        <scheme val="minor"/>
      </rPr>
      <t xml:space="preserve"> - Doctor’s degree-research/scholarship
</t>
    </r>
    <r>
      <rPr>
        <b/>
        <sz val="11"/>
        <color theme="1"/>
        <rFont val="Calibri"/>
        <family val="2"/>
        <scheme val="minor"/>
      </rPr>
      <t>73083</t>
    </r>
    <r>
      <rPr>
        <sz val="11"/>
        <color theme="1"/>
        <rFont val="Calibri"/>
        <family val="2"/>
        <scheme val="minor"/>
      </rPr>
      <t xml:space="preserve"> - Doctor’s degree-professional practice
</t>
    </r>
    <r>
      <rPr>
        <b/>
        <sz val="11"/>
        <color theme="1"/>
        <rFont val="Calibri"/>
        <family val="2"/>
        <scheme val="minor"/>
      </rPr>
      <t>73084</t>
    </r>
    <r>
      <rPr>
        <sz val="11"/>
        <color theme="1"/>
        <rFont val="Calibri"/>
        <family val="2"/>
        <scheme val="minor"/>
      </rPr>
      <t xml:space="preserve"> - Doctor’s degree-other
</t>
    </r>
    <r>
      <rPr>
        <b/>
        <sz val="11"/>
        <color theme="1"/>
        <rFont val="Calibri"/>
        <family val="2"/>
        <scheme val="minor"/>
      </rPr>
      <t>73085</t>
    </r>
    <r>
      <rPr>
        <sz val="11"/>
        <color theme="1"/>
        <rFont val="Calibri"/>
        <family val="2"/>
        <scheme val="minor"/>
      </rPr>
      <t xml:space="preserve"> - Doctor’s degree-research/scholarship
</t>
    </r>
    <r>
      <rPr>
        <b/>
        <sz val="11"/>
        <color theme="1"/>
        <rFont val="Calibri"/>
        <family val="2"/>
        <scheme val="minor"/>
      </rPr>
      <t>09999</t>
    </r>
    <r>
      <rPr>
        <sz val="11"/>
        <color theme="1"/>
        <rFont val="Calibri"/>
        <family val="2"/>
        <scheme val="minor"/>
      </rPr>
      <t xml:space="preserve"> - Other
</t>
    </r>
  </si>
  <si>
    <r>
      <t>HighlyQualitifed</t>
    </r>
    <r>
      <rPr>
        <sz val="11"/>
        <color theme="1"/>
        <rFont val="Calibri"/>
        <family val="2"/>
        <scheme val="minor"/>
      </rPr>
      <t xml:space="preserve"> - Highly qualified
</t>
    </r>
    <r>
      <rPr>
        <b/>
        <sz val="11"/>
        <color theme="1"/>
        <rFont val="Calibri"/>
        <family val="2"/>
        <scheme val="minor"/>
      </rPr>
      <t>NotHighlyQualified</t>
    </r>
    <r>
      <rPr>
        <sz val="11"/>
        <color theme="1"/>
        <rFont val="Calibri"/>
        <family val="2"/>
        <scheme val="minor"/>
      </rPr>
      <t xml:space="preserve"> - Not highly qualified
</t>
    </r>
  </si>
  <si>
    <r>
      <t>Shelters</t>
    </r>
    <r>
      <rPr>
        <sz val="11"/>
        <color theme="1"/>
        <rFont val="Calibri"/>
        <family val="2"/>
        <scheme val="minor"/>
      </rPr>
      <t xml:space="preserve"> - Shelters
</t>
    </r>
    <r>
      <rPr>
        <b/>
        <sz val="11"/>
        <color theme="1"/>
        <rFont val="Calibri"/>
        <family val="2"/>
        <scheme val="minor"/>
      </rPr>
      <t>DoubledUp</t>
    </r>
    <r>
      <rPr>
        <sz val="11"/>
        <color theme="1"/>
        <rFont val="Calibri"/>
        <family val="2"/>
        <scheme val="minor"/>
      </rPr>
      <t xml:space="preserve"> - Doubled Up
</t>
    </r>
    <r>
      <rPr>
        <b/>
        <sz val="11"/>
        <color theme="1"/>
        <rFont val="Calibri"/>
        <family val="2"/>
        <scheme val="minor"/>
      </rPr>
      <t>Unsheltered</t>
    </r>
    <r>
      <rPr>
        <sz val="11"/>
        <color theme="1"/>
        <rFont val="Calibri"/>
        <family val="2"/>
        <scheme val="minor"/>
      </rPr>
      <t xml:space="preserve"> - Unsheltered
</t>
    </r>
    <r>
      <rPr>
        <b/>
        <sz val="11"/>
        <color theme="1"/>
        <rFont val="Calibri"/>
        <family val="2"/>
        <scheme val="minor"/>
      </rPr>
      <t>HotelMotel</t>
    </r>
    <r>
      <rPr>
        <sz val="11"/>
        <color theme="1"/>
        <rFont val="Calibri"/>
        <family val="2"/>
        <scheme val="minor"/>
      </rPr>
      <t xml:space="preserve"> - Hotels/Motels
</t>
    </r>
  </si>
  <si>
    <r>
      <t>EXPMOD</t>
    </r>
    <r>
      <rPr>
        <sz val="11"/>
        <color theme="1"/>
        <rFont val="Calibri"/>
        <family val="2"/>
        <scheme val="minor"/>
      </rPr>
      <t xml:space="preserve"> - Expulsion modified to less than one year with educational services under IDEA
</t>
    </r>
    <r>
      <rPr>
        <b/>
        <sz val="11"/>
        <color theme="1"/>
        <rFont val="Calibri"/>
        <family val="2"/>
        <scheme val="minor"/>
      </rPr>
      <t>EXPNOTMOD</t>
    </r>
    <r>
      <rPr>
        <sz val="11"/>
        <color theme="1"/>
        <rFont val="Calibri"/>
        <family val="2"/>
        <scheme val="minor"/>
      </rPr>
      <t xml:space="preserve"> - One year expulsion with educational services under IDEA
</t>
    </r>
    <r>
      <rPr>
        <b/>
        <sz val="11"/>
        <color theme="1"/>
        <rFont val="Calibri"/>
        <family val="2"/>
        <scheme val="minor"/>
      </rPr>
      <t>REMOVEOTHER</t>
    </r>
    <r>
      <rPr>
        <sz val="11"/>
        <color theme="1"/>
        <rFont val="Calibri"/>
        <family val="2"/>
        <scheme val="minor"/>
      </rPr>
      <t xml:space="preserve"> - Other reasons such as death, withdrawal, or incarceration
</t>
    </r>
    <r>
      <rPr>
        <b/>
        <sz val="11"/>
        <color theme="1"/>
        <rFont val="Calibri"/>
        <family val="2"/>
        <scheme val="minor"/>
      </rPr>
      <t>OTHERDISACTION</t>
    </r>
    <r>
      <rPr>
        <sz val="11"/>
        <color theme="1"/>
        <rFont val="Calibri"/>
        <family val="2"/>
        <scheme val="minor"/>
      </rPr>
      <t xml:space="preserve"> - Another type of disciplinary action
</t>
    </r>
    <r>
      <rPr>
        <b/>
        <sz val="11"/>
        <color theme="1"/>
        <rFont val="Calibri"/>
        <family val="2"/>
        <scheme val="minor"/>
      </rPr>
      <t>NOACTION</t>
    </r>
    <r>
      <rPr>
        <sz val="11"/>
        <color theme="1"/>
        <rFont val="Calibri"/>
        <family val="2"/>
        <scheme val="minor"/>
      </rPr>
      <t xml:space="preserve"> - No disciplinary action taken
</t>
    </r>
  </si>
  <si>
    <r>
      <t>REC09YOTHLOC</t>
    </r>
    <r>
      <rPr>
        <sz val="11"/>
        <color theme="1"/>
        <rFont val="Calibri"/>
        <family val="2"/>
        <scheme val="minor"/>
      </rPr>
      <t xml:space="preserve"> - Other location regular early childhood program (less than 10 hours)
</t>
    </r>
    <r>
      <rPr>
        <b/>
        <sz val="11"/>
        <color theme="1"/>
        <rFont val="Calibri"/>
        <family val="2"/>
        <scheme val="minor"/>
      </rPr>
      <t>REC10YOTHLOC</t>
    </r>
    <r>
      <rPr>
        <sz val="11"/>
        <color theme="1"/>
        <rFont val="Calibri"/>
        <family val="2"/>
        <scheme val="minor"/>
      </rPr>
      <t xml:space="preserve"> - Other location regular early childhood program (at least 10 hours)
</t>
    </r>
    <r>
      <rPr>
        <b/>
        <sz val="11"/>
        <color theme="1"/>
        <rFont val="Calibri"/>
        <family val="2"/>
        <scheme val="minor"/>
      </rPr>
      <t>REC09YSVCS</t>
    </r>
    <r>
      <rPr>
        <sz val="11"/>
        <color theme="1"/>
        <rFont val="Calibri"/>
        <family val="2"/>
        <scheme val="minor"/>
      </rPr>
      <t xml:space="preserve"> - Services regular early childhood program (less than 10 hours)
</t>
    </r>
    <r>
      <rPr>
        <b/>
        <sz val="11"/>
        <color theme="1"/>
        <rFont val="Calibri"/>
        <family val="2"/>
        <scheme val="minor"/>
      </rPr>
      <t>REC10YSVCS</t>
    </r>
    <r>
      <rPr>
        <sz val="11"/>
        <color theme="1"/>
        <rFont val="Calibri"/>
        <family val="2"/>
        <scheme val="minor"/>
      </rPr>
      <t xml:space="preserve"> - Services regular early childhood program (at least10 hours)
</t>
    </r>
    <r>
      <rPr>
        <b/>
        <sz val="11"/>
        <color theme="1"/>
        <rFont val="Calibri"/>
        <family val="2"/>
        <scheme val="minor"/>
      </rPr>
      <t>SC</t>
    </r>
    <r>
      <rPr>
        <sz val="11"/>
        <color theme="1"/>
        <rFont val="Calibri"/>
        <family val="2"/>
        <scheme val="minor"/>
      </rPr>
      <t xml:space="preserve"> - Separate special education class
</t>
    </r>
    <r>
      <rPr>
        <b/>
        <sz val="11"/>
        <color theme="1"/>
        <rFont val="Calibri"/>
        <family val="2"/>
        <scheme val="minor"/>
      </rPr>
      <t>SS</t>
    </r>
    <r>
      <rPr>
        <sz val="11"/>
        <color theme="1"/>
        <rFont val="Calibri"/>
        <family val="2"/>
        <scheme val="minor"/>
      </rPr>
      <t xml:space="preserve"> - Separate school
</t>
    </r>
    <r>
      <rPr>
        <b/>
        <sz val="11"/>
        <color theme="1"/>
        <rFont val="Calibri"/>
        <family val="2"/>
        <scheme val="minor"/>
      </rPr>
      <t>RF</t>
    </r>
    <r>
      <rPr>
        <sz val="11"/>
        <color theme="1"/>
        <rFont val="Calibri"/>
        <family val="2"/>
        <scheme val="minor"/>
      </rPr>
      <t xml:space="preserve"> - Residential Facility
</t>
    </r>
    <r>
      <rPr>
        <b/>
        <sz val="11"/>
        <color theme="1"/>
        <rFont val="Calibri"/>
        <family val="2"/>
        <scheme val="minor"/>
      </rPr>
      <t>H</t>
    </r>
    <r>
      <rPr>
        <sz val="11"/>
        <color theme="1"/>
        <rFont val="Calibri"/>
        <family val="2"/>
        <scheme val="minor"/>
      </rPr>
      <t xml:space="preserve"> - Home
</t>
    </r>
    <r>
      <rPr>
        <b/>
        <sz val="11"/>
        <color theme="1"/>
        <rFont val="Calibri"/>
        <family val="2"/>
        <scheme val="minor"/>
      </rPr>
      <t>SPL</t>
    </r>
    <r>
      <rPr>
        <sz val="11"/>
        <color theme="1"/>
        <rFont val="Calibri"/>
        <family val="2"/>
        <scheme val="minor"/>
      </rPr>
      <t xml:space="preserve"> - Service provider or other location not in any other category
</t>
    </r>
  </si>
  <si>
    <r>
      <t>RC80</t>
    </r>
    <r>
      <rPr>
        <sz val="11"/>
        <color theme="1"/>
        <rFont val="Calibri"/>
        <family val="2"/>
        <scheme val="minor"/>
      </rPr>
      <t xml:space="preserve"> - Inside regular class 80% or more of the day
</t>
    </r>
    <r>
      <rPr>
        <b/>
        <sz val="11"/>
        <color theme="1"/>
        <rFont val="Calibri"/>
        <family val="2"/>
        <scheme val="minor"/>
      </rPr>
      <t>RC79TO40</t>
    </r>
    <r>
      <rPr>
        <sz val="11"/>
        <color theme="1"/>
        <rFont val="Calibri"/>
        <family val="2"/>
        <scheme val="minor"/>
      </rPr>
      <t xml:space="preserve"> - Inside regular class 40% through 79% of the day
</t>
    </r>
    <r>
      <rPr>
        <b/>
        <sz val="11"/>
        <color theme="1"/>
        <rFont val="Calibri"/>
        <family val="2"/>
        <scheme val="minor"/>
      </rPr>
      <t>RC39</t>
    </r>
    <r>
      <rPr>
        <sz val="11"/>
        <color theme="1"/>
        <rFont val="Calibri"/>
        <family val="2"/>
        <scheme val="minor"/>
      </rPr>
      <t xml:space="preserve"> - Inside regular class less than 40% of the day
</t>
    </r>
    <r>
      <rPr>
        <b/>
        <sz val="11"/>
        <color theme="1"/>
        <rFont val="Calibri"/>
        <family val="2"/>
        <scheme val="minor"/>
      </rPr>
      <t>SS</t>
    </r>
    <r>
      <rPr>
        <sz val="11"/>
        <color theme="1"/>
        <rFont val="Calibri"/>
        <family val="2"/>
        <scheme val="minor"/>
      </rPr>
      <t xml:space="preserve"> - Separate school
</t>
    </r>
    <r>
      <rPr>
        <b/>
        <sz val="11"/>
        <color theme="1"/>
        <rFont val="Calibri"/>
        <family val="2"/>
        <scheme val="minor"/>
      </rPr>
      <t>RF</t>
    </r>
    <r>
      <rPr>
        <sz val="11"/>
        <color theme="1"/>
        <rFont val="Calibri"/>
        <family val="2"/>
        <scheme val="minor"/>
      </rPr>
      <t xml:space="preserve"> - Residential facility
</t>
    </r>
    <r>
      <rPr>
        <b/>
        <sz val="11"/>
        <color theme="1"/>
        <rFont val="Calibri"/>
        <family val="2"/>
        <scheme val="minor"/>
      </rPr>
      <t>HH</t>
    </r>
    <r>
      <rPr>
        <sz val="11"/>
        <color theme="1"/>
        <rFont val="Calibri"/>
        <family val="2"/>
        <scheme val="minor"/>
      </rPr>
      <t xml:space="preserve"> - Homebound/hospital
</t>
    </r>
    <r>
      <rPr>
        <b/>
        <sz val="11"/>
        <color theme="1"/>
        <rFont val="Calibri"/>
        <family val="2"/>
        <scheme val="minor"/>
      </rPr>
      <t>CF</t>
    </r>
    <r>
      <rPr>
        <sz val="11"/>
        <color theme="1"/>
        <rFont val="Calibri"/>
        <family val="2"/>
        <scheme val="minor"/>
      </rPr>
      <t xml:space="preserve"> - Correctional facility
</t>
    </r>
    <r>
      <rPr>
        <b/>
        <sz val="11"/>
        <color theme="1"/>
        <rFont val="Calibri"/>
        <family val="2"/>
        <scheme val="minor"/>
      </rPr>
      <t>PPPS</t>
    </r>
    <r>
      <rPr>
        <sz val="11"/>
        <color theme="1"/>
        <rFont val="Calibri"/>
        <family val="2"/>
        <scheme val="minor"/>
      </rPr>
      <t xml:space="preserve"> - Parentally placed in private school
</t>
    </r>
  </si>
  <si>
    <r>
      <t>Active</t>
    </r>
    <r>
      <rPr>
        <sz val="11"/>
        <color theme="1"/>
        <rFont val="Calibri"/>
        <family val="2"/>
        <scheme val="minor"/>
      </rPr>
      <t xml:space="preserve"> - Active
</t>
    </r>
    <r>
      <rPr>
        <b/>
        <sz val="11"/>
        <color theme="1"/>
        <rFont val="Calibri"/>
        <family val="2"/>
        <scheme val="minor"/>
      </rPr>
      <t>Inactive</t>
    </r>
    <r>
      <rPr>
        <sz val="11"/>
        <color theme="1"/>
        <rFont val="Calibri"/>
        <family val="2"/>
        <scheme val="minor"/>
      </rPr>
      <t xml:space="preserve"> - Inactive
</t>
    </r>
    <r>
      <rPr>
        <b/>
        <sz val="11"/>
        <color theme="1"/>
        <rFont val="Calibri"/>
        <family val="2"/>
        <scheme val="minor"/>
      </rPr>
      <t>NotSelected</t>
    </r>
    <r>
      <rPr>
        <sz val="11"/>
        <color theme="1"/>
        <rFont val="Calibri"/>
        <family val="2"/>
        <scheme val="minor"/>
      </rPr>
      <t xml:space="preserve"> - Not Selected
</t>
    </r>
  </si>
  <si>
    <r>
      <t>REMDW</t>
    </r>
    <r>
      <rPr>
        <sz val="11"/>
        <color theme="1"/>
        <rFont val="Calibri"/>
        <family val="2"/>
        <scheme val="minor"/>
      </rPr>
      <t xml:space="preserve"> - Removal for drugs, weapons, or serious bodily injury
</t>
    </r>
    <r>
      <rPr>
        <b/>
        <sz val="11"/>
        <color theme="1"/>
        <rFont val="Calibri"/>
        <family val="2"/>
        <scheme val="minor"/>
      </rPr>
      <t>REMHO</t>
    </r>
    <r>
      <rPr>
        <sz val="11"/>
        <color theme="1"/>
        <rFont val="Calibri"/>
        <family val="2"/>
        <scheme val="minor"/>
      </rPr>
      <t xml:space="preserve"> - Removed based on a Hearing Officer finding
</t>
    </r>
  </si>
  <si>
    <r>
      <t>Drugs</t>
    </r>
    <r>
      <rPr>
        <sz val="11"/>
        <color theme="1"/>
        <rFont val="Calibri"/>
        <family val="2"/>
        <scheme val="minor"/>
      </rPr>
      <t xml:space="preserve"> - Drugs
</t>
    </r>
    <r>
      <rPr>
        <b/>
        <sz val="11"/>
        <color theme="1"/>
        <rFont val="Calibri"/>
        <family val="2"/>
        <scheme val="minor"/>
      </rPr>
      <t>Weapons</t>
    </r>
    <r>
      <rPr>
        <sz val="11"/>
        <color theme="1"/>
        <rFont val="Calibri"/>
        <family val="2"/>
        <scheme val="minor"/>
      </rPr>
      <t xml:space="preserve"> - Weapons
</t>
    </r>
    <r>
      <rPr>
        <b/>
        <sz val="11"/>
        <color theme="1"/>
        <rFont val="Calibri"/>
        <family val="2"/>
        <scheme val="minor"/>
      </rPr>
      <t>SeriousBodilyInjury</t>
    </r>
    <r>
      <rPr>
        <sz val="11"/>
        <color theme="1"/>
        <rFont val="Calibri"/>
        <family val="2"/>
        <scheme val="minor"/>
      </rPr>
      <t xml:space="preserve"> - Serious bodily injury
</t>
    </r>
  </si>
  <si>
    <r>
      <t>Diphtheria</t>
    </r>
    <r>
      <rPr>
        <sz val="11"/>
        <color theme="1"/>
        <rFont val="Calibri"/>
        <family val="2"/>
        <scheme val="minor"/>
      </rPr>
      <t xml:space="preserve"> - Diphtheria
</t>
    </r>
    <r>
      <rPr>
        <b/>
        <sz val="11"/>
        <color theme="1"/>
        <rFont val="Calibri"/>
        <family val="2"/>
        <scheme val="minor"/>
      </rPr>
      <t>HaemophilusInfluenzae</t>
    </r>
    <r>
      <rPr>
        <sz val="11"/>
        <color theme="1"/>
        <rFont val="Calibri"/>
        <family val="2"/>
        <scheme val="minor"/>
      </rPr>
      <t xml:space="preserve"> - Haemophilus Influenzae
</t>
    </r>
    <r>
      <rPr>
        <b/>
        <sz val="11"/>
        <color theme="1"/>
        <rFont val="Calibri"/>
        <family val="2"/>
        <scheme val="minor"/>
      </rPr>
      <t>HepatitisA</t>
    </r>
    <r>
      <rPr>
        <sz val="11"/>
        <color theme="1"/>
        <rFont val="Calibri"/>
        <family val="2"/>
        <scheme val="minor"/>
      </rPr>
      <t xml:space="preserve"> - Hepatitis A
</t>
    </r>
    <r>
      <rPr>
        <b/>
        <sz val="11"/>
        <color theme="1"/>
        <rFont val="Calibri"/>
        <family val="2"/>
        <scheme val="minor"/>
      </rPr>
      <t>HepatitisB</t>
    </r>
    <r>
      <rPr>
        <sz val="11"/>
        <color theme="1"/>
        <rFont val="Calibri"/>
        <family val="2"/>
        <scheme val="minor"/>
      </rPr>
      <t xml:space="preserve"> - Hepatitis B
</t>
    </r>
    <r>
      <rPr>
        <b/>
        <sz val="11"/>
        <color theme="1"/>
        <rFont val="Calibri"/>
        <family val="2"/>
        <scheme val="minor"/>
      </rPr>
      <t>InactivatedPoliovirus</t>
    </r>
    <r>
      <rPr>
        <sz val="11"/>
        <color theme="1"/>
        <rFont val="Calibri"/>
        <family val="2"/>
        <scheme val="minor"/>
      </rPr>
      <t xml:space="preserve"> - Inactivated Poliovirus
</t>
    </r>
    <r>
      <rPr>
        <b/>
        <sz val="11"/>
        <color theme="1"/>
        <rFont val="Calibri"/>
        <family val="2"/>
        <scheme val="minor"/>
      </rPr>
      <t>Influenza</t>
    </r>
    <r>
      <rPr>
        <sz val="11"/>
        <color theme="1"/>
        <rFont val="Calibri"/>
        <family val="2"/>
        <scheme val="minor"/>
      </rPr>
      <t xml:space="preserve"> - Influenza
</t>
    </r>
    <r>
      <rPr>
        <b/>
        <sz val="11"/>
        <color theme="1"/>
        <rFont val="Calibri"/>
        <family val="2"/>
        <scheme val="minor"/>
      </rPr>
      <t>Meningococcal</t>
    </r>
    <r>
      <rPr>
        <sz val="11"/>
        <color theme="1"/>
        <rFont val="Calibri"/>
        <family val="2"/>
        <scheme val="minor"/>
      </rPr>
      <t xml:space="preserve"> - Meningococcal
</t>
    </r>
    <r>
      <rPr>
        <b/>
        <sz val="11"/>
        <color theme="1"/>
        <rFont val="Calibri"/>
        <family val="2"/>
        <scheme val="minor"/>
      </rPr>
      <t>Mumps</t>
    </r>
    <r>
      <rPr>
        <sz val="11"/>
        <color theme="1"/>
        <rFont val="Calibri"/>
        <family val="2"/>
        <scheme val="minor"/>
      </rPr>
      <t xml:space="preserve"> - Mumps
</t>
    </r>
    <r>
      <rPr>
        <b/>
        <sz val="11"/>
        <color theme="1"/>
        <rFont val="Calibri"/>
        <family val="2"/>
        <scheme val="minor"/>
      </rPr>
      <t>Pertussis</t>
    </r>
    <r>
      <rPr>
        <sz val="11"/>
        <color theme="1"/>
        <rFont val="Calibri"/>
        <family val="2"/>
        <scheme val="minor"/>
      </rPr>
      <t xml:space="preserve"> - Pertussis (Whooping Cough)
</t>
    </r>
    <r>
      <rPr>
        <b/>
        <sz val="11"/>
        <color theme="1"/>
        <rFont val="Calibri"/>
        <family val="2"/>
        <scheme val="minor"/>
      </rPr>
      <t>Pneumococcal</t>
    </r>
    <r>
      <rPr>
        <sz val="11"/>
        <color theme="1"/>
        <rFont val="Calibri"/>
        <family val="2"/>
        <scheme val="minor"/>
      </rPr>
      <t xml:space="preserve"> - Pneumococcal
</t>
    </r>
    <r>
      <rPr>
        <b/>
        <sz val="11"/>
        <color theme="1"/>
        <rFont val="Calibri"/>
        <family val="2"/>
        <scheme val="minor"/>
      </rPr>
      <t>RhImmuneGlobulin</t>
    </r>
    <r>
      <rPr>
        <sz val="11"/>
        <color theme="1"/>
        <rFont val="Calibri"/>
        <family val="2"/>
        <scheme val="minor"/>
      </rPr>
      <t xml:space="preserve"> - Rh. Immune Globulin
</t>
    </r>
    <r>
      <rPr>
        <b/>
        <sz val="11"/>
        <color theme="1"/>
        <rFont val="Calibri"/>
        <family val="2"/>
        <scheme val="minor"/>
      </rPr>
      <t>Rotavirus</t>
    </r>
    <r>
      <rPr>
        <sz val="11"/>
        <color theme="1"/>
        <rFont val="Calibri"/>
        <family val="2"/>
        <scheme val="minor"/>
      </rPr>
      <t xml:space="preserve"> - Rotavirus
</t>
    </r>
    <r>
      <rPr>
        <b/>
        <sz val="11"/>
        <color theme="1"/>
        <rFont val="Calibri"/>
        <family val="2"/>
        <scheme val="minor"/>
      </rPr>
      <t>Rubella</t>
    </r>
    <r>
      <rPr>
        <sz val="11"/>
        <color theme="1"/>
        <rFont val="Calibri"/>
        <family val="2"/>
        <scheme val="minor"/>
      </rPr>
      <t xml:space="preserve"> - Rubella (German measles)
</t>
    </r>
    <r>
      <rPr>
        <b/>
        <sz val="11"/>
        <color theme="1"/>
        <rFont val="Calibri"/>
        <family val="2"/>
        <scheme val="minor"/>
      </rPr>
      <t>Rubeola</t>
    </r>
    <r>
      <rPr>
        <sz val="11"/>
        <color theme="1"/>
        <rFont val="Calibri"/>
        <family val="2"/>
        <scheme val="minor"/>
      </rPr>
      <t xml:space="preserve"> - Rubeola (Measles)
</t>
    </r>
    <r>
      <rPr>
        <b/>
        <sz val="11"/>
        <color theme="1"/>
        <rFont val="Calibri"/>
        <family val="2"/>
        <scheme val="minor"/>
      </rPr>
      <t>Smallpox</t>
    </r>
    <r>
      <rPr>
        <sz val="11"/>
        <color theme="1"/>
        <rFont val="Calibri"/>
        <family val="2"/>
        <scheme val="minor"/>
      </rPr>
      <t xml:space="preserve"> - Smallpox
</t>
    </r>
    <r>
      <rPr>
        <b/>
        <sz val="11"/>
        <color theme="1"/>
        <rFont val="Calibri"/>
        <family val="2"/>
        <scheme val="minor"/>
      </rPr>
      <t>Tetanus</t>
    </r>
    <r>
      <rPr>
        <sz val="11"/>
        <color theme="1"/>
        <rFont val="Calibri"/>
        <family val="2"/>
        <scheme val="minor"/>
      </rPr>
      <t xml:space="preserve"> - Tetanus
</t>
    </r>
    <r>
      <rPr>
        <b/>
        <sz val="11"/>
        <color theme="1"/>
        <rFont val="Calibri"/>
        <family val="2"/>
        <scheme val="minor"/>
      </rPr>
      <t>Tuberculosis</t>
    </r>
    <r>
      <rPr>
        <sz val="11"/>
        <color theme="1"/>
        <rFont val="Calibri"/>
        <family val="2"/>
        <scheme val="minor"/>
      </rPr>
      <t xml:space="preserve"> - Tuberculosis (BCG)
</t>
    </r>
    <r>
      <rPr>
        <b/>
        <sz val="11"/>
        <color theme="1"/>
        <rFont val="Calibri"/>
        <family val="2"/>
        <scheme val="minor"/>
      </rPr>
      <t>Varicella</t>
    </r>
    <r>
      <rPr>
        <sz val="11"/>
        <color theme="1"/>
        <rFont val="Calibri"/>
        <family val="2"/>
        <scheme val="minor"/>
      </rPr>
      <t xml:space="preserve"> - Varicella
</t>
    </r>
    <r>
      <rPr>
        <b/>
        <sz val="11"/>
        <color theme="1"/>
        <rFont val="Calibri"/>
        <family val="2"/>
        <scheme val="minor"/>
      </rPr>
      <t>ParentOptOut</t>
    </r>
    <r>
      <rPr>
        <sz val="11"/>
        <color theme="1"/>
        <rFont val="Calibri"/>
        <family val="2"/>
        <scheme val="minor"/>
      </rPr>
      <t xml:space="preserve"> - Parent opt-out
</t>
    </r>
  </si>
  <si>
    <r>
      <t>04618</t>
    </r>
    <r>
      <rPr>
        <sz val="11"/>
        <color theme="1"/>
        <rFont val="Calibri"/>
        <family val="2"/>
        <scheme val="minor"/>
      </rPr>
      <t xml:space="preserve"> - Alcohol
</t>
    </r>
    <r>
      <rPr>
        <b/>
        <sz val="11"/>
        <color theme="1"/>
        <rFont val="Calibri"/>
        <family val="2"/>
        <scheme val="minor"/>
      </rPr>
      <t>04625</t>
    </r>
    <r>
      <rPr>
        <sz val="11"/>
        <color theme="1"/>
        <rFont val="Calibri"/>
        <family val="2"/>
        <scheme val="minor"/>
      </rPr>
      <t xml:space="preserve"> - Arson
</t>
    </r>
    <r>
      <rPr>
        <b/>
        <sz val="11"/>
        <color theme="1"/>
        <rFont val="Calibri"/>
        <family val="2"/>
        <scheme val="minor"/>
      </rPr>
      <t>04626</t>
    </r>
    <r>
      <rPr>
        <sz val="11"/>
        <color theme="1"/>
        <rFont val="Calibri"/>
        <family val="2"/>
        <scheme val="minor"/>
      </rPr>
      <t xml:space="preserve"> - Attendance Policy Violation
</t>
    </r>
    <r>
      <rPr>
        <b/>
        <sz val="11"/>
        <color theme="1"/>
        <rFont val="Calibri"/>
        <family val="2"/>
        <scheme val="minor"/>
      </rPr>
      <t>04632</t>
    </r>
    <r>
      <rPr>
        <sz val="11"/>
        <color theme="1"/>
        <rFont val="Calibri"/>
        <family val="2"/>
        <scheme val="minor"/>
      </rPr>
      <t xml:space="preserve"> - Battery
</t>
    </r>
    <r>
      <rPr>
        <b/>
        <sz val="11"/>
        <color theme="1"/>
        <rFont val="Calibri"/>
        <family val="2"/>
        <scheme val="minor"/>
      </rPr>
      <t>04633</t>
    </r>
    <r>
      <rPr>
        <sz val="11"/>
        <color theme="1"/>
        <rFont val="Calibri"/>
        <family val="2"/>
        <scheme val="minor"/>
      </rPr>
      <t xml:space="preserve"> - Burglary/Breaking and Entering
</t>
    </r>
    <r>
      <rPr>
        <b/>
        <sz val="11"/>
        <color theme="1"/>
        <rFont val="Calibri"/>
        <family val="2"/>
        <scheme val="minor"/>
      </rPr>
      <t>04634</t>
    </r>
    <r>
      <rPr>
        <sz val="11"/>
        <color theme="1"/>
        <rFont val="Calibri"/>
        <family val="2"/>
        <scheme val="minor"/>
      </rPr>
      <t xml:space="preserve"> - Disorderly Conduct
</t>
    </r>
    <r>
      <rPr>
        <b/>
        <sz val="11"/>
        <color theme="1"/>
        <rFont val="Calibri"/>
        <family val="2"/>
        <scheme val="minor"/>
      </rPr>
      <t>04635</t>
    </r>
    <r>
      <rPr>
        <sz val="11"/>
        <color theme="1"/>
        <rFont val="Calibri"/>
        <family val="2"/>
        <scheme val="minor"/>
      </rPr>
      <t xml:space="preserve"> - Drugs Excluding Alcohol and Tobacco
</t>
    </r>
    <r>
      <rPr>
        <b/>
        <sz val="11"/>
        <color theme="1"/>
        <rFont val="Calibri"/>
        <family val="2"/>
        <scheme val="minor"/>
      </rPr>
      <t>04645</t>
    </r>
    <r>
      <rPr>
        <sz val="11"/>
        <color theme="1"/>
        <rFont val="Calibri"/>
        <family val="2"/>
        <scheme val="minor"/>
      </rPr>
      <t xml:space="preserve"> - Fighting
</t>
    </r>
    <r>
      <rPr>
        <b/>
        <sz val="11"/>
        <color theme="1"/>
        <rFont val="Calibri"/>
        <family val="2"/>
        <scheme val="minor"/>
      </rPr>
      <t>13354</t>
    </r>
    <r>
      <rPr>
        <sz val="11"/>
        <color theme="1"/>
        <rFont val="Calibri"/>
        <family val="2"/>
        <scheme val="minor"/>
      </rPr>
      <t xml:space="preserve"> - Harassment or bullying on the basis of disability
</t>
    </r>
    <r>
      <rPr>
        <b/>
        <sz val="11"/>
        <color theme="1"/>
        <rFont val="Calibri"/>
        <family val="2"/>
        <scheme val="minor"/>
      </rPr>
      <t>13355</t>
    </r>
    <r>
      <rPr>
        <sz val="11"/>
        <color theme="1"/>
        <rFont val="Calibri"/>
        <family val="2"/>
        <scheme val="minor"/>
      </rPr>
      <t xml:space="preserve"> - Harassment or bullying on the basis of race, color, or national origin
</t>
    </r>
    <r>
      <rPr>
        <b/>
        <sz val="11"/>
        <color theme="1"/>
        <rFont val="Calibri"/>
        <family val="2"/>
        <scheme val="minor"/>
      </rPr>
      <t>13356</t>
    </r>
    <r>
      <rPr>
        <sz val="11"/>
        <color theme="1"/>
        <rFont val="Calibri"/>
        <family val="2"/>
        <scheme val="minor"/>
      </rPr>
      <t xml:space="preserve"> - Harassment or bullying on the basis of sex
</t>
    </r>
    <r>
      <rPr>
        <b/>
        <sz val="11"/>
        <color theme="1"/>
        <rFont val="Calibri"/>
        <family val="2"/>
        <scheme val="minor"/>
      </rPr>
      <t>04646</t>
    </r>
    <r>
      <rPr>
        <sz val="11"/>
        <color theme="1"/>
        <rFont val="Calibri"/>
        <family val="2"/>
        <scheme val="minor"/>
      </rPr>
      <t xml:space="preserve"> - Harassment, Nonsexual
</t>
    </r>
    <r>
      <rPr>
        <b/>
        <sz val="11"/>
        <color theme="1"/>
        <rFont val="Calibri"/>
        <family val="2"/>
        <scheme val="minor"/>
      </rPr>
      <t>04650</t>
    </r>
    <r>
      <rPr>
        <sz val="11"/>
        <color theme="1"/>
        <rFont val="Calibri"/>
        <family val="2"/>
        <scheme val="minor"/>
      </rPr>
      <t xml:space="preserve"> - Harassment, Sexual
</t>
    </r>
    <r>
      <rPr>
        <b/>
        <sz val="11"/>
        <color theme="1"/>
        <rFont val="Calibri"/>
        <family val="2"/>
        <scheme val="minor"/>
      </rPr>
      <t>04651</t>
    </r>
    <r>
      <rPr>
        <sz val="11"/>
        <color theme="1"/>
        <rFont val="Calibri"/>
        <family val="2"/>
        <scheme val="minor"/>
      </rPr>
      <t xml:space="preserve"> - Homicide
</t>
    </r>
    <r>
      <rPr>
        <b/>
        <sz val="11"/>
        <color theme="1"/>
        <rFont val="Calibri"/>
        <family val="2"/>
        <scheme val="minor"/>
      </rPr>
      <t>04652</t>
    </r>
    <r>
      <rPr>
        <sz val="11"/>
        <color theme="1"/>
        <rFont val="Calibri"/>
        <family val="2"/>
        <scheme val="minor"/>
      </rPr>
      <t xml:space="preserve"> - Inappropriate Use of Medication
</t>
    </r>
    <r>
      <rPr>
        <b/>
        <sz val="11"/>
        <color theme="1"/>
        <rFont val="Calibri"/>
        <family val="2"/>
        <scheme val="minor"/>
      </rPr>
      <t>04659</t>
    </r>
    <r>
      <rPr>
        <sz val="11"/>
        <color theme="1"/>
        <rFont val="Calibri"/>
        <family val="2"/>
        <scheme val="minor"/>
      </rPr>
      <t xml:space="preserve"> - Insubordination
</t>
    </r>
    <r>
      <rPr>
        <b/>
        <sz val="11"/>
        <color theme="1"/>
        <rFont val="Calibri"/>
        <family val="2"/>
        <scheme val="minor"/>
      </rPr>
      <t>04660</t>
    </r>
    <r>
      <rPr>
        <sz val="11"/>
        <color theme="1"/>
        <rFont val="Calibri"/>
        <family val="2"/>
        <scheme val="minor"/>
      </rPr>
      <t xml:space="preserve"> - Kidnapping
</t>
    </r>
    <r>
      <rPr>
        <b/>
        <sz val="11"/>
        <color theme="1"/>
        <rFont val="Calibri"/>
        <family val="2"/>
        <scheme val="minor"/>
      </rPr>
      <t>04661</t>
    </r>
    <r>
      <rPr>
        <sz val="11"/>
        <color theme="1"/>
        <rFont val="Calibri"/>
        <family val="2"/>
        <scheme val="minor"/>
      </rPr>
      <t xml:space="preserve"> - Obscene Behavior
</t>
    </r>
    <r>
      <rPr>
        <b/>
        <sz val="11"/>
        <color theme="1"/>
        <rFont val="Calibri"/>
        <family val="2"/>
        <scheme val="minor"/>
      </rPr>
      <t>04669</t>
    </r>
    <r>
      <rPr>
        <sz val="11"/>
        <color theme="1"/>
        <rFont val="Calibri"/>
        <family val="2"/>
        <scheme val="minor"/>
      </rPr>
      <t xml:space="preserve"> - Physical Altercation, Minor
</t>
    </r>
    <r>
      <rPr>
        <b/>
        <sz val="11"/>
        <color theme="1"/>
        <rFont val="Calibri"/>
        <family val="2"/>
        <scheme val="minor"/>
      </rPr>
      <t>04670</t>
    </r>
    <r>
      <rPr>
        <sz val="11"/>
        <color theme="1"/>
        <rFont val="Calibri"/>
        <family val="2"/>
        <scheme val="minor"/>
      </rPr>
      <t xml:space="preserve"> - Robbery
</t>
    </r>
    <r>
      <rPr>
        <b/>
        <sz val="11"/>
        <color theme="1"/>
        <rFont val="Calibri"/>
        <family val="2"/>
        <scheme val="minor"/>
      </rPr>
      <t>04671</t>
    </r>
    <r>
      <rPr>
        <sz val="11"/>
        <color theme="1"/>
        <rFont val="Calibri"/>
        <family val="2"/>
        <scheme val="minor"/>
      </rPr>
      <t xml:space="preserve"> - School Threat
</t>
    </r>
    <r>
      <rPr>
        <b/>
        <sz val="11"/>
        <color theme="1"/>
        <rFont val="Calibri"/>
        <family val="2"/>
        <scheme val="minor"/>
      </rPr>
      <t>04677</t>
    </r>
    <r>
      <rPr>
        <sz val="11"/>
        <color theme="1"/>
        <rFont val="Calibri"/>
        <family val="2"/>
        <scheme val="minor"/>
      </rPr>
      <t xml:space="preserve"> - Sexual Battery (sexual assault)
</t>
    </r>
    <r>
      <rPr>
        <b/>
        <sz val="11"/>
        <color theme="1"/>
        <rFont val="Calibri"/>
        <family val="2"/>
        <scheme val="minor"/>
      </rPr>
      <t>04678</t>
    </r>
    <r>
      <rPr>
        <sz val="11"/>
        <color theme="1"/>
        <rFont val="Calibri"/>
        <family val="2"/>
        <scheme val="minor"/>
      </rPr>
      <t xml:space="preserve"> - Sexual Offenses, Other (lewd behavior, indecent exposure)
</t>
    </r>
    <r>
      <rPr>
        <b/>
        <sz val="11"/>
        <color theme="1"/>
        <rFont val="Calibri"/>
        <family val="2"/>
        <scheme val="minor"/>
      </rPr>
      <t>04682</t>
    </r>
    <r>
      <rPr>
        <sz val="11"/>
        <color theme="1"/>
        <rFont val="Calibri"/>
        <family val="2"/>
        <scheme val="minor"/>
      </rPr>
      <t xml:space="preserve"> - Theft
</t>
    </r>
    <r>
      <rPr>
        <b/>
        <sz val="11"/>
        <color theme="1"/>
        <rFont val="Calibri"/>
        <family val="2"/>
        <scheme val="minor"/>
      </rPr>
      <t>04686</t>
    </r>
    <r>
      <rPr>
        <sz val="11"/>
        <color theme="1"/>
        <rFont val="Calibri"/>
        <family val="2"/>
        <scheme val="minor"/>
      </rPr>
      <t xml:space="preserve"> - Threat/Intimidation
</t>
    </r>
    <r>
      <rPr>
        <b/>
        <sz val="11"/>
        <color theme="1"/>
        <rFont val="Calibri"/>
        <family val="2"/>
        <scheme val="minor"/>
      </rPr>
      <t>04692</t>
    </r>
    <r>
      <rPr>
        <sz val="11"/>
        <color theme="1"/>
        <rFont val="Calibri"/>
        <family val="2"/>
        <scheme val="minor"/>
      </rPr>
      <t xml:space="preserve"> - Tobacco Possession or Use
</t>
    </r>
    <r>
      <rPr>
        <b/>
        <sz val="11"/>
        <color theme="1"/>
        <rFont val="Calibri"/>
        <family val="2"/>
        <scheme val="minor"/>
      </rPr>
      <t>04699</t>
    </r>
    <r>
      <rPr>
        <sz val="11"/>
        <color theme="1"/>
        <rFont val="Calibri"/>
        <family val="2"/>
        <scheme val="minor"/>
      </rPr>
      <t xml:space="preserve"> - Trespassing
</t>
    </r>
    <r>
      <rPr>
        <b/>
        <sz val="11"/>
        <color theme="1"/>
        <rFont val="Calibri"/>
        <family val="2"/>
        <scheme val="minor"/>
      </rPr>
      <t>04700</t>
    </r>
    <r>
      <rPr>
        <sz val="11"/>
        <color theme="1"/>
        <rFont val="Calibri"/>
        <family val="2"/>
        <scheme val="minor"/>
      </rPr>
      <t xml:space="preserve"> - Vandalism
</t>
    </r>
    <r>
      <rPr>
        <b/>
        <sz val="11"/>
        <color theme="1"/>
        <rFont val="Calibri"/>
        <family val="2"/>
        <scheme val="minor"/>
      </rPr>
      <t>04704</t>
    </r>
    <r>
      <rPr>
        <sz val="11"/>
        <color theme="1"/>
        <rFont val="Calibri"/>
        <family val="2"/>
        <scheme val="minor"/>
      </rPr>
      <t xml:space="preserve"> - Violation of School Rules
</t>
    </r>
    <r>
      <rPr>
        <b/>
        <sz val="11"/>
        <color theme="1"/>
        <rFont val="Calibri"/>
        <family val="2"/>
        <scheme val="minor"/>
      </rPr>
      <t>04705</t>
    </r>
    <r>
      <rPr>
        <sz val="11"/>
        <color theme="1"/>
        <rFont val="Calibri"/>
        <family val="2"/>
        <scheme val="minor"/>
      </rPr>
      <t xml:space="preserve"> - Weapons Possession
</t>
    </r>
  </si>
  <si>
    <r>
      <t>MajorInjury</t>
    </r>
    <r>
      <rPr>
        <sz val="11"/>
        <color theme="1"/>
        <rFont val="Calibri"/>
        <family val="2"/>
        <scheme val="minor"/>
      </rPr>
      <t xml:space="preserve"> - Major injury
</t>
    </r>
    <r>
      <rPr>
        <b/>
        <sz val="11"/>
        <color theme="1"/>
        <rFont val="Calibri"/>
        <family val="2"/>
        <scheme val="minor"/>
      </rPr>
      <t>MinorInjury</t>
    </r>
    <r>
      <rPr>
        <sz val="11"/>
        <color theme="1"/>
        <rFont val="Calibri"/>
        <family val="2"/>
        <scheme val="minor"/>
      </rPr>
      <t xml:space="preserve"> - Minor injury
</t>
    </r>
    <r>
      <rPr>
        <b/>
        <sz val="11"/>
        <color theme="1"/>
        <rFont val="Calibri"/>
        <family val="2"/>
        <scheme val="minor"/>
      </rPr>
      <t>NoInjury</t>
    </r>
    <r>
      <rPr>
        <sz val="11"/>
        <color theme="1"/>
        <rFont val="Calibri"/>
        <family val="2"/>
        <scheme val="minor"/>
      </rPr>
      <t xml:space="preserve"> - No injury
</t>
    </r>
    <r>
      <rPr>
        <b/>
        <sz val="11"/>
        <color theme="1"/>
        <rFont val="Calibri"/>
        <family val="2"/>
        <scheme val="minor"/>
      </rPr>
      <t>SeriousBodilyInjury</t>
    </r>
    <r>
      <rPr>
        <sz val="11"/>
        <color theme="1"/>
        <rFont val="Calibri"/>
        <family val="2"/>
        <scheme val="minor"/>
      </rPr>
      <t xml:space="preserve"> - Serious bodily injury
</t>
    </r>
    <r>
      <rPr>
        <b/>
        <sz val="11"/>
        <color theme="1"/>
        <rFont val="Calibri"/>
        <family val="2"/>
        <scheme val="minor"/>
      </rPr>
      <t>FatalInjury</t>
    </r>
    <r>
      <rPr>
        <sz val="11"/>
        <color theme="1"/>
        <rFont val="Calibri"/>
        <family val="2"/>
        <scheme val="minor"/>
      </rPr>
      <t xml:space="preserve"> - Fatal injury
</t>
    </r>
  </si>
  <si>
    <r>
      <t>03011</t>
    </r>
    <r>
      <rPr>
        <sz val="11"/>
        <color theme="1"/>
        <rFont val="Calibri"/>
        <family val="2"/>
        <scheme val="minor"/>
      </rPr>
      <t xml:space="preserve"> - On campus
</t>
    </r>
    <r>
      <rPr>
        <b/>
        <sz val="11"/>
        <color theme="1"/>
        <rFont val="Calibri"/>
        <family val="2"/>
        <scheme val="minor"/>
      </rPr>
      <t>03012</t>
    </r>
    <r>
      <rPr>
        <sz val="11"/>
        <color theme="1"/>
        <rFont val="Calibri"/>
        <family val="2"/>
        <scheme val="minor"/>
      </rPr>
      <t xml:space="preserve"> - Administrative offices area
</t>
    </r>
    <r>
      <rPr>
        <b/>
        <sz val="11"/>
        <color theme="1"/>
        <rFont val="Calibri"/>
        <family val="2"/>
        <scheme val="minor"/>
      </rPr>
      <t>03013</t>
    </r>
    <r>
      <rPr>
        <sz val="11"/>
        <color theme="1"/>
        <rFont val="Calibri"/>
        <family val="2"/>
        <scheme val="minor"/>
      </rPr>
      <t xml:space="preserve"> - Cafeteria area
</t>
    </r>
    <r>
      <rPr>
        <b/>
        <sz val="11"/>
        <color theme="1"/>
        <rFont val="Calibri"/>
        <family val="2"/>
        <scheme val="minor"/>
      </rPr>
      <t>03014</t>
    </r>
    <r>
      <rPr>
        <sz val="11"/>
        <color theme="1"/>
        <rFont val="Calibri"/>
        <family val="2"/>
        <scheme val="minor"/>
      </rPr>
      <t xml:space="preserve"> - Classroom
</t>
    </r>
    <r>
      <rPr>
        <b/>
        <sz val="11"/>
        <color theme="1"/>
        <rFont val="Calibri"/>
        <family val="2"/>
        <scheme val="minor"/>
      </rPr>
      <t>03015</t>
    </r>
    <r>
      <rPr>
        <sz val="11"/>
        <color theme="1"/>
        <rFont val="Calibri"/>
        <family val="2"/>
        <scheme val="minor"/>
      </rPr>
      <t xml:space="preserve"> - Hallway or stairs
</t>
    </r>
    <r>
      <rPr>
        <b/>
        <sz val="11"/>
        <color theme="1"/>
        <rFont val="Calibri"/>
        <family val="2"/>
        <scheme val="minor"/>
      </rPr>
      <t>03016</t>
    </r>
    <r>
      <rPr>
        <sz val="11"/>
        <color theme="1"/>
        <rFont val="Calibri"/>
        <family val="2"/>
        <scheme val="minor"/>
      </rPr>
      <t xml:space="preserve"> - Locker room or gym areas
</t>
    </r>
    <r>
      <rPr>
        <b/>
        <sz val="11"/>
        <color theme="1"/>
        <rFont val="Calibri"/>
        <family val="2"/>
        <scheme val="minor"/>
      </rPr>
      <t>03017</t>
    </r>
    <r>
      <rPr>
        <sz val="11"/>
        <color theme="1"/>
        <rFont val="Calibri"/>
        <family val="2"/>
        <scheme val="minor"/>
      </rPr>
      <t xml:space="preserve"> - Restroom
</t>
    </r>
    <r>
      <rPr>
        <b/>
        <sz val="11"/>
        <color theme="1"/>
        <rFont val="Calibri"/>
        <family val="2"/>
        <scheme val="minor"/>
      </rPr>
      <t>03018</t>
    </r>
    <r>
      <rPr>
        <sz val="11"/>
        <color theme="1"/>
        <rFont val="Calibri"/>
        <family val="2"/>
        <scheme val="minor"/>
      </rPr>
      <t xml:space="preserve"> - Library/media center
</t>
    </r>
    <r>
      <rPr>
        <b/>
        <sz val="11"/>
        <color theme="1"/>
        <rFont val="Calibri"/>
        <family val="2"/>
        <scheme val="minor"/>
      </rPr>
      <t>03019</t>
    </r>
    <r>
      <rPr>
        <sz val="11"/>
        <color theme="1"/>
        <rFont val="Calibri"/>
        <family val="2"/>
        <scheme val="minor"/>
      </rPr>
      <t xml:space="preserve"> - Computer lab
</t>
    </r>
    <r>
      <rPr>
        <b/>
        <sz val="11"/>
        <color theme="1"/>
        <rFont val="Calibri"/>
        <family val="2"/>
        <scheme val="minor"/>
      </rPr>
      <t>03020</t>
    </r>
    <r>
      <rPr>
        <sz val="11"/>
        <color theme="1"/>
        <rFont val="Calibri"/>
        <family val="2"/>
        <scheme val="minor"/>
      </rPr>
      <t xml:space="preserve"> - Auditorium
</t>
    </r>
    <r>
      <rPr>
        <b/>
        <sz val="11"/>
        <color theme="1"/>
        <rFont val="Calibri"/>
        <family val="2"/>
        <scheme val="minor"/>
      </rPr>
      <t>03021</t>
    </r>
    <r>
      <rPr>
        <sz val="11"/>
        <color theme="1"/>
        <rFont val="Calibri"/>
        <family val="2"/>
        <scheme val="minor"/>
      </rPr>
      <t xml:space="preserve"> - On-campus other inside area
</t>
    </r>
    <r>
      <rPr>
        <b/>
        <sz val="11"/>
        <color theme="1"/>
        <rFont val="Calibri"/>
        <family val="2"/>
        <scheme val="minor"/>
      </rPr>
      <t>03022</t>
    </r>
    <r>
      <rPr>
        <sz val="11"/>
        <color theme="1"/>
        <rFont val="Calibri"/>
        <family val="2"/>
        <scheme val="minor"/>
      </rPr>
      <t xml:space="preserve"> - Athletic field or playground
</t>
    </r>
    <r>
      <rPr>
        <b/>
        <sz val="11"/>
        <color theme="1"/>
        <rFont val="Calibri"/>
        <family val="2"/>
        <scheme val="minor"/>
      </rPr>
      <t>03023</t>
    </r>
    <r>
      <rPr>
        <sz val="11"/>
        <color theme="1"/>
        <rFont val="Calibri"/>
        <family val="2"/>
        <scheme val="minor"/>
      </rPr>
      <t xml:space="preserve"> - Stadium
</t>
    </r>
    <r>
      <rPr>
        <b/>
        <sz val="11"/>
        <color theme="1"/>
        <rFont val="Calibri"/>
        <family val="2"/>
        <scheme val="minor"/>
      </rPr>
      <t>03024</t>
    </r>
    <r>
      <rPr>
        <sz val="11"/>
        <color theme="1"/>
        <rFont val="Calibri"/>
        <family val="2"/>
        <scheme val="minor"/>
      </rPr>
      <t xml:space="preserve"> - Parking lot
</t>
    </r>
    <r>
      <rPr>
        <b/>
        <sz val="11"/>
        <color theme="1"/>
        <rFont val="Calibri"/>
        <family val="2"/>
        <scheme val="minor"/>
      </rPr>
      <t>03025</t>
    </r>
    <r>
      <rPr>
        <sz val="11"/>
        <color theme="1"/>
        <rFont val="Calibri"/>
        <family val="2"/>
        <scheme val="minor"/>
      </rPr>
      <t xml:space="preserve"> - On-campus other outside area
</t>
    </r>
    <r>
      <rPr>
        <b/>
        <sz val="11"/>
        <color theme="1"/>
        <rFont val="Calibri"/>
        <family val="2"/>
        <scheme val="minor"/>
      </rPr>
      <t>03026</t>
    </r>
    <r>
      <rPr>
        <sz val="11"/>
        <color theme="1"/>
        <rFont val="Calibri"/>
        <family val="2"/>
        <scheme val="minor"/>
      </rPr>
      <t xml:space="preserve"> - Off campus
</t>
    </r>
    <r>
      <rPr>
        <b/>
        <sz val="11"/>
        <color theme="1"/>
        <rFont val="Calibri"/>
        <family val="2"/>
        <scheme val="minor"/>
      </rPr>
      <t>03027</t>
    </r>
    <r>
      <rPr>
        <sz val="11"/>
        <color theme="1"/>
        <rFont val="Calibri"/>
        <family val="2"/>
        <scheme val="minor"/>
      </rPr>
      <t xml:space="preserve"> - Bus stop
</t>
    </r>
    <r>
      <rPr>
        <b/>
        <sz val="11"/>
        <color theme="1"/>
        <rFont val="Calibri"/>
        <family val="2"/>
        <scheme val="minor"/>
      </rPr>
      <t>03028</t>
    </r>
    <r>
      <rPr>
        <sz val="11"/>
        <color theme="1"/>
        <rFont val="Calibri"/>
        <family val="2"/>
        <scheme val="minor"/>
      </rPr>
      <t xml:space="preserve"> - School bus
</t>
    </r>
    <r>
      <rPr>
        <b/>
        <sz val="11"/>
        <color theme="1"/>
        <rFont val="Calibri"/>
        <family val="2"/>
        <scheme val="minor"/>
      </rPr>
      <t>03029</t>
    </r>
    <r>
      <rPr>
        <sz val="11"/>
        <color theme="1"/>
        <rFont val="Calibri"/>
        <family val="2"/>
        <scheme val="minor"/>
      </rPr>
      <t xml:space="preserve"> - Walking to or from school
</t>
    </r>
    <r>
      <rPr>
        <b/>
        <sz val="11"/>
        <color theme="1"/>
        <rFont val="Calibri"/>
        <family val="2"/>
        <scheme val="minor"/>
      </rPr>
      <t>03030</t>
    </r>
    <r>
      <rPr>
        <sz val="11"/>
        <color theme="1"/>
        <rFont val="Calibri"/>
        <family val="2"/>
        <scheme val="minor"/>
      </rPr>
      <t xml:space="preserve"> - Off-campus at other school
</t>
    </r>
    <r>
      <rPr>
        <b/>
        <sz val="11"/>
        <color theme="1"/>
        <rFont val="Calibri"/>
        <family val="2"/>
        <scheme val="minor"/>
      </rPr>
      <t>03031</t>
    </r>
    <r>
      <rPr>
        <sz val="11"/>
        <color theme="1"/>
        <rFont val="Calibri"/>
        <family val="2"/>
        <scheme val="minor"/>
      </rPr>
      <t xml:space="preserve"> - Off-campus at other school district facility
</t>
    </r>
    <r>
      <rPr>
        <b/>
        <sz val="11"/>
        <color theme="1"/>
        <rFont val="Calibri"/>
        <family val="2"/>
        <scheme val="minor"/>
      </rPr>
      <t>03413</t>
    </r>
    <r>
      <rPr>
        <sz val="11"/>
        <color theme="1"/>
        <rFont val="Calibri"/>
        <family val="2"/>
        <scheme val="minor"/>
      </rPr>
      <t xml:space="preserve"> - Online
</t>
    </r>
    <r>
      <rPr>
        <b/>
        <sz val="11"/>
        <color theme="1"/>
        <rFont val="Calibri"/>
        <family val="2"/>
        <scheme val="minor"/>
      </rPr>
      <t>13773</t>
    </r>
    <r>
      <rPr>
        <sz val="11"/>
        <color theme="1"/>
        <rFont val="Calibri"/>
        <family val="2"/>
        <scheme val="minor"/>
      </rPr>
      <t xml:space="preserve"> - Off-campus at a school sponsored activity
</t>
    </r>
    <r>
      <rPr>
        <b/>
        <sz val="11"/>
        <color theme="1"/>
        <rFont val="Calibri"/>
        <family val="2"/>
        <scheme val="minor"/>
      </rPr>
      <t>13774</t>
    </r>
    <r>
      <rPr>
        <sz val="11"/>
        <color theme="1"/>
        <rFont val="Calibri"/>
        <family val="2"/>
        <scheme val="minor"/>
      </rPr>
      <t xml:space="preserve"> - Off-campus at another location unrelated to school
</t>
    </r>
    <r>
      <rPr>
        <b/>
        <sz val="11"/>
        <color theme="1"/>
        <rFont val="Calibri"/>
        <family val="2"/>
        <scheme val="minor"/>
      </rPr>
      <t>09997</t>
    </r>
    <r>
      <rPr>
        <sz val="11"/>
        <color theme="1"/>
        <rFont val="Calibri"/>
        <family val="2"/>
        <scheme val="minor"/>
      </rPr>
      <t xml:space="preserve"> - Unknown
</t>
    </r>
  </si>
  <si>
    <r>
      <t>03041</t>
    </r>
    <r>
      <rPr>
        <sz val="11"/>
        <color theme="1"/>
        <rFont val="Calibri"/>
        <family val="2"/>
        <scheme val="minor"/>
      </rPr>
      <t xml:space="preserve"> - Administrator
</t>
    </r>
    <r>
      <rPr>
        <b/>
        <sz val="11"/>
        <color theme="1"/>
        <rFont val="Calibri"/>
        <family val="2"/>
        <scheme val="minor"/>
      </rPr>
      <t>13342</t>
    </r>
    <r>
      <rPr>
        <sz val="11"/>
        <color theme="1"/>
        <rFont val="Calibri"/>
        <family val="2"/>
        <scheme val="minor"/>
      </rPr>
      <t xml:space="preserve"> - All Other Support Staff
</t>
    </r>
    <r>
      <rPr>
        <b/>
        <sz val="11"/>
        <color theme="1"/>
        <rFont val="Calibri"/>
        <family val="2"/>
        <scheme val="minor"/>
      </rPr>
      <t>04723</t>
    </r>
    <r>
      <rPr>
        <sz val="11"/>
        <color theme="1"/>
        <rFont val="Calibri"/>
        <family val="2"/>
        <scheme val="minor"/>
      </rPr>
      <t xml:space="preserve"> - Athletic coach
</t>
    </r>
    <r>
      <rPr>
        <b/>
        <sz val="11"/>
        <color theme="1"/>
        <rFont val="Calibri"/>
        <family val="2"/>
        <scheme val="minor"/>
      </rPr>
      <t>04708</t>
    </r>
    <r>
      <rPr>
        <sz val="11"/>
        <color theme="1"/>
        <rFont val="Calibri"/>
        <family val="2"/>
        <scheme val="minor"/>
      </rPr>
      <t xml:space="preserve"> - Board of education/school board/board of trustees member
</t>
    </r>
    <r>
      <rPr>
        <b/>
        <sz val="11"/>
        <color theme="1"/>
        <rFont val="Calibri"/>
        <family val="2"/>
        <scheme val="minor"/>
      </rPr>
      <t>04864</t>
    </r>
    <r>
      <rPr>
        <sz val="11"/>
        <color theme="1"/>
        <rFont val="Calibri"/>
        <family val="2"/>
        <scheme val="minor"/>
      </rPr>
      <t xml:space="preserve"> - Bus driver
</t>
    </r>
    <r>
      <rPr>
        <b/>
        <sz val="11"/>
        <color theme="1"/>
        <rFont val="Calibri"/>
        <family val="2"/>
        <scheme val="minor"/>
      </rPr>
      <t>04877</t>
    </r>
    <r>
      <rPr>
        <sz val="11"/>
        <color theme="1"/>
        <rFont val="Calibri"/>
        <family val="2"/>
        <scheme val="minor"/>
      </rPr>
      <t xml:space="preserve"> - Cook/food preparer (food service staff)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04878</t>
    </r>
    <r>
      <rPr>
        <sz val="11"/>
        <color theme="1"/>
        <rFont val="Calibri"/>
        <family val="2"/>
        <scheme val="minor"/>
      </rPr>
      <t xml:space="preserve"> - Custodian
</t>
    </r>
    <r>
      <rPr>
        <b/>
        <sz val="11"/>
        <color theme="1"/>
        <rFont val="Calibri"/>
        <family val="2"/>
        <scheme val="minor"/>
      </rPr>
      <t>04710</t>
    </r>
    <r>
      <rPr>
        <sz val="11"/>
        <color theme="1"/>
        <rFont val="Calibri"/>
        <family val="2"/>
        <scheme val="minor"/>
      </rPr>
      <t xml:space="preserve"> - Dean/dean of instructions/dean of students/dean of boys/dean of girls/dean of student activities
</t>
    </r>
    <r>
      <rPr>
        <b/>
        <sz val="11"/>
        <color theme="1"/>
        <rFont val="Calibri"/>
        <family val="2"/>
        <scheme val="minor"/>
      </rPr>
      <t>04712</t>
    </r>
    <r>
      <rPr>
        <sz val="11"/>
        <color theme="1"/>
        <rFont val="Calibri"/>
        <family val="2"/>
        <scheme val="minor"/>
      </rPr>
      <t xml:space="preserve"> - Deputy/associate/assistant superintendent/ commissioner
</t>
    </r>
    <r>
      <rPr>
        <b/>
        <sz val="11"/>
        <color theme="1"/>
        <rFont val="Calibri"/>
        <family val="2"/>
        <scheme val="minor"/>
      </rPr>
      <t>04711</t>
    </r>
    <r>
      <rPr>
        <sz val="11"/>
        <color theme="1"/>
        <rFont val="Calibri"/>
        <family val="2"/>
        <scheme val="minor"/>
      </rPr>
      <t xml:space="preserve"> - Deputy/associate/vice /assistant principal
</t>
    </r>
    <r>
      <rPr>
        <b/>
        <sz val="11"/>
        <color theme="1"/>
        <rFont val="Calibri"/>
        <family val="2"/>
        <scheme val="minor"/>
      </rPr>
      <t>03168</t>
    </r>
    <r>
      <rPr>
        <sz val="11"/>
        <color theme="1"/>
        <rFont val="Calibri"/>
        <family val="2"/>
        <scheme val="minor"/>
      </rPr>
      <t xml:space="preserve"> - Former student
</t>
    </r>
    <r>
      <rPr>
        <b/>
        <sz val="11"/>
        <color theme="1"/>
        <rFont val="Calibri"/>
        <family val="2"/>
        <scheme val="minor"/>
      </rPr>
      <t>03054</t>
    </r>
    <r>
      <rPr>
        <sz val="11"/>
        <color theme="1"/>
        <rFont val="Calibri"/>
        <family val="2"/>
        <scheme val="minor"/>
      </rPr>
      <t xml:space="preserve"> - Law enforcement officer
</t>
    </r>
    <r>
      <rPr>
        <b/>
        <sz val="11"/>
        <color theme="1"/>
        <rFont val="Calibri"/>
        <family val="2"/>
        <scheme val="minor"/>
      </rPr>
      <t>13335</t>
    </r>
    <r>
      <rPr>
        <sz val="11"/>
        <color theme="1"/>
        <rFont val="Calibri"/>
        <family val="2"/>
        <scheme val="minor"/>
      </rPr>
      <t xml:space="preserve"> - Librarians/Media Specialist
</t>
    </r>
    <r>
      <rPr>
        <b/>
        <sz val="11"/>
        <color theme="1"/>
        <rFont val="Calibri"/>
        <family val="2"/>
        <scheme val="minor"/>
      </rPr>
      <t>03055</t>
    </r>
    <r>
      <rPr>
        <sz val="11"/>
        <color theme="1"/>
        <rFont val="Calibri"/>
        <family val="2"/>
        <scheme val="minor"/>
      </rPr>
      <t xml:space="preserve"> - Municipal law enforcement officer assigned to the school
</t>
    </r>
    <r>
      <rPr>
        <b/>
        <sz val="11"/>
        <color theme="1"/>
        <rFont val="Calibri"/>
        <family val="2"/>
        <scheme val="minor"/>
      </rPr>
      <t>03056</t>
    </r>
    <r>
      <rPr>
        <sz val="11"/>
        <color theme="1"/>
        <rFont val="Calibri"/>
        <family val="2"/>
        <scheme val="minor"/>
      </rPr>
      <t xml:space="preserve"> - Municipal law enforcement officer not assigned to the school
</t>
    </r>
    <r>
      <rPr>
        <b/>
        <sz val="11"/>
        <color theme="1"/>
        <rFont val="Calibri"/>
        <family val="2"/>
        <scheme val="minor"/>
      </rPr>
      <t>03059</t>
    </r>
    <r>
      <rPr>
        <sz val="11"/>
        <color theme="1"/>
        <rFont val="Calibri"/>
        <family val="2"/>
        <scheme val="minor"/>
      </rPr>
      <t xml:space="preserve"> - Nonschool personnel
</t>
    </r>
    <r>
      <rPr>
        <b/>
        <sz val="11"/>
        <color theme="1"/>
        <rFont val="Calibri"/>
        <family val="2"/>
        <scheme val="minor"/>
      </rPr>
      <t>03061</t>
    </r>
    <r>
      <rPr>
        <sz val="11"/>
        <color theme="1"/>
        <rFont val="Calibri"/>
        <family val="2"/>
        <scheme val="minor"/>
      </rPr>
      <t xml:space="preserve"> - Other adult
</t>
    </r>
    <r>
      <rPr>
        <b/>
        <sz val="11"/>
        <color theme="1"/>
        <rFont val="Calibri"/>
        <family val="2"/>
        <scheme val="minor"/>
      </rPr>
      <t>03062</t>
    </r>
    <r>
      <rPr>
        <sz val="11"/>
        <color theme="1"/>
        <rFont val="Calibri"/>
        <family val="2"/>
        <scheme val="minor"/>
      </rPr>
      <t xml:space="preserve"> - Other nonstudent youth
</t>
    </r>
    <r>
      <rPr>
        <b/>
        <sz val="11"/>
        <color theme="1"/>
        <rFont val="Calibri"/>
        <family val="2"/>
        <scheme val="minor"/>
      </rPr>
      <t>13403</t>
    </r>
    <r>
      <rPr>
        <sz val="11"/>
        <color theme="1"/>
        <rFont val="Calibri"/>
        <family val="2"/>
        <scheme val="minor"/>
      </rPr>
      <t xml:space="preserve"> - Other Professional Staff
</t>
    </r>
    <r>
      <rPr>
        <b/>
        <sz val="11"/>
        <color theme="1"/>
        <rFont val="Calibri"/>
        <family val="2"/>
        <scheme val="minor"/>
      </rPr>
      <t>13333</t>
    </r>
    <r>
      <rPr>
        <sz val="11"/>
        <color theme="1"/>
        <rFont val="Calibri"/>
        <family val="2"/>
        <scheme val="minor"/>
      </rPr>
      <t xml:space="preserve"> - Paraprofessionals/Instructional Aide
</t>
    </r>
    <r>
      <rPr>
        <b/>
        <sz val="11"/>
        <color theme="1"/>
        <rFont val="Calibri"/>
        <family val="2"/>
        <scheme val="minor"/>
      </rPr>
      <t>00850</t>
    </r>
    <r>
      <rPr>
        <sz val="11"/>
        <color theme="1"/>
        <rFont val="Calibri"/>
        <family val="2"/>
        <scheme val="minor"/>
      </rPr>
      <t xml:space="preserve"> - Parent/guardian
</t>
    </r>
    <r>
      <rPr>
        <b/>
        <sz val="11"/>
        <color theme="1"/>
        <rFont val="Calibri"/>
        <family val="2"/>
        <scheme val="minor"/>
      </rPr>
      <t>04718</t>
    </r>
    <r>
      <rPr>
        <sz val="11"/>
        <color theme="1"/>
        <rFont val="Calibri"/>
        <family val="2"/>
        <scheme val="minor"/>
      </rPr>
      <t xml:space="preserve"> - Principal/headmaster/headmistress/head of school
</t>
    </r>
    <r>
      <rPr>
        <b/>
        <sz val="11"/>
        <color theme="1"/>
        <rFont val="Calibri"/>
        <family val="2"/>
        <scheme val="minor"/>
      </rPr>
      <t>03035</t>
    </r>
    <r>
      <rPr>
        <sz val="11"/>
        <color theme="1"/>
        <rFont val="Calibri"/>
        <family val="2"/>
        <scheme val="minor"/>
      </rPr>
      <t xml:space="preserve"> - Professional educational staff
</t>
    </r>
    <r>
      <rPr>
        <b/>
        <sz val="11"/>
        <color theme="1"/>
        <rFont val="Calibri"/>
        <family val="2"/>
        <scheme val="minor"/>
      </rPr>
      <t>04783</t>
    </r>
    <r>
      <rPr>
        <sz val="11"/>
        <color theme="1"/>
        <rFont val="Calibri"/>
        <family val="2"/>
        <scheme val="minor"/>
      </rPr>
      <t xml:space="preserve"> - Registered nurse
</t>
    </r>
    <r>
      <rPr>
        <b/>
        <sz val="11"/>
        <color theme="1"/>
        <rFont val="Calibri"/>
        <family val="2"/>
        <scheme val="minor"/>
      </rPr>
      <t>03060</t>
    </r>
    <r>
      <rPr>
        <sz val="11"/>
        <color theme="1"/>
        <rFont val="Calibri"/>
        <family val="2"/>
        <scheme val="minor"/>
      </rPr>
      <t xml:space="preserve"> - Representative of visiting school
</t>
    </r>
    <r>
      <rPr>
        <b/>
        <sz val="11"/>
        <color theme="1"/>
        <rFont val="Calibri"/>
        <family val="2"/>
        <scheme val="minor"/>
      </rPr>
      <t>13340</t>
    </r>
    <r>
      <rPr>
        <sz val="11"/>
        <color theme="1"/>
        <rFont val="Calibri"/>
        <family val="2"/>
        <scheme val="minor"/>
      </rPr>
      <t xml:space="preserve"> - School Administrative Support Staff
</t>
    </r>
    <r>
      <rPr>
        <b/>
        <sz val="11"/>
        <color theme="1"/>
        <rFont val="Calibri"/>
        <family val="2"/>
        <scheme val="minor"/>
      </rPr>
      <t>13334</t>
    </r>
    <r>
      <rPr>
        <sz val="11"/>
        <color theme="1"/>
        <rFont val="Calibri"/>
        <family val="2"/>
        <scheme val="minor"/>
      </rPr>
      <t xml:space="preserve"> - School Counselor
</t>
    </r>
    <r>
      <rPr>
        <b/>
        <sz val="11"/>
        <color theme="1"/>
        <rFont val="Calibri"/>
        <family val="2"/>
        <scheme val="minor"/>
      </rPr>
      <t>03057</t>
    </r>
    <r>
      <rPr>
        <sz val="11"/>
        <color theme="1"/>
        <rFont val="Calibri"/>
        <family val="2"/>
        <scheme val="minor"/>
      </rPr>
      <t xml:space="preserve"> - School district police officer assigned to the school
</t>
    </r>
    <r>
      <rPr>
        <b/>
        <sz val="11"/>
        <color theme="1"/>
        <rFont val="Calibri"/>
        <family val="2"/>
        <scheme val="minor"/>
      </rPr>
      <t>03058</t>
    </r>
    <r>
      <rPr>
        <sz val="11"/>
        <color theme="1"/>
        <rFont val="Calibri"/>
        <family val="2"/>
        <scheme val="minor"/>
      </rPr>
      <t xml:space="preserve"> - School district police officer not assigned to the school
</t>
    </r>
    <r>
      <rPr>
        <b/>
        <sz val="11"/>
        <color theme="1"/>
        <rFont val="Calibri"/>
        <family val="2"/>
        <scheme val="minor"/>
      </rPr>
      <t>04885</t>
    </r>
    <r>
      <rPr>
        <sz val="11"/>
        <color theme="1"/>
        <rFont val="Calibri"/>
        <family val="2"/>
        <scheme val="minor"/>
      </rPr>
      <t xml:space="preserve"> - Security guard
</t>
    </r>
    <r>
      <rPr>
        <b/>
        <sz val="11"/>
        <color theme="1"/>
        <rFont val="Calibri"/>
        <family val="2"/>
        <scheme val="minor"/>
      </rPr>
      <t>04788</t>
    </r>
    <r>
      <rPr>
        <sz val="11"/>
        <color theme="1"/>
        <rFont val="Calibri"/>
        <family val="2"/>
        <scheme val="minor"/>
      </rPr>
      <t xml:space="preserve"> - Social worker
</t>
    </r>
    <r>
      <rPr>
        <b/>
        <sz val="11"/>
        <color theme="1"/>
        <rFont val="Calibri"/>
        <family val="2"/>
        <scheme val="minor"/>
      </rPr>
      <t>03422</t>
    </r>
    <r>
      <rPr>
        <sz val="11"/>
        <color theme="1"/>
        <rFont val="Calibri"/>
        <family val="2"/>
        <scheme val="minor"/>
      </rPr>
      <t xml:space="preserve"> - Staff member
</t>
    </r>
    <r>
      <rPr>
        <b/>
        <sz val="11"/>
        <color theme="1"/>
        <rFont val="Calibri"/>
        <family val="2"/>
        <scheme val="minor"/>
      </rPr>
      <t>00126</t>
    </r>
    <r>
      <rPr>
        <sz val="11"/>
        <color theme="1"/>
        <rFont val="Calibri"/>
        <family val="2"/>
        <scheme val="minor"/>
      </rPr>
      <t xml:space="preserve"> - Student
</t>
    </r>
    <r>
      <rPr>
        <b/>
        <sz val="11"/>
        <color theme="1"/>
        <rFont val="Calibri"/>
        <family val="2"/>
        <scheme val="minor"/>
      </rPr>
      <t>04730</t>
    </r>
    <r>
      <rPr>
        <sz val="11"/>
        <color theme="1"/>
        <rFont val="Calibri"/>
        <family val="2"/>
        <scheme val="minor"/>
      </rPr>
      <t xml:space="preserve"> - Student activity advisor/non athletic coach
</t>
    </r>
    <r>
      <rPr>
        <b/>
        <sz val="11"/>
        <color theme="1"/>
        <rFont val="Calibri"/>
        <family val="2"/>
        <scheme val="minor"/>
      </rPr>
      <t>03033</t>
    </r>
    <r>
      <rPr>
        <sz val="11"/>
        <color theme="1"/>
        <rFont val="Calibri"/>
        <family val="2"/>
        <scheme val="minor"/>
      </rPr>
      <t xml:space="preserve"> - Student enrolled in another school
</t>
    </r>
    <r>
      <rPr>
        <b/>
        <sz val="11"/>
        <color theme="1"/>
        <rFont val="Calibri"/>
        <family val="2"/>
        <scheme val="minor"/>
      </rPr>
      <t>03032</t>
    </r>
    <r>
      <rPr>
        <sz val="11"/>
        <color theme="1"/>
        <rFont val="Calibri"/>
        <family val="2"/>
        <scheme val="minor"/>
      </rPr>
      <t xml:space="preserve"> - Student enrolled in the school where the incident occurred
</t>
    </r>
    <r>
      <rPr>
        <b/>
        <sz val="11"/>
        <color theme="1"/>
        <rFont val="Calibri"/>
        <family val="2"/>
        <scheme val="minor"/>
      </rPr>
      <t>03034</t>
    </r>
    <r>
      <rPr>
        <sz val="11"/>
        <color theme="1"/>
        <rFont val="Calibri"/>
        <family val="2"/>
        <scheme val="minor"/>
      </rPr>
      <t xml:space="preserve"> - Student expelled or involuntarily withdrawn
</t>
    </r>
    <r>
      <rPr>
        <b/>
        <sz val="11"/>
        <color theme="1"/>
        <rFont val="Calibri"/>
        <family val="2"/>
        <scheme val="minor"/>
      </rPr>
      <t>13782</t>
    </r>
    <r>
      <rPr>
        <sz val="11"/>
        <color theme="1"/>
        <rFont val="Calibri"/>
        <family val="2"/>
        <scheme val="minor"/>
      </rPr>
      <t xml:space="preserve"> - Substitute teacher
</t>
    </r>
    <r>
      <rPr>
        <b/>
        <sz val="11"/>
        <color theme="1"/>
        <rFont val="Calibri"/>
        <family val="2"/>
        <scheme val="minor"/>
      </rPr>
      <t>04721</t>
    </r>
    <r>
      <rPr>
        <sz val="11"/>
        <color theme="1"/>
        <rFont val="Calibri"/>
        <family val="2"/>
        <scheme val="minor"/>
      </rPr>
      <t xml:space="preserve"> - Superintendent/commissioner
</t>
    </r>
    <r>
      <rPr>
        <b/>
        <sz val="11"/>
        <color theme="1"/>
        <rFont val="Calibri"/>
        <family val="2"/>
        <scheme val="minor"/>
      </rPr>
      <t>04732</t>
    </r>
    <r>
      <rPr>
        <sz val="11"/>
        <color theme="1"/>
        <rFont val="Calibri"/>
        <family val="2"/>
        <scheme val="minor"/>
      </rPr>
      <t xml:space="preserve"> - Teacher
</t>
    </r>
    <r>
      <rPr>
        <b/>
        <sz val="11"/>
        <color theme="1"/>
        <rFont val="Calibri"/>
        <family val="2"/>
        <scheme val="minor"/>
      </rPr>
      <t>09997</t>
    </r>
    <r>
      <rPr>
        <sz val="11"/>
        <color theme="1"/>
        <rFont val="Calibri"/>
        <family val="2"/>
        <scheme val="minor"/>
      </rPr>
      <t xml:space="preserve"> - Unknown
</t>
    </r>
  </si>
  <si>
    <r>
      <t>00126</t>
    </r>
    <r>
      <rPr>
        <sz val="11"/>
        <color theme="1"/>
        <rFont val="Calibri"/>
        <family val="2"/>
        <scheme val="minor"/>
      </rPr>
      <t xml:space="preserve"> - Student
</t>
    </r>
    <r>
      <rPr>
        <b/>
        <sz val="11"/>
        <color theme="1"/>
        <rFont val="Calibri"/>
        <family val="2"/>
        <scheme val="minor"/>
      </rPr>
      <t>03032</t>
    </r>
    <r>
      <rPr>
        <sz val="11"/>
        <color theme="1"/>
        <rFont val="Calibri"/>
        <family val="2"/>
        <scheme val="minor"/>
      </rPr>
      <t xml:space="preserve"> - Student enrolled in the school where the incident occurred
</t>
    </r>
    <r>
      <rPr>
        <b/>
        <sz val="11"/>
        <color theme="1"/>
        <rFont val="Calibri"/>
        <family val="2"/>
        <scheme val="minor"/>
      </rPr>
      <t>03033</t>
    </r>
    <r>
      <rPr>
        <sz val="11"/>
        <color theme="1"/>
        <rFont val="Calibri"/>
        <family val="2"/>
        <scheme val="minor"/>
      </rPr>
      <t xml:space="preserve"> - Student enrolled in another school
</t>
    </r>
    <r>
      <rPr>
        <b/>
        <sz val="11"/>
        <color theme="1"/>
        <rFont val="Calibri"/>
        <family val="2"/>
        <scheme val="minor"/>
      </rPr>
      <t>03034</t>
    </r>
    <r>
      <rPr>
        <sz val="11"/>
        <color theme="1"/>
        <rFont val="Calibri"/>
        <family val="2"/>
        <scheme val="minor"/>
      </rPr>
      <t xml:space="preserve"> - Student expelled or involuntarily withdrawn
</t>
    </r>
    <r>
      <rPr>
        <b/>
        <sz val="11"/>
        <color theme="1"/>
        <rFont val="Calibri"/>
        <family val="2"/>
        <scheme val="minor"/>
      </rPr>
      <t>03422</t>
    </r>
    <r>
      <rPr>
        <sz val="11"/>
        <color theme="1"/>
        <rFont val="Calibri"/>
        <family val="2"/>
        <scheme val="minor"/>
      </rPr>
      <t xml:space="preserve"> - Staff member
</t>
    </r>
    <r>
      <rPr>
        <b/>
        <sz val="11"/>
        <color theme="1"/>
        <rFont val="Calibri"/>
        <family val="2"/>
        <scheme val="minor"/>
      </rPr>
      <t>03035</t>
    </r>
    <r>
      <rPr>
        <sz val="11"/>
        <color theme="1"/>
        <rFont val="Calibri"/>
        <family val="2"/>
        <scheme val="minor"/>
      </rPr>
      <t xml:space="preserve"> - Professional educational staff
</t>
    </r>
    <r>
      <rPr>
        <b/>
        <sz val="11"/>
        <color theme="1"/>
        <rFont val="Calibri"/>
        <family val="2"/>
        <scheme val="minor"/>
      </rPr>
      <t>04732</t>
    </r>
    <r>
      <rPr>
        <sz val="11"/>
        <color theme="1"/>
        <rFont val="Calibri"/>
        <family val="2"/>
        <scheme val="minor"/>
      </rPr>
      <t xml:space="preserve"> - Teacher
</t>
    </r>
    <r>
      <rPr>
        <b/>
        <sz val="11"/>
        <color theme="1"/>
        <rFont val="Calibri"/>
        <family val="2"/>
        <scheme val="minor"/>
      </rPr>
      <t>13782</t>
    </r>
    <r>
      <rPr>
        <sz val="11"/>
        <color theme="1"/>
        <rFont val="Calibri"/>
        <family val="2"/>
        <scheme val="minor"/>
      </rPr>
      <t xml:space="preserve"> - Substitute teacher
</t>
    </r>
    <r>
      <rPr>
        <b/>
        <sz val="11"/>
        <color theme="1"/>
        <rFont val="Calibri"/>
        <family val="2"/>
        <scheme val="minor"/>
      </rPr>
      <t>13335</t>
    </r>
    <r>
      <rPr>
        <sz val="11"/>
        <color theme="1"/>
        <rFont val="Calibri"/>
        <family val="2"/>
        <scheme val="minor"/>
      </rPr>
      <t xml:space="preserve"> - Librarians/Media Specialist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13334</t>
    </r>
    <r>
      <rPr>
        <sz val="11"/>
        <color theme="1"/>
        <rFont val="Calibri"/>
        <family val="2"/>
        <scheme val="minor"/>
      </rPr>
      <t xml:space="preserve"> - School Counselor
</t>
    </r>
    <r>
      <rPr>
        <b/>
        <sz val="11"/>
        <color theme="1"/>
        <rFont val="Calibri"/>
        <family val="2"/>
        <scheme val="minor"/>
      </rPr>
      <t>04723</t>
    </r>
    <r>
      <rPr>
        <sz val="11"/>
        <color theme="1"/>
        <rFont val="Calibri"/>
        <family val="2"/>
        <scheme val="minor"/>
      </rPr>
      <t xml:space="preserve"> - Athletic coach
</t>
    </r>
    <r>
      <rPr>
        <b/>
        <sz val="11"/>
        <color theme="1"/>
        <rFont val="Calibri"/>
        <family val="2"/>
        <scheme val="minor"/>
      </rPr>
      <t>04730</t>
    </r>
    <r>
      <rPr>
        <sz val="11"/>
        <color theme="1"/>
        <rFont val="Calibri"/>
        <family val="2"/>
        <scheme val="minor"/>
      </rPr>
      <t xml:space="preserve"> - Student activity advisor/non athletic coach
</t>
    </r>
    <r>
      <rPr>
        <b/>
        <sz val="11"/>
        <color theme="1"/>
        <rFont val="Calibri"/>
        <family val="2"/>
        <scheme val="minor"/>
      </rPr>
      <t>13403</t>
    </r>
    <r>
      <rPr>
        <sz val="11"/>
        <color theme="1"/>
        <rFont val="Calibri"/>
        <family val="2"/>
        <scheme val="minor"/>
      </rPr>
      <t xml:space="preserve"> - Other Professional Staff
</t>
    </r>
    <r>
      <rPr>
        <b/>
        <sz val="11"/>
        <color theme="1"/>
        <rFont val="Calibri"/>
        <family val="2"/>
        <scheme val="minor"/>
      </rPr>
      <t>04783</t>
    </r>
    <r>
      <rPr>
        <sz val="11"/>
        <color theme="1"/>
        <rFont val="Calibri"/>
        <family val="2"/>
        <scheme val="minor"/>
      </rPr>
      <t xml:space="preserve"> - Registered nurse
</t>
    </r>
    <r>
      <rPr>
        <b/>
        <sz val="11"/>
        <color theme="1"/>
        <rFont val="Calibri"/>
        <family val="2"/>
        <scheme val="minor"/>
      </rPr>
      <t>04788</t>
    </r>
    <r>
      <rPr>
        <sz val="11"/>
        <color theme="1"/>
        <rFont val="Calibri"/>
        <family val="2"/>
        <scheme val="minor"/>
      </rPr>
      <t xml:space="preserve"> - Social worker
</t>
    </r>
    <r>
      <rPr>
        <b/>
        <sz val="11"/>
        <color theme="1"/>
        <rFont val="Calibri"/>
        <family val="2"/>
        <scheme val="minor"/>
      </rPr>
      <t>03041</t>
    </r>
    <r>
      <rPr>
        <sz val="11"/>
        <color theme="1"/>
        <rFont val="Calibri"/>
        <family val="2"/>
        <scheme val="minor"/>
      </rPr>
      <t xml:space="preserve"> - Administrator
</t>
    </r>
    <r>
      <rPr>
        <b/>
        <sz val="11"/>
        <color theme="1"/>
        <rFont val="Calibri"/>
        <family val="2"/>
        <scheme val="minor"/>
      </rPr>
      <t>04718</t>
    </r>
    <r>
      <rPr>
        <sz val="11"/>
        <color theme="1"/>
        <rFont val="Calibri"/>
        <family val="2"/>
        <scheme val="minor"/>
      </rPr>
      <t xml:space="preserve"> - Principal/headmaster/headmistress/head of school
</t>
    </r>
    <r>
      <rPr>
        <b/>
        <sz val="11"/>
        <color theme="1"/>
        <rFont val="Calibri"/>
        <family val="2"/>
        <scheme val="minor"/>
      </rPr>
      <t>04711</t>
    </r>
    <r>
      <rPr>
        <sz val="11"/>
        <color theme="1"/>
        <rFont val="Calibri"/>
        <family val="2"/>
        <scheme val="minor"/>
      </rPr>
      <t xml:space="preserve"> - Deputy/associate/vice /assistant principal
</t>
    </r>
    <r>
      <rPr>
        <b/>
        <sz val="11"/>
        <color theme="1"/>
        <rFont val="Calibri"/>
        <family val="2"/>
        <scheme val="minor"/>
      </rPr>
      <t>04710</t>
    </r>
    <r>
      <rPr>
        <sz val="11"/>
        <color theme="1"/>
        <rFont val="Calibri"/>
        <family val="2"/>
        <scheme val="minor"/>
      </rPr>
      <t xml:space="preserve"> - Dean/dean of instructions/dean of students/dean of boys/dean of girls/dean of student activities
</t>
    </r>
    <r>
      <rPr>
        <b/>
        <sz val="11"/>
        <color theme="1"/>
        <rFont val="Calibri"/>
        <family val="2"/>
        <scheme val="minor"/>
      </rPr>
      <t>04721</t>
    </r>
    <r>
      <rPr>
        <sz val="11"/>
        <color theme="1"/>
        <rFont val="Calibri"/>
        <family val="2"/>
        <scheme val="minor"/>
      </rPr>
      <t xml:space="preserve"> - Superintendent/commissioner
</t>
    </r>
    <r>
      <rPr>
        <b/>
        <sz val="11"/>
        <color theme="1"/>
        <rFont val="Calibri"/>
        <family val="2"/>
        <scheme val="minor"/>
      </rPr>
      <t>04712</t>
    </r>
    <r>
      <rPr>
        <sz val="11"/>
        <color theme="1"/>
        <rFont val="Calibri"/>
        <family val="2"/>
        <scheme val="minor"/>
      </rPr>
      <t xml:space="preserve"> - Deputy/associate/assistant superintendent/ commissioner
</t>
    </r>
    <r>
      <rPr>
        <b/>
        <sz val="11"/>
        <color theme="1"/>
        <rFont val="Calibri"/>
        <family val="2"/>
        <scheme val="minor"/>
      </rPr>
      <t>04708</t>
    </r>
    <r>
      <rPr>
        <sz val="11"/>
        <color theme="1"/>
        <rFont val="Calibri"/>
        <family val="2"/>
        <scheme val="minor"/>
      </rPr>
      <t xml:space="preserve"> - Board of education/school board/board of trustees member
</t>
    </r>
    <r>
      <rPr>
        <b/>
        <sz val="11"/>
        <color theme="1"/>
        <rFont val="Calibri"/>
        <family val="2"/>
        <scheme val="minor"/>
      </rPr>
      <t>13342</t>
    </r>
    <r>
      <rPr>
        <sz val="11"/>
        <color theme="1"/>
        <rFont val="Calibri"/>
        <family val="2"/>
        <scheme val="minor"/>
      </rPr>
      <t xml:space="preserve"> - All Other Support Staff
</t>
    </r>
    <r>
      <rPr>
        <b/>
        <sz val="11"/>
        <color theme="1"/>
        <rFont val="Calibri"/>
        <family val="2"/>
        <scheme val="minor"/>
      </rPr>
      <t>04864</t>
    </r>
    <r>
      <rPr>
        <sz val="11"/>
        <color theme="1"/>
        <rFont val="Calibri"/>
        <family val="2"/>
        <scheme val="minor"/>
      </rPr>
      <t xml:space="preserve"> - Bus driver
</t>
    </r>
    <r>
      <rPr>
        <b/>
        <sz val="11"/>
        <color theme="1"/>
        <rFont val="Calibri"/>
        <family val="2"/>
        <scheme val="minor"/>
      </rPr>
      <t>13340</t>
    </r>
    <r>
      <rPr>
        <sz val="11"/>
        <color theme="1"/>
        <rFont val="Calibri"/>
        <family val="2"/>
        <scheme val="minor"/>
      </rPr>
      <t xml:space="preserve"> - School Administrative Support Staff
</t>
    </r>
    <r>
      <rPr>
        <b/>
        <sz val="11"/>
        <color theme="1"/>
        <rFont val="Calibri"/>
        <family val="2"/>
        <scheme val="minor"/>
      </rPr>
      <t>04878</t>
    </r>
    <r>
      <rPr>
        <sz val="11"/>
        <color theme="1"/>
        <rFont val="Calibri"/>
        <family val="2"/>
        <scheme val="minor"/>
      </rPr>
      <t xml:space="preserve"> - Custodian
</t>
    </r>
    <r>
      <rPr>
        <b/>
        <sz val="11"/>
        <color theme="1"/>
        <rFont val="Calibri"/>
        <family val="2"/>
        <scheme val="minor"/>
      </rPr>
      <t>04877</t>
    </r>
    <r>
      <rPr>
        <sz val="11"/>
        <color theme="1"/>
        <rFont val="Calibri"/>
        <family val="2"/>
        <scheme val="minor"/>
      </rPr>
      <t xml:space="preserve"> - Cook/food preparer (food service staff)
</t>
    </r>
    <r>
      <rPr>
        <b/>
        <sz val="11"/>
        <color theme="1"/>
        <rFont val="Calibri"/>
        <family val="2"/>
        <scheme val="minor"/>
      </rPr>
      <t>13333</t>
    </r>
    <r>
      <rPr>
        <sz val="11"/>
        <color theme="1"/>
        <rFont val="Calibri"/>
        <family val="2"/>
        <scheme val="minor"/>
      </rPr>
      <t xml:space="preserve"> - Paraprofessionals/Instructional Aide
</t>
    </r>
    <r>
      <rPr>
        <b/>
        <sz val="11"/>
        <color theme="1"/>
        <rFont val="Calibri"/>
        <family val="2"/>
        <scheme val="minor"/>
      </rPr>
      <t>04885</t>
    </r>
    <r>
      <rPr>
        <sz val="11"/>
        <color theme="1"/>
        <rFont val="Calibri"/>
        <family val="2"/>
        <scheme val="minor"/>
      </rPr>
      <t xml:space="preserve"> - Security guard
</t>
    </r>
    <r>
      <rPr>
        <b/>
        <sz val="11"/>
        <color theme="1"/>
        <rFont val="Calibri"/>
        <family val="2"/>
        <scheme val="minor"/>
      </rPr>
      <t>03054</t>
    </r>
    <r>
      <rPr>
        <sz val="11"/>
        <color theme="1"/>
        <rFont val="Calibri"/>
        <family val="2"/>
        <scheme val="minor"/>
      </rPr>
      <t xml:space="preserve"> - Law enforcement officer
</t>
    </r>
    <r>
      <rPr>
        <b/>
        <sz val="11"/>
        <color theme="1"/>
        <rFont val="Calibri"/>
        <family val="2"/>
        <scheme val="minor"/>
      </rPr>
      <t>03055</t>
    </r>
    <r>
      <rPr>
        <sz val="11"/>
        <color theme="1"/>
        <rFont val="Calibri"/>
        <family val="2"/>
        <scheme val="minor"/>
      </rPr>
      <t xml:space="preserve"> - Municipal law enforcement officer assigned to the school
</t>
    </r>
    <r>
      <rPr>
        <b/>
        <sz val="11"/>
        <color theme="1"/>
        <rFont val="Calibri"/>
        <family val="2"/>
        <scheme val="minor"/>
      </rPr>
      <t>03056</t>
    </r>
    <r>
      <rPr>
        <sz val="11"/>
        <color theme="1"/>
        <rFont val="Calibri"/>
        <family val="2"/>
        <scheme val="minor"/>
      </rPr>
      <t xml:space="preserve"> - Municipal law enforcement officer not assigned to the school
</t>
    </r>
    <r>
      <rPr>
        <b/>
        <sz val="11"/>
        <color theme="1"/>
        <rFont val="Calibri"/>
        <family val="2"/>
        <scheme val="minor"/>
      </rPr>
      <t>03057</t>
    </r>
    <r>
      <rPr>
        <sz val="11"/>
        <color theme="1"/>
        <rFont val="Calibri"/>
        <family val="2"/>
        <scheme val="minor"/>
      </rPr>
      <t xml:space="preserve"> - School district police officer assigned to the school
</t>
    </r>
    <r>
      <rPr>
        <b/>
        <sz val="11"/>
        <color theme="1"/>
        <rFont val="Calibri"/>
        <family val="2"/>
        <scheme val="minor"/>
      </rPr>
      <t>03058</t>
    </r>
    <r>
      <rPr>
        <sz val="11"/>
        <color theme="1"/>
        <rFont val="Calibri"/>
        <family val="2"/>
        <scheme val="minor"/>
      </rPr>
      <t xml:space="preserve"> - School district police officer not assigned to the school
</t>
    </r>
    <r>
      <rPr>
        <b/>
        <sz val="11"/>
        <color theme="1"/>
        <rFont val="Calibri"/>
        <family val="2"/>
        <scheme val="minor"/>
      </rPr>
      <t>03059</t>
    </r>
    <r>
      <rPr>
        <sz val="11"/>
        <color theme="1"/>
        <rFont val="Calibri"/>
        <family val="2"/>
        <scheme val="minor"/>
      </rPr>
      <t xml:space="preserve"> - Nonschool personnel
</t>
    </r>
    <r>
      <rPr>
        <b/>
        <sz val="11"/>
        <color theme="1"/>
        <rFont val="Calibri"/>
        <family val="2"/>
        <scheme val="minor"/>
      </rPr>
      <t>00850</t>
    </r>
    <r>
      <rPr>
        <sz val="11"/>
        <color theme="1"/>
        <rFont val="Calibri"/>
        <family val="2"/>
        <scheme val="minor"/>
      </rPr>
      <t xml:space="preserve"> - Parent/guardian
</t>
    </r>
    <r>
      <rPr>
        <b/>
        <sz val="11"/>
        <color theme="1"/>
        <rFont val="Calibri"/>
        <family val="2"/>
        <scheme val="minor"/>
      </rPr>
      <t>03060</t>
    </r>
    <r>
      <rPr>
        <sz val="11"/>
        <color theme="1"/>
        <rFont val="Calibri"/>
        <family val="2"/>
        <scheme val="minor"/>
      </rPr>
      <t xml:space="preserve"> - Representative of visiting school
</t>
    </r>
    <r>
      <rPr>
        <b/>
        <sz val="11"/>
        <color theme="1"/>
        <rFont val="Calibri"/>
        <family val="2"/>
        <scheme val="minor"/>
      </rPr>
      <t>03061</t>
    </r>
    <r>
      <rPr>
        <sz val="11"/>
        <color theme="1"/>
        <rFont val="Calibri"/>
        <family val="2"/>
        <scheme val="minor"/>
      </rPr>
      <t xml:space="preserve"> - Other adult
</t>
    </r>
    <r>
      <rPr>
        <b/>
        <sz val="11"/>
        <color theme="1"/>
        <rFont val="Calibri"/>
        <family val="2"/>
        <scheme val="minor"/>
      </rPr>
      <t>03168</t>
    </r>
    <r>
      <rPr>
        <sz val="11"/>
        <color theme="1"/>
        <rFont val="Calibri"/>
        <family val="2"/>
        <scheme val="minor"/>
      </rPr>
      <t xml:space="preserve"> - Former student
</t>
    </r>
    <r>
      <rPr>
        <b/>
        <sz val="11"/>
        <color theme="1"/>
        <rFont val="Calibri"/>
        <family val="2"/>
        <scheme val="minor"/>
      </rPr>
      <t>03062</t>
    </r>
    <r>
      <rPr>
        <sz val="11"/>
        <color theme="1"/>
        <rFont val="Calibri"/>
        <family val="2"/>
        <scheme val="minor"/>
      </rPr>
      <t xml:space="preserve"> - Other nonstudent youth
</t>
    </r>
    <r>
      <rPr>
        <b/>
        <sz val="11"/>
        <color theme="1"/>
        <rFont val="Calibri"/>
        <family val="2"/>
        <scheme val="minor"/>
      </rPr>
      <t>09997</t>
    </r>
    <r>
      <rPr>
        <sz val="11"/>
        <color theme="1"/>
        <rFont val="Calibri"/>
        <family val="2"/>
        <scheme val="minor"/>
      </rPr>
      <t xml:space="preserve"> - Unknown
</t>
    </r>
  </si>
  <si>
    <r>
      <t>13765</t>
    </r>
    <r>
      <rPr>
        <sz val="11"/>
        <color theme="1"/>
        <rFont val="Calibri"/>
        <family val="2"/>
        <scheme val="minor"/>
      </rPr>
      <t xml:space="preserve"> - After classes
</t>
    </r>
    <r>
      <rPr>
        <b/>
        <sz val="11"/>
        <color theme="1"/>
        <rFont val="Calibri"/>
        <family val="2"/>
        <scheme val="minor"/>
      </rPr>
      <t>13761</t>
    </r>
    <r>
      <rPr>
        <sz val="11"/>
        <color theme="1"/>
        <rFont val="Calibri"/>
        <family val="2"/>
        <scheme val="minor"/>
      </rPr>
      <t xml:space="preserve"> - Before classes
</t>
    </r>
    <r>
      <rPr>
        <b/>
        <sz val="11"/>
        <color theme="1"/>
        <rFont val="Calibri"/>
        <family val="2"/>
        <scheme val="minor"/>
      </rPr>
      <t>13762</t>
    </r>
    <r>
      <rPr>
        <sz val="11"/>
        <color theme="1"/>
        <rFont val="Calibri"/>
        <family val="2"/>
        <scheme val="minor"/>
      </rPr>
      <t xml:space="preserve"> - During class
</t>
    </r>
    <r>
      <rPr>
        <b/>
        <sz val="11"/>
        <color theme="1"/>
        <rFont val="Calibri"/>
        <family val="2"/>
        <scheme val="minor"/>
      </rPr>
      <t>13764</t>
    </r>
    <r>
      <rPr>
        <sz val="11"/>
        <color theme="1"/>
        <rFont val="Calibri"/>
        <family val="2"/>
        <scheme val="minor"/>
      </rPr>
      <t xml:space="preserve"> - During lunch/recess
</t>
    </r>
    <r>
      <rPr>
        <b/>
        <sz val="11"/>
        <color theme="1"/>
        <rFont val="Calibri"/>
        <family val="2"/>
        <scheme val="minor"/>
      </rPr>
      <t>13763</t>
    </r>
    <r>
      <rPr>
        <sz val="11"/>
        <color theme="1"/>
        <rFont val="Calibri"/>
        <family val="2"/>
        <scheme val="minor"/>
      </rPr>
      <t xml:space="preserve"> - During passing
</t>
    </r>
    <r>
      <rPr>
        <b/>
        <sz val="11"/>
        <color theme="1"/>
        <rFont val="Calibri"/>
        <family val="2"/>
        <scheme val="minor"/>
      </rPr>
      <t>13770</t>
    </r>
    <r>
      <rPr>
        <sz val="11"/>
        <color theme="1"/>
        <rFont val="Calibri"/>
        <family val="2"/>
        <scheme val="minor"/>
      </rPr>
      <t xml:space="preserve"> - Nonschool-sponsored activity
</t>
    </r>
    <r>
      <rPr>
        <b/>
        <sz val="11"/>
        <color theme="1"/>
        <rFont val="Calibri"/>
        <family val="2"/>
        <scheme val="minor"/>
      </rPr>
      <t>13768</t>
    </r>
    <r>
      <rPr>
        <sz val="11"/>
        <color theme="1"/>
        <rFont val="Calibri"/>
        <family val="2"/>
        <scheme val="minor"/>
      </rPr>
      <t xml:space="preserve"> - On the way from school
</t>
    </r>
    <r>
      <rPr>
        <b/>
        <sz val="11"/>
        <color theme="1"/>
        <rFont val="Calibri"/>
        <family val="2"/>
        <scheme val="minor"/>
      </rPr>
      <t>13767</t>
    </r>
    <r>
      <rPr>
        <sz val="11"/>
        <color theme="1"/>
        <rFont val="Calibri"/>
        <family val="2"/>
        <scheme val="minor"/>
      </rPr>
      <t xml:space="preserve"> - On the way to school
</t>
    </r>
    <r>
      <rPr>
        <b/>
        <sz val="11"/>
        <color theme="1"/>
        <rFont val="Calibri"/>
        <family val="2"/>
        <scheme val="minor"/>
      </rPr>
      <t>13766</t>
    </r>
    <r>
      <rPr>
        <sz val="11"/>
        <color theme="1"/>
        <rFont val="Calibri"/>
        <family val="2"/>
        <scheme val="minor"/>
      </rPr>
      <t xml:space="preserve"> - Other time during school hours
</t>
    </r>
    <r>
      <rPr>
        <b/>
        <sz val="11"/>
        <color theme="1"/>
        <rFont val="Calibri"/>
        <family val="2"/>
        <scheme val="minor"/>
      </rPr>
      <t>13771</t>
    </r>
    <r>
      <rPr>
        <sz val="11"/>
        <color theme="1"/>
        <rFont val="Calibri"/>
        <family val="2"/>
        <scheme val="minor"/>
      </rPr>
      <t xml:space="preserve"> - Other time outside school hours
</t>
    </r>
    <r>
      <rPr>
        <b/>
        <sz val="11"/>
        <color theme="1"/>
        <rFont val="Calibri"/>
        <family val="2"/>
        <scheme val="minor"/>
      </rPr>
      <t>13769</t>
    </r>
    <r>
      <rPr>
        <sz val="11"/>
        <color theme="1"/>
        <rFont val="Calibri"/>
        <family val="2"/>
        <scheme val="minor"/>
      </rPr>
      <t xml:space="preserve"> - School-sponsored activity
</t>
    </r>
    <r>
      <rPr>
        <b/>
        <sz val="11"/>
        <color theme="1"/>
        <rFont val="Calibri"/>
        <family val="2"/>
        <scheme val="minor"/>
      </rPr>
      <t>13772</t>
    </r>
    <r>
      <rPr>
        <sz val="11"/>
        <color theme="1"/>
        <rFont val="Calibri"/>
        <family val="2"/>
        <scheme val="minor"/>
      </rPr>
      <t xml:space="preserve"> - Unknown
</t>
    </r>
  </si>
  <si>
    <r>
      <t>HeadStart</t>
    </r>
    <r>
      <rPr>
        <sz val="11"/>
        <color theme="1"/>
        <rFont val="Calibri"/>
        <family val="2"/>
        <scheme val="minor"/>
      </rPr>
      <t xml:space="preserve"> - Head Start calculation
</t>
    </r>
    <r>
      <rPr>
        <b/>
        <sz val="11"/>
        <color theme="1"/>
        <rFont val="Calibri"/>
        <family val="2"/>
        <scheme val="minor"/>
      </rPr>
      <t>StateSpecific</t>
    </r>
    <r>
      <rPr>
        <sz val="11"/>
        <color theme="1"/>
        <rFont val="Calibri"/>
        <family val="2"/>
        <scheme val="minor"/>
      </rPr>
      <t xml:space="preserve"> - State-specific calculation
</t>
    </r>
  </si>
  <si>
    <r>
      <t>LongerSchoolYear</t>
    </r>
    <r>
      <rPr>
        <sz val="11"/>
        <color theme="1"/>
        <rFont val="Calibri"/>
        <family val="2"/>
        <scheme val="minor"/>
      </rPr>
      <t xml:space="preserve"> - Longer School Year
</t>
    </r>
    <r>
      <rPr>
        <b/>
        <sz val="11"/>
        <color theme="1"/>
        <rFont val="Calibri"/>
        <family val="2"/>
        <scheme val="minor"/>
      </rPr>
      <t>LongerSchoolDay</t>
    </r>
    <r>
      <rPr>
        <sz val="11"/>
        <color theme="1"/>
        <rFont val="Calibri"/>
        <family val="2"/>
        <scheme val="minor"/>
      </rPr>
      <t xml:space="preserve"> - Longer School Day
</t>
    </r>
    <r>
      <rPr>
        <b/>
        <sz val="11"/>
        <color theme="1"/>
        <rFont val="Calibri"/>
        <family val="2"/>
        <scheme val="minor"/>
      </rPr>
      <t>BeforeOrAfterSchool</t>
    </r>
    <r>
      <rPr>
        <sz val="11"/>
        <color theme="1"/>
        <rFont val="Calibri"/>
        <family val="2"/>
        <scheme val="minor"/>
      </rPr>
      <t xml:space="preserve"> - Before or After School
</t>
    </r>
    <r>
      <rPr>
        <b/>
        <sz val="11"/>
        <color theme="1"/>
        <rFont val="Calibri"/>
        <family val="2"/>
        <scheme val="minor"/>
      </rPr>
      <t>SummerSchool</t>
    </r>
    <r>
      <rPr>
        <sz val="11"/>
        <color theme="1"/>
        <rFont val="Calibri"/>
        <family val="2"/>
        <scheme val="minor"/>
      </rPr>
      <t xml:space="preserve"> - Summer School
</t>
    </r>
    <r>
      <rPr>
        <b/>
        <sz val="11"/>
        <color theme="1"/>
        <rFont val="Calibri"/>
        <family val="2"/>
        <scheme val="minor"/>
      </rPr>
      <t>WeekendSchool</t>
    </r>
    <r>
      <rPr>
        <sz val="11"/>
        <color theme="1"/>
        <rFont val="Calibri"/>
        <family val="2"/>
        <scheme val="minor"/>
      </rPr>
      <t xml:space="preserve"> - Weekend School
</t>
    </r>
    <r>
      <rPr>
        <b/>
        <sz val="11"/>
        <color theme="1"/>
        <rFont val="Calibri"/>
        <family val="2"/>
        <scheme val="minor"/>
      </rPr>
      <t>Other</t>
    </r>
    <r>
      <rPr>
        <sz val="11"/>
        <color theme="1"/>
        <rFont val="Calibri"/>
        <family val="2"/>
        <scheme val="minor"/>
      </rPr>
      <t xml:space="preserve"> - Other
</t>
    </r>
  </si>
  <si>
    <r>
      <t>Development</t>
    </r>
    <r>
      <rPr>
        <sz val="11"/>
        <color theme="1"/>
        <rFont val="Calibri"/>
        <family val="2"/>
        <scheme val="minor"/>
      </rPr>
      <t xml:space="preserve"> - Development date
</t>
    </r>
    <r>
      <rPr>
        <b/>
        <sz val="11"/>
        <color theme="1"/>
        <rFont val="Calibri"/>
        <family val="2"/>
        <scheme val="minor"/>
      </rPr>
      <t>Implementation</t>
    </r>
    <r>
      <rPr>
        <sz val="11"/>
        <color theme="1"/>
        <rFont val="Calibri"/>
        <family val="2"/>
        <scheme val="minor"/>
      </rPr>
      <t xml:space="preserve"> - Implementation date
</t>
    </r>
    <r>
      <rPr>
        <b/>
        <sz val="11"/>
        <color theme="1"/>
        <rFont val="Calibri"/>
        <family val="2"/>
        <scheme val="minor"/>
      </rPr>
      <t>TentativeRevision</t>
    </r>
    <r>
      <rPr>
        <sz val="11"/>
        <color theme="1"/>
        <rFont val="Calibri"/>
        <family val="2"/>
        <scheme val="minor"/>
      </rPr>
      <t xml:space="preserve"> - Tentative revision date
</t>
    </r>
    <r>
      <rPr>
        <b/>
        <sz val="11"/>
        <color theme="1"/>
        <rFont val="Calibri"/>
        <family val="2"/>
        <scheme val="minor"/>
      </rPr>
      <t>Revision</t>
    </r>
    <r>
      <rPr>
        <sz val="11"/>
        <color theme="1"/>
        <rFont val="Calibri"/>
        <family val="2"/>
        <scheme val="minor"/>
      </rPr>
      <t xml:space="preserve"> - Revision date
</t>
    </r>
    <r>
      <rPr>
        <b/>
        <sz val="11"/>
        <color theme="1"/>
        <rFont val="Calibri"/>
        <family val="2"/>
        <scheme val="minor"/>
      </rPr>
      <t>Other</t>
    </r>
    <r>
      <rPr>
        <sz val="11"/>
        <color theme="1"/>
        <rFont val="Calibri"/>
        <family val="2"/>
        <scheme val="minor"/>
      </rPr>
      <t xml:space="preserve"> - Other
</t>
    </r>
  </si>
  <si>
    <r>
      <t>02192</t>
    </r>
    <r>
      <rPr>
        <sz val="11"/>
        <color theme="1"/>
        <rFont val="Calibri"/>
        <family val="2"/>
        <scheme val="minor"/>
      </rPr>
      <t xml:space="preserve"> - Home
</t>
    </r>
    <r>
      <rPr>
        <b/>
        <sz val="11"/>
        <color theme="1"/>
        <rFont val="Calibri"/>
        <family val="2"/>
        <scheme val="minor"/>
      </rPr>
      <t>00754</t>
    </r>
    <r>
      <rPr>
        <sz val="11"/>
        <color theme="1"/>
        <rFont val="Calibri"/>
        <family val="2"/>
        <scheme val="minor"/>
      </rPr>
      <t xml:space="preserve"> - Hospital
</t>
    </r>
    <r>
      <rPr>
        <b/>
        <sz val="11"/>
        <color theme="1"/>
        <rFont val="Calibri"/>
        <family val="2"/>
        <scheme val="minor"/>
      </rPr>
      <t>06008</t>
    </r>
    <r>
      <rPr>
        <sz val="11"/>
        <color theme="1"/>
        <rFont val="Calibri"/>
        <family val="2"/>
        <scheme val="minor"/>
      </rPr>
      <t xml:space="preserve"> - Outpatient hospital
</t>
    </r>
    <r>
      <rPr>
        <b/>
        <sz val="11"/>
        <color theme="1"/>
        <rFont val="Calibri"/>
        <family val="2"/>
        <scheme val="minor"/>
      </rPr>
      <t>06009</t>
    </r>
    <r>
      <rPr>
        <sz val="11"/>
        <color theme="1"/>
        <rFont val="Calibri"/>
        <family val="2"/>
        <scheme val="minor"/>
      </rPr>
      <t xml:space="preserve"> - Ambulatory care center
</t>
    </r>
    <r>
      <rPr>
        <b/>
        <sz val="11"/>
        <color theme="1"/>
        <rFont val="Calibri"/>
        <family val="2"/>
        <scheme val="minor"/>
      </rPr>
      <t>06010</t>
    </r>
    <r>
      <rPr>
        <sz val="11"/>
        <color theme="1"/>
        <rFont val="Calibri"/>
        <family val="2"/>
        <scheme val="minor"/>
      </rPr>
      <t xml:space="preserve"> - Primary care health provider office
</t>
    </r>
    <r>
      <rPr>
        <b/>
        <sz val="11"/>
        <color theme="1"/>
        <rFont val="Calibri"/>
        <family val="2"/>
        <scheme val="minor"/>
      </rPr>
      <t>01535</t>
    </r>
    <r>
      <rPr>
        <sz val="11"/>
        <color theme="1"/>
        <rFont val="Calibri"/>
        <family val="2"/>
        <scheme val="minor"/>
      </rPr>
      <t xml:space="preserve"> - Child care
</t>
    </r>
    <r>
      <rPr>
        <b/>
        <sz val="11"/>
        <color theme="1"/>
        <rFont val="Calibri"/>
        <family val="2"/>
        <scheme val="minor"/>
      </rPr>
      <t>00127</t>
    </r>
    <r>
      <rPr>
        <sz val="11"/>
        <color theme="1"/>
        <rFont val="Calibri"/>
        <family val="2"/>
        <scheme val="minor"/>
      </rPr>
      <t xml:space="preserve"> - Early intervention classroom/center
</t>
    </r>
    <r>
      <rPr>
        <b/>
        <sz val="11"/>
        <color theme="1"/>
        <rFont val="Calibri"/>
        <family val="2"/>
        <scheme val="minor"/>
      </rPr>
      <t>00066</t>
    </r>
    <r>
      <rPr>
        <sz val="11"/>
        <color theme="1"/>
        <rFont val="Calibri"/>
        <family val="2"/>
        <scheme val="minor"/>
      </rPr>
      <t xml:space="preserve"> - Local education agency
</t>
    </r>
    <r>
      <rPr>
        <b/>
        <sz val="11"/>
        <color theme="1"/>
        <rFont val="Calibri"/>
        <family val="2"/>
        <scheme val="minor"/>
      </rPr>
      <t>06011</t>
    </r>
    <r>
      <rPr>
        <sz val="11"/>
        <color theme="1"/>
        <rFont val="Calibri"/>
        <family val="2"/>
        <scheme val="minor"/>
      </rPr>
      <t xml:space="preserve"> - Public health facility
</t>
    </r>
    <r>
      <rPr>
        <b/>
        <sz val="11"/>
        <color theme="1"/>
        <rFont val="Calibri"/>
        <family val="2"/>
        <scheme val="minor"/>
      </rPr>
      <t>06012</t>
    </r>
    <r>
      <rPr>
        <sz val="11"/>
        <color theme="1"/>
        <rFont val="Calibri"/>
        <family val="2"/>
        <scheme val="minor"/>
      </rPr>
      <t xml:space="preserve"> - Social service agency
</t>
    </r>
    <r>
      <rPr>
        <b/>
        <sz val="11"/>
        <color theme="1"/>
        <rFont val="Calibri"/>
        <family val="2"/>
        <scheme val="minor"/>
      </rPr>
      <t>06013</t>
    </r>
    <r>
      <rPr>
        <sz val="11"/>
        <color theme="1"/>
        <rFont val="Calibri"/>
        <family val="2"/>
        <scheme val="minor"/>
      </rPr>
      <t xml:space="preserve"> - Other health care provider location
</t>
    </r>
    <r>
      <rPr>
        <b/>
        <sz val="11"/>
        <color theme="1"/>
        <rFont val="Calibri"/>
        <family val="2"/>
        <scheme val="minor"/>
      </rPr>
      <t>00752</t>
    </r>
    <r>
      <rPr>
        <sz val="11"/>
        <color theme="1"/>
        <rFont val="Calibri"/>
        <family val="2"/>
        <scheme val="minor"/>
      </rPr>
      <t xml:space="preserve"> - Community facility
</t>
    </r>
    <r>
      <rPr>
        <b/>
        <sz val="11"/>
        <color theme="1"/>
        <rFont val="Calibri"/>
        <family val="2"/>
        <scheme val="minor"/>
      </rPr>
      <t>09999</t>
    </r>
    <r>
      <rPr>
        <sz val="11"/>
        <color theme="1"/>
        <rFont val="Calibri"/>
        <family val="2"/>
        <scheme val="minor"/>
      </rPr>
      <t xml:space="preserve"> - Other
</t>
    </r>
  </si>
  <si>
    <r>
      <t>03426</t>
    </r>
    <r>
      <rPr>
        <sz val="11"/>
        <color theme="1"/>
        <rFont val="Calibri"/>
        <family val="2"/>
        <scheme val="minor"/>
      </rPr>
      <t xml:space="preserve"> - Postsecondary education or training
</t>
    </r>
    <r>
      <rPr>
        <b/>
        <sz val="11"/>
        <color theme="1"/>
        <rFont val="Calibri"/>
        <family val="2"/>
        <scheme val="minor"/>
      </rPr>
      <t>00518</t>
    </r>
    <r>
      <rPr>
        <sz val="11"/>
        <color theme="1"/>
        <rFont val="Calibri"/>
        <family val="2"/>
        <scheme val="minor"/>
      </rPr>
      <t xml:space="preserve"> - Work
</t>
    </r>
    <r>
      <rPr>
        <b/>
        <sz val="11"/>
        <color theme="1"/>
        <rFont val="Calibri"/>
        <family val="2"/>
        <scheme val="minor"/>
      </rPr>
      <t>09998</t>
    </r>
    <r>
      <rPr>
        <sz val="11"/>
        <color theme="1"/>
        <rFont val="Calibri"/>
        <family val="2"/>
        <scheme val="minor"/>
      </rPr>
      <t xml:space="preserve"> - None
</t>
    </r>
  </si>
  <si>
    <r>
      <t>05978</t>
    </r>
    <r>
      <rPr>
        <sz val="11"/>
        <color theme="1"/>
        <rFont val="Calibri"/>
        <family val="2"/>
        <scheme val="minor"/>
      </rPr>
      <t xml:space="preserve"> - 504 plan
</t>
    </r>
    <r>
      <rPr>
        <b/>
        <sz val="11"/>
        <color theme="1"/>
        <rFont val="Calibri"/>
        <family val="2"/>
        <scheme val="minor"/>
      </rPr>
      <t>05980</t>
    </r>
    <r>
      <rPr>
        <sz val="11"/>
        <color theme="1"/>
        <rFont val="Calibri"/>
        <family val="2"/>
        <scheme val="minor"/>
      </rPr>
      <t xml:space="preserve"> - GIEP - Individualized education program for gifted student
</t>
    </r>
    <r>
      <rPr>
        <b/>
        <sz val="11"/>
        <color theme="1"/>
        <rFont val="Calibri"/>
        <family val="2"/>
        <scheme val="minor"/>
      </rPr>
      <t>02196</t>
    </r>
    <r>
      <rPr>
        <sz val="11"/>
        <color theme="1"/>
        <rFont val="Calibri"/>
        <family val="2"/>
        <scheme val="minor"/>
      </rPr>
      <t xml:space="preserve"> - Individualized education program (IEP)
</t>
    </r>
    <r>
      <rPr>
        <b/>
        <sz val="11"/>
        <color theme="1"/>
        <rFont val="Calibri"/>
        <family val="2"/>
        <scheme val="minor"/>
      </rPr>
      <t>02198</t>
    </r>
    <r>
      <rPr>
        <sz val="11"/>
        <color theme="1"/>
        <rFont val="Calibri"/>
        <family val="2"/>
        <scheme val="minor"/>
      </rPr>
      <t xml:space="preserve"> - Individualized family service plan (IFSP)
</t>
    </r>
    <r>
      <rPr>
        <b/>
        <sz val="11"/>
        <color theme="1"/>
        <rFont val="Calibri"/>
        <family val="2"/>
        <scheme val="minor"/>
      </rPr>
      <t>02197</t>
    </r>
    <r>
      <rPr>
        <sz val="11"/>
        <color theme="1"/>
        <rFont val="Calibri"/>
        <family val="2"/>
        <scheme val="minor"/>
      </rPr>
      <t xml:space="preserve"> - Individualized learning program (ILP)
</t>
    </r>
    <r>
      <rPr>
        <b/>
        <sz val="11"/>
        <color theme="1"/>
        <rFont val="Calibri"/>
        <family val="2"/>
        <scheme val="minor"/>
      </rPr>
      <t>05982</t>
    </r>
    <r>
      <rPr>
        <sz val="11"/>
        <color theme="1"/>
        <rFont val="Calibri"/>
        <family val="2"/>
        <scheme val="minor"/>
      </rPr>
      <t xml:space="preserve"> - Individualized transition plan
</t>
    </r>
    <r>
      <rPr>
        <b/>
        <sz val="11"/>
        <color theme="1"/>
        <rFont val="Calibri"/>
        <family val="2"/>
        <scheme val="minor"/>
      </rPr>
      <t>02349</t>
    </r>
    <r>
      <rPr>
        <sz val="11"/>
        <color theme="1"/>
        <rFont val="Calibri"/>
        <family val="2"/>
        <scheme val="minor"/>
      </rPr>
      <t xml:space="preserve"> - Limited English proficient/English language learner
</t>
    </r>
    <r>
      <rPr>
        <b/>
        <sz val="11"/>
        <color theme="1"/>
        <rFont val="Calibri"/>
        <family val="2"/>
        <scheme val="minor"/>
      </rPr>
      <t>05981</t>
    </r>
    <r>
      <rPr>
        <sz val="11"/>
        <color theme="1"/>
        <rFont val="Calibri"/>
        <family val="2"/>
        <scheme val="minor"/>
      </rPr>
      <t xml:space="preserve"> - Literacy plan
</t>
    </r>
    <r>
      <rPr>
        <b/>
        <sz val="11"/>
        <color theme="1"/>
        <rFont val="Calibri"/>
        <family val="2"/>
        <scheme val="minor"/>
      </rPr>
      <t>05979</t>
    </r>
    <r>
      <rPr>
        <sz val="11"/>
        <color theme="1"/>
        <rFont val="Calibri"/>
        <family val="2"/>
        <scheme val="minor"/>
      </rPr>
      <t xml:space="preserve"> - Student intervention/support plan
</t>
    </r>
    <r>
      <rPr>
        <b/>
        <sz val="11"/>
        <color theme="1"/>
        <rFont val="Calibri"/>
        <family val="2"/>
        <scheme val="minor"/>
      </rPr>
      <t>09999</t>
    </r>
    <r>
      <rPr>
        <sz val="11"/>
        <color theme="1"/>
        <rFont val="Calibri"/>
        <family val="2"/>
        <scheme val="minor"/>
      </rPr>
      <t xml:space="preserve"> - Other
</t>
    </r>
  </si>
  <si>
    <r>
      <t>Fax</t>
    </r>
    <r>
      <rPr>
        <sz val="11"/>
        <color theme="1"/>
        <rFont val="Calibri"/>
        <family val="2"/>
        <scheme val="minor"/>
      </rPr>
      <t xml:space="preserve"> - Fax number
</t>
    </r>
    <r>
      <rPr>
        <b/>
        <sz val="11"/>
        <color theme="1"/>
        <rFont val="Calibri"/>
        <family val="2"/>
        <scheme val="minor"/>
      </rPr>
      <t>Main</t>
    </r>
    <r>
      <rPr>
        <sz val="11"/>
        <color theme="1"/>
        <rFont val="Calibri"/>
        <family val="2"/>
        <scheme val="minor"/>
      </rPr>
      <t xml:space="preserve"> - Main phone number
</t>
    </r>
    <r>
      <rPr>
        <b/>
        <sz val="11"/>
        <color theme="1"/>
        <rFont val="Calibri"/>
        <family val="2"/>
        <scheme val="minor"/>
      </rPr>
      <t>Administrative</t>
    </r>
    <r>
      <rPr>
        <sz val="11"/>
        <color theme="1"/>
        <rFont val="Calibri"/>
        <family val="2"/>
        <scheme val="minor"/>
      </rPr>
      <t xml:space="preserve"> - Administrative phone number
</t>
    </r>
    <r>
      <rPr>
        <b/>
        <sz val="11"/>
        <color theme="1"/>
        <rFont val="Calibri"/>
        <family val="2"/>
        <scheme val="minor"/>
      </rPr>
      <t>HealthClinic</t>
    </r>
    <r>
      <rPr>
        <sz val="11"/>
        <color theme="1"/>
        <rFont val="Calibri"/>
        <family val="2"/>
        <scheme val="minor"/>
      </rPr>
      <t xml:space="preserve"> - Health clinic phone number
</t>
    </r>
    <r>
      <rPr>
        <b/>
        <sz val="11"/>
        <color theme="1"/>
        <rFont val="Calibri"/>
        <family val="2"/>
        <scheme val="minor"/>
      </rPr>
      <t>Attendance</t>
    </r>
    <r>
      <rPr>
        <sz val="11"/>
        <color theme="1"/>
        <rFont val="Calibri"/>
        <family val="2"/>
        <scheme val="minor"/>
      </rPr>
      <t xml:space="preserve"> - Attendance line
</t>
    </r>
    <r>
      <rPr>
        <b/>
        <sz val="11"/>
        <color theme="1"/>
        <rFont val="Calibri"/>
        <family val="2"/>
        <scheme val="minor"/>
      </rPr>
      <t>Fax</t>
    </r>
    <r>
      <rPr>
        <sz val="11"/>
        <color theme="1"/>
        <rFont val="Calibri"/>
        <family val="2"/>
        <scheme val="minor"/>
      </rPr>
      <t xml:space="preserve"> - Facsimile phone number
</t>
    </r>
    <r>
      <rPr>
        <b/>
        <sz val="11"/>
        <color theme="1"/>
        <rFont val="Calibri"/>
        <family val="2"/>
        <scheme val="minor"/>
      </rPr>
      <t>FoodServices</t>
    </r>
    <r>
      <rPr>
        <sz val="11"/>
        <color theme="1"/>
        <rFont val="Calibri"/>
        <family val="2"/>
        <scheme val="minor"/>
      </rPr>
      <t xml:space="preserve"> - Cafeteria/Food Services
</t>
    </r>
    <r>
      <rPr>
        <b/>
        <sz val="11"/>
        <color theme="1"/>
        <rFont val="Calibri"/>
        <family val="2"/>
        <scheme val="minor"/>
      </rPr>
      <t>Other</t>
    </r>
    <r>
      <rPr>
        <sz val="11"/>
        <color theme="1"/>
        <rFont val="Calibri"/>
        <family val="2"/>
        <scheme val="minor"/>
      </rPr>
      <t xml:space="preserve"> - Other
</t>
    </r>
  </si>
  <si>
    <r>
      <t>ExclusivelyCredit</t>
    </r>
    <r>
      <rPr>
        <sz val="11"/>
        <color theme="1"/>
        <rFont val="Calibri"/>
        <family val="2"/>
        <scheme val="minor"/>
      </rPr>
      <t xml:space="preserve"> - Exclusively credit
</t>
    </r>
    <r>
      <rPr>
        <b/>
        <sz val="11"/>
        <color theme="1"/>
        <rFont val="Calibri"/>
        <family val="2"/>
        <scheme val="minor"/>
      </rPr>
      <t>ExclusivelyNotForCredit</t>
    </r>
    <r>
      <rPr>
        <sz val="11"/>
        <color theme="1"/>
        <rFont val="Calibri"/>
        <family val="2"/>
        <scheme val="minor"/>
      </rPr>
      <t xml:space="preserve"> - Exclusively not-for-credit
</t>
    </r>
    <r>
      <rPr>
        <b/>
        <sz val="11"/>
        <color theme="1"/>
        <rFont val="Calibri"/>
        <family val="2"/>
        <scheme val="minor"/>
      </rPr>
      <t>Combined</t>
    </r>
    <r>
      <rPr>
        <sz val="11"/>
        <color theme="1"/>
        <rFont val="Calibri"/>
        <family val="2"/>
        <scheme val="minor"/>
      </rPr>
      <t xml:space="preserve"> - Combined credit/not-for-credit
</t>
    </r>
  </si>
  <si>
    <r>
      <t>LessThan9-Month</t>
    </r>
    <r>
      <rPr>
        <sz val="11"/>
        <color theme="1"/>
        <rFont val="Calibri"/>
        <family val="2"/>
        <scheme val="minor"/>
      </rPr>
      <t xml:space="preserve"> - Less than 9-Month
</t>
    </r>
    <r>
      <rPr>
        <b/>
        <sz val="11"/>
        <color theme="1"/>
        <rFont val="Calibri"/>
        <family val="2"/>
        <scheme val="minor"/>
      </rPr>
      <t>9-Month</t>
    </r>
    <r>
      <rPr>
        <sz val="11"/>
        <color theme="1"/>
        <rFont val="Calibri"/>
        <family val="2"/>
        <scheme val="minor"/>
      </rPr>
      <t xml:space="preserve"> - 9-Month
</t>
    </r>
    <r>
      <rPr>
        <b/>
        <sz val="11"/>
        <color theme="1"/>
        <rFont val="Calibri"/>
        <family val="2"/>
        <scheme val="minor"/>
      </rPr>
      <t>10-Month</t>
    </r>
    <r>
      <rPr>
        <sz val="11"/>
        <color theme="1"/>
        <rFont val="Calibri"/>
        <family val="2"/>
        <scheme val="minor"/>
      </rPr>
      <t xml:space="preserve"> - 10-Month
</t>
    </r>
    <r>
      <rPr>
        <b/>
        <sz val="11"/>
        <color theme="1"/>
        <rFont val="Calibri"/>
        <family val="2"/>
        <scheme val="minor"/>
      </rPr>
      <t>11-Month</t>
    </r>
    <r>
      <rPr>
        <sz val="11"/>
        <color theme="1"/>
        <rFont val="Calibri"/>
        <family val="2"/>
        <scheme val="minor"/>
      </rPr>
      <t xml:space="preserve"> - 11-Month
</t>
    </r>
    <r>
      <rPr>
        <b/>
        <sz val="11"/>
        <color theme="1"/>
        <rFont val="Calibri"/>
        <family val="2"/>
        <scheme val="minor"/>
      </rPr>
      <t>12-Month</t>
    </r>
    <r>
      <rPr>
        <sz val="11"/>
        <color theme="1"/>
        <rFont val="Calibri"/>
        <family val="2"/>
        <scheme val="minor"/>
      </rPr>
      <t xml:space="preserve"> - 12-Month
</t>
    </r>
  </si>
  <si>
    <r>
      <t>Tenured</t>
    </r>
    <r>
      <rPr>
        <sz val="11"/>
        <color theme="1"/>
        <rFont val="Calibri"/>
        <family val="2"/>
        <scheme val="minor"/>
      </rPr>
      <t xml:space="preserve"> - Tenured
</t>
    </r>
    <r>
      <rPr>
        <b/>
        <sz val="11"/>
        <color theme="1"/>
        <rFont val="Calibri"/>
        <family val="2"/>
        <scheme val="minor"/>
      </rPr>
      <t>OnTenureTrack</t>
    </r>
    <r>
      <rPr>
        <sz val="11"/>
        <color theme="1"/>
        <rFont val="Calibri"/>
        <family val="2"/>
        <scheme val="minor"/>
      </rPr>
      <t xml:space="preserve"> - On tenure track
</t>
    </r>
    <r>
      <rPr>
        <b/>
        <sz val="11"/>
        <color theme="1"/>
        <rFont val="Calibri"/>
        <family val="2"/>
        <scheme val="minor"/>
      </rPr>
      <t>NotOnTenureTrack</t>
    </r>
    <r>
      <rPr>
        <sz val="11"/>
        <color theme="1"/>
        <rFont val="Calibri"/>
        <family val="2"/>
        <scheme val="minor"/>
      </rPr>
      <t xml:space="preserve"> - Not on tenure track
</t>
    </r>
    <r>
      <rPr>
        <b/>
        <sz val="11"/>
        <color theme="1"/>
        <rFont val="Calibri"/>
        <family val="2"/>
        <scheme val="minor"/>
      </rPr>
      <t>WithoutFacultyStatus</t>
    </r>
    <r>
      <rPr>
        <sz val="11"/>
        <color theme="1"/>
        <rFont val="Calibri"/>
        <family val="2"/>
        <scheme val="minor"/>
      </rPr>
      <t xml:space="preserve"> - Without faculty status
</t>
    </r>
  </si>
  <si>
    <r>
      <t>Developing</t>
    </r>
    <r>
      <rPr>
        <sz val="11"/>
        <color theme="1"/>
        <rFont val="Calibri"/>
        <family val="2"/>
        <scheme val="minor"/>
      </rPr>
      <t xml:space="preserve"> - Developing
</t>
    </r>
    <r>
      <rPr>
        <b/>
        <sz val="11"/>
        <color theme="1"/>
        <rFont val="Calibri"/>
        <family val="2"/>
        <scheme val="minor"/>
      </rPr>
      <t>Approaching</t>
    </r>
    <r>
      <rPr>
        <sz val="11"/>
        <color theme="1"/>
        <rFont val="Calibri"/>
        <family val="2"/>
        <scheme val="minor"/>
      </rPr>
      <t xml:space="preserve"> - Approaching
</t>
    </r>
    <r>
      <rPr>
        <b/>
        <sz val="11"/>
        <color theme="1"/>
        <rFont val="Calibri"/>
        <family val="2"/>
        <scheme val="minor"/>
      </rPr>
      <t>Meets</t>
    </r>
    <r>
      <rPr>
        <sz val="11"/>
        <color theme="1"/>
        <rFont val="Calibri"/>
        <family val="2"/>
        <scheme val="minor"/>
      </rPr>
      <t xml:space="preserve"> - Meets
</t>
    </r>
    <r>
      <rPr>
        <b/>
        <sz val="11"/>
        <color theme="1"/>
        <rFont val="Calibri"/>
        <family val="2"/>
        <scheme val="minor"/>
      </rPr>
      <t>FullyIntegrated</t>
    </r>
    <r>
      <rPr>
        <sz val="11"/>
        <color theme="1"/>
        <rFont val="Calibri"/>
        <family val="2"/>
        <scheme val="minor"/>
      </rPr>
      <t xml:space="preserve"> - Fully integrated
</t>
    </r>
    <r>
      <rPr>
        <b/>
        <sz val="11"/>
        <color theme="1"/>
        <rFont val="Calibri"/>
        <family val="2"/>
        <scheme val="minor"/>
      </rPr>
      <t>NotRequired</t>
    </r>
    <r>
      <rPr>
        <sz val="11"/>
        <color theme="1"/>
        <rFont val="Calibri"/>
        <family val="2"/>
        <scheme val="minor"/>
      </rPr>
      <t xml:space="preserve"> - Not required to report
</t>
    </r>
  </si>
  <si>
    <r>
      <t>HighSpeed</t>
    </r>
    <r>
      <rPr>
        <sz val="11"/>
        <color theme="1"/>
        <rFont val="Calibri"/>
        <family val="2"/>
        <scheme val="minor"/>
      </rPr>
      <t xml:space="preserve"> - High speed connectivity
</t>
    </r>
    <r>
      <rPr>
        <b/>
        <sz val="11"/>
        <color theme="1"/>
        <rFont val="Calibri"/>
        <family val="2"/>
        <scheme val="minor"/>
      </rPr>
      <t>LessThanHighSpeed</t>
    </r>
    <r>
      <rPr>
        <sz val="11"/>
        <color theme="1"/>
        <rFont val="Calibri"/>
        <family val="2"/>
        <scheme val="minor"/>
      </rPr>
      <t xml:space="preserve"> - Less than high speed connectivity
</t>
    </r>
  </si>
  <si>
    <r>
      <t>01</t>
    </r>
    <r>
      <rPr>
        <sz val="11"/>
        <color theme="1"/>
        <rFont val="Calibri"/>
        <family val="2"/>
        <scheme val="minor"/>
      </rPr>
      <t xml:space="preserve"> - Postsecondary Teacher: Instruction
</t>
    </r>
    <r>
      <rPr>
        <b/>
        <sz val="11"/>
        <color theme="1"/>
        <rFont val="Calibri"/>
        <family val="2"/>
        <scheme val="minor"/>
      </rPr>
      <t>02</t>
    </r>
    <r>
      <rPr>
        <sz val="11"/>
        <color theme="1"/>
        <rFont val="Calibri"/>
        <family val="2"/>
        <scheme val="minor"/>
      </rPr>
      <t xml:space="preserve"> - Postsecondary Teacher: Instruction/Research/Public Service
</t>
    </r>
    <r>
      <rPr>
        <b/>
        <sz val="11"/>
        <color theme="1"/>
        <rFont val="Calibri"/>
        <family val="2"/>
        <scheme val="minor"/>
      </rPr>
      <t>03</t>
    </r>
    <r>
      <rPr>
        <sz val="11"/>
        <color theme="1"/>
        <rFont val="Calibri"/>
        <family val="2"/>
        <scheme val="minor"/>
      </rPr>
      <t xml:space="preserve"> - Postsecondary Teacher: Research
</t>
    </r>
    <r>
      <rPr>
        <b/>
        <sz val="11"/>
        <color theme="1"/>
        <rFont val="Calibri"/>
        <family val="2"/>
        <scheme val="minor"/>
      </rPr>
      <t>04</t>
    </r>
    <r>
      <rPr>
        <sz val="11"/>
        <color theme="1"/>
        <rFont val="Calibri"/>
        <family val="2"/>
        <scheme val="minor"/>
      </rPr>
      <t xml:space="preserve"> - Postsecondary Teacher: Public Service
</t>
    </r>
    <r>
      <rPr>
        <b/>
        <sz val="11"/>
        <color theme="1"/>
        <rFont val="Calibri"/>
        <family val="2"/>
        <scheme val="minor"/>
      </rPr>
      <t>05</t>
    </r>
    <r>
      <rPr>
        <sz val="11"/>
        <color theme="1"/>
        <rFont val="Calibri"/>
        <family val="2"/>
        <scheme val="minor"/>
      </rPr>
      <t xml:space="preserve"> - Archivists, Curators, and Museum Technicians
</t>
    </r>
    <r>
      <rPr>
        <b/>
        <sz val="11"/>
        <color theme="1"/>
        <rFont val="Calibri"/>
        <family val="2"/>
        <scheme val="minor"/>
      </rPr>
      <t>06</t>
    </r>
    <r>
      <rPr>
        <sz val="11"/>
        <color theme="1"/>
        <rFont val="Calibri"/>
        <family val="2"/>
        <scheme val="minor"/>
      </rPr>
      <t xml:space="preserve"> - Librarians
</t>
    </r>
    <r>
      <rPr>
        <b/>
        <sz val="11"/>
        <color theme="1"/>
        <rFont val="Calibri"/>
        <family val="2"/>
        <scheme val="minor"/>
      </rPr>
      <t>07</t>
    </r>
    <r>
      <rPr>
        <sz val="11"/>
        <color theme="1"/>
        <rFont val="Calibri"/>
        <family val="2"/>
        <scheme val="minor"/>
      </rPr>
      <t xml:space="preserve"> - Librarian Technicians
</t>
    </r>
    <r>
      <rPr>
        <b/>
        <sz val="11"/>
        <color theme="1"/>
        <rFont val="Calibri"/>
        <family val="2"/>
        <scheme val="minor"/>
      </rPr>
      <t>08</t>
    </r>
    <r>
      <rPr>
        <sz val="11"/>
        <color theme="1"/>
        <rFont val="Calibri"/>
        <family val="2"/>
        <scheme val="minor"/>
      </rPr>
      <t xml:space="preserve"> - Non-Postsecondary Teachers
</t>
    </r>
    <r>
      <rPr>
        <b/>
        <sz val="11"/>
        <color theme="1"/>
        <rFont val="Calibri"/>
        <family val="2"/>
        <scheme val="minor"/>
      </rPr>
      <t>09</t>
    </r>
    <r>
      <rPr>
        <sz val="11"/>
        <color theme="1"/>
        <rFont val="Calibri"/>
        <family val="2"/>
        <scheme val="minor"/>
      </rPr>
      <t xml:space="preserve"> - Management Occupations
</t>
    </r>
    <r>
      <rPr>
        <b/>
        <sz val="11"/>
        <color theme="1"/>
        <rFont val="Calibri"/>
        <family val="2"/>
        <scheme val="minor"/>
      </rPr>
      <t>10</t>
    </r>
    <r>
      <rPr>
        <sz val="11"/>
        <color theme="1"/>
        <rFont val="Calibri"/>
        <family val="2"/>
        <scheme val="minor"/>
      </rPr>
      <t xml:space="preserve"> - Business and Financial Occupations
</t>
    </r>
    <r>
      <rPr>
        <b/>
        <sz val="11"/>
        <color theme="1"/>
        <rFont val="Calibri"/>
        <family val="2"/>
        <scheme val="minor"/>
      </rPr>
      <t>11</t>
    </r>
    <r>
      <rPr>
        <sz val="11"/>
        <color theme="1"/>
        <rFont val="Calibri"/>
        <family val="2"/>
        <scheme val="minor"/>
      </rPr>
      <t xml:space="preserve"> - Computer, Engineering and Science Occupations
</t>
    </r>
    <r>
      <rPr>
        <b/>
        <sz val="11"/>
        <color theme="1"/>
        <rFont val="Calibri"/>
        <family val="2"/>
        <scheme val="minor"/>
      </rPr>
      <t>12</t>
    </r>
    <r>
      <rPr>
        <sz val="11"/>
        <color theme="1"/>
        <rFont val="Calibri"/>
        <family val="2"/>
        <scheme val="minor"/>
      </rPr>
      <t xml:space="preserve"> - Community Service, Legal, Arts, and Media Occupations
</t>
    </r>
    <r>
      <rPr>
        <b/>
        <sz val="11"/>
        <color theme="1"/>
        <rFont val="Calibri"/>
        <family val="2"/>
        <scheme val="minor"/>
      </rPr>
      <t>13</t>
    </r>
    <r>
      <rPr>
        <sz val="11"/>
        <color theme="1"/>
        <rFont val="Calibri"/>
        <family val="2"/>
        <scheme val="minor"/>
      </rPr>
      <t xml:space="preserve"> - Healthcare Practitioners and Technical Occupations
</t>
    </r>
    <r>
      <rPr>
        <b/>
        <sz val="11"/>
        <color theme="1"/>
        <rFont val="Calibri"/>
        <family val="2"/>
        <scheme val="minor"/>
      </rPr>
      <t>14</t>
    </r>
    <r>
      <rPr>
        <sz val="11"/>
        <color theme="1"/>
        <rFont val="Calibri"/>
        <family val="2"/>
        <scheme val="minor"/>
      </rPr>
      <t xml:space="preserve"> - Service Occupations
</t>
    </r>
    <r>
      <rPr>
        <b/>
        <sz val="11"/>
        <color theme="1"/>
        <rFont val="Calibri"/>
        <family val="2"/>
        <scheme val="minor"/>
      </rPr>
      <t>15</t>
    </r>
    <r>
      <rPr>
        <sz val="11"/>
        <color theme="1"/>
        <rFont val="Calibri"/>
        <family val="2"/>
        <scheme val="minor"/>
      </rPr>
      <t xml:space="preserve"> - Sales and Related Occupations
</t>
    </r>
    <r>
      <rPr>
        <b/>
        <sz val="11"/>
        <color theme="1"/>
        <rFont val="Calibri"/>
        <family val="2"/>
        <scheme val="minor"/>
      </rPr>
      <t>16</t>
    </r>
    <r>
      <rPr>
        <sz val="11"/>
        <color theme="1"/>
        <rFont val="Calibri"/>
        <family val="2"/>
        <scheme val="minor"/>
      </rPr>
      <t xml:space="preserve"> - Office and Administrative Support Occupations
</t>
    </r>
    <r>
      <rPr>
        <b/>
        <sz val="11"/>
        <color theme="1"/>
        <rFont val="Calibri"/>
        <family val="2"/>
        <scheme val="minor"/>
      </rPr>
      <t>17</t>
    </r>
    <r>
      <rPr>
        <sz val="11"/>
        <color theme="1"/>
        <rFont val="Calibri"/>
        <family val="2"/>
        <scheme val="minor"/>
      </rPr>
      <t xml:space="preserve"> - Natural Resources, Construction
</t>
    </r>
    <r>
      <rPr>
        <b/>
        <sz val="11"/>
        <color theme="1"/>
        <rFont val="Calibri"/>
        <family val="2"/>
        <scheme val="minor"/>
      </rPr>
      <t>18</t>
    </r>
    <r>
      <rPr>
        <sz val="11"/>
        <color theme="1"/>
        <rFont val="Calibri"/>
        <family val="2"/>
        <scheme val="minor"/>
      </rPr>
      <t xml:space="preserve"> - Maintenance Occupations
</t>
    </r>
  </si>
  <si>
    <r>
      <t>LEAOnly</t>
    </r>
    <r>
      <rPr>
        <sz val="11"/>
        <color theme="1"/>
        <rFont val="Calibri"/>
        <family val="2"/>
        <scheme val="minor"/>
      </rPr>
      <t xml:space="preserve"> - LEA only
</t>
    </r>
    <r>
      <rPr>
        <b/>
        <sz val="11"/>
        <color theme="1"/>
        <rFont val="Calibri"/>
        <family val="2"/>
        <scheme val="minor"/>
      </rPr>
      <t>SEAOnly</t>
    </r>
    <r>
      <rPr>
        <sz val="11"/>
        <color theme="1"/>
        <rFont val="Calibri"/>
        <family val="2"/>
        <scheme val="minor"/>
      </rPr>
      <t xml:space="preserve"> - SEA only
</t>
    </r>
    <r>
      <rPr>
        <b/>
        <sz val="11"/>
        <color theme="1"/>
        <rFont val="Calibri"/>
        <family val="2"/>
        <scheme val="minor"/>
      </rPr>
      <t>Both</t>
    </r>
    <r>
      <rPr>
        <sz val="11"/>
        <color theme="1"/>
        <rFont val="Calibri"/>
        <family val="2"/>
        <scheme val="minor"/>
      </rPr>
      <t xml:space="preserve"> - LEA and SEA
</t>
    </r>
    <r>
      <rPr>
        <b/>
        <sz val="11"/>
        <color theme="1"/>
        <rFont val="Calibri"/>
        <family val="2"/>
        <scheme val="minor"/>
      </rPr>
      <t>Neither</t>
    </r>
    <r>
      <rPr>
        <sz val="11"/>
        <color theme="1"/>
        <rFont val="Calibri"/>
        <family val="2"/>
        <scheme val="minor"/>
      </rPr>
      <t xml:space="preserve"> - Neither LEA or SEA
</t>
    </r>
  </si>
  <si>
    <r>
      <t>FullDay</t>
    </r>
    <r>
      <rPr>
        <sz val="11"/>
        <color theme="1"/>
        <rFont val="Calibri"/>
        <family val="2"/>
        <scheme val="minor"/>
      </rPr>
      <t xml:space="preserve"> - Full-day
</t>
    </r>
    <r>
      <rPr>
        <b/>
        <sz val="11"/>
        <color theme="1"/>
        <rFont val="Calibri"/>
        <family val="2"/>
        <scheme val="minor"/>
      </rPr>
      <t>Part-day</t>
    </r>
    <r>
      <rPr>
        <sz val="11"/>
        <color theme="1"/>
        <rFont val="Calibri"/>
        <family val="2"/>
        <scheme val="minor"/>
      </rPr>
      <t xml:space="preserve"> - Part-day
</t>
    </r>
    <r>
      <rPr>
        <b/>
        <sz val="11"/>
        <color theme="1"/>
        <rFont val="Calibri"/>
        <family val="2"/>
        <scheme val="minor"/>
      </rPr>
      <t>NotProvided</t>
    </r>
    <r>
      <rPr>
        <sz val="11"/>
        <color theme="1"/>
        <rFont val="Calibri"/>
        <family val="2"/>
        <scheme val="minor"/>
      </rPr>
      <t xml:space="preserve"> - Not provided
</t>
    </r>
  </si>
  <si>
    <r>
      <t>FullDayKindergarten</t>
    </r>
    <r>
      <rPr>
        <sz val="11"/>
        <color theme="1"/>
        <rFont val="Calibri"/>
        <family val="2"/>
        <scheme val="minor"/>
      </rPr>
      <t xml:space="preserve"> - Full-Day kindergarten
</t>
    </r>
    <r>
      <rPr>
        <b/>
        <sz val="11"/>
        <color theme="1"/>
        <rFont val="Calibri"/>
        <family val="2"/>
        <scheme val="minor"/>
      </rPr>
      <t>PartDayKindergarten</t>
    </r>
    <r>
      <rPr>
        <sz val="11"/>
        <color theme="1"/>
        <rFont val="Calibri"/>
        <family val="2"/>
        <scheme val="minor"/>
      </rPr>
      <t xml:space="preserve"> - Part-Day kindergarten
</t>
    </r>
    <r>
      <rPr>
        <b/>
        <sz val="11"/>
        <color theme="1"/>
        <rFont val="Calibri"/>
        <family val="2"/>
        <scheme val="minor"/>
      </rPr>
      <t>ExtendedDayKindergarten</t>
    </r>
    <r>
      <rPr>
        <sz val="11"/>
        <color theme="1"/>
        <rFont val="Calibri"/>
        <family val="2"/>
        <scheme val="minor"/>
      </rPr>
      <t xml:space="preserve"> - Extended day kindergarten
</t>
    </r>
  </si>
  <si>
    <r>
      <t>Correspondence</t>
    </r>
    <r>
      <rPr>
        <sz val="11"/>
        <color theme="1"/>
        <rFont val="Calibri"/>
        <family val="2"/>
        <scheme val="minor"/>
      </rPr>
      <t xml:space="preserve"> - Correspondence language
</t>
    </r>
    <r>
      <rPr>
        <b/>
        <sz val="11"/>
        <color theme="1"/>
        <rFont val="Calibri"/>
        <family val="2"/>
        <scheme val="minor"/>
      </rPr>
      <t>Dominant</t>
    </r>
    <r>
      <rPr>
        <sz val="11"/>
        <color theme="1"/>
        <rFont val="Calibri"/>
        <family val="2"/>
        <scheme val="minor"/>
      </rPr>
      <t xml:space="preserve"> - Dominant language
</t>
    </r>
    <r>
      <rPr>
        <b/>
        <sz val="11"/>
        <color theme="1"/>
        <rFont val="Calibri"/>
        <family val="2"/>
        <scheme val="minor"/>
      </rPr>
      <t>Home</t>
    </r>
    <r>
      <rPr>
        <sz val="11"/>
        <color theme="1"/>
        <rFont val="Calibri"/>
        <family val="2"/>
        <scheme val="minor"/>
      </rPr>
      <t xml:space="preserve"> - Home language
</t>
    </r>
    <r>
      <rPr>
        <b/>
        <sz val="11"/>
        <color theme="1"/>
        <rFont val="Calibri"/>
        <family val="2"/>
        <scheme val="minor"/>
      </rPr>
      <t>Native</t>
    </r>
    <r>
      <rPr>
        <sz val="11"/>
        <color theme="1"/>
        <rFont val="Calibri"/>
        <family val="2"/>
        <scheme val="minor"/>
      </rPr>
      <t xml:space="preserve"> - Native language
</t>
    </r>
    <r>
      <rPr>
        <b/>
        <sz val="11"/>
        <color theme="1"/>
        <rFont val="Calibri"/>
        <family val="2"/>
        <scheme val="minor"/>
      </rPr>
      <t>OtherLanguageProficiency</t>
    </r>
    <r>
      <rPr>
        <sz val="11"/>
        <color theme="1"/>
        <rFont val="Calibri"/>
        <family val="2"/>
        <scheme val="minor"/>
      </rPr>
      <t xml:space="preserve"> - Other language proficiency
</t>
    </r>
    <r>
      <rPr>
        <b/>
        <sz val="11"/>
        <color theme="1"/>
        <rFont val="Calibri"/>
        <family val="2"/>
        <scheme val="minor"/>
      </rPr>
      <t>Other</t>
    </r>
    <r>
      <rPr>
        <sz val="11"/>
        <color theme="1"/>
        <rFont val="Calibri"/>
        <family val="2"/>
        <scheme val="minor"/>
      </rPr>
      <t xml:space="preserve"> - Other
</t>
    </r>
  </si>
  <si>
    <r>
      <t>Start</t>
    </r>
    <r>
      <rPr>
        <sz val="11"/>
        <color theme="1"/>
        <rFont val="Calibri"/>
        <family val="2"/>
        <scheme val="minor"/>
      </rPr>
      <t xml:space="preserve"> - The start of the problem
</t>
    </r>
    <r>
      <rPr>
        <b/>
        <sz val="11"/>
        <color theme="1"/>
        <rFont val="Calibri"/>
        <family val="2"/>
        <scheme val="minor"/>
      </rPr>
      <t>Hint</t>
    </r>
    <r>
      <rPr>
        <sz val="11"/>
        <color theme="1"/>
        <rFont val="Calibri"/>
        <family val="2"/>
        <scheme val="minor"/>
      </rPr>
      <t xml:space="preserve"> - A hint was requested
</t>
    </r>
    <r>
      <rPr>
        <b/>
        <sz val="11"/>
        <color theme="1"/>
        <rFont val="Calibri"/>
        <family val="2"/>
        <scheme val="minor"/>
      </rPr>
      <t>Answer</t>
    </r>
    <r>
      <rPr>
        <sz val="11"/>
        <color theme="1"/>
        <rFont val="Calibri"/>
        <family val="2"/>
        <scheme val="minor"/>
      </rPr>
      <t xml:space="preserve"> - A response was given
</t>
    </r>
    <r>
      <rPr>
        <b/>
        <sz val="11"/>
        <color theme="1"/>
        <rFont val="Calibri"/>
        <family val="2"/>
        <scheme val="minor"/>
      </rPr>
      <t>Link</t>
    </r>
    <r>
      <rPr>
        <sz val="11"/>
        <color theme="1"/>
        <rFont val="Calibri"/>
        <family val="2"/>
        <scheme val="minor"/>
      </rPr>
      <t xml:space="preserve"> - Link to a resource
</t>
    </r>
    <r>
      <rPr>
        <b/>
        <sz val="11"/>
        <color theme="1"/>
        <rFont val="Calibri"/>
        <family val="2"/>
        <scheme val="minor"/>
      </rPr>
      <t>Resume</t>
    </r>
    <r>
      <rPr>
        <sz val="11"/>
        <color theme="1"/>
        <rFont val="Calibri"/>
        <family val="2"/>
        <scheme val="minor"/>
      </rPr>
      <t xml:space="preserve"> - The user is returning to a problem they previously started
</t>
    </r>
    <r>
      <rPr>
        <b/>
        <sz val="11"/>
        <color theme="1"/>
        <rFont val="Calibri"/>
        <family val="2"/>
        <scheme val="minor"/>
      </rPr>
      <t>Scaffold</t>
    </r>
    <r>
      <rPr>
        <sz val="11"/>
        <color theme="1"/>
        <rFont val="Calibri"/>
        <family val="2"/>
        <scheme val="minor"/>
      </rPr>
      <t xml:space="preserve"> - Scaffolding was started
</t>
    </r>
    <r>
      <rPr>
        <b/>
        <sz val="11"/>
        <color theme="1"/>
        <rFont val="Calibri"/>
        <family val="2"/>
        <scheme val="minor"/>
      </rPr>
      <t>End</t>
    </r>
    <r>
      <rPr>
        <sz val="11"/>
        <color theme="1"/>
        <rFont val="Calibri"/>
        <family val="2"/>
        <scheme val="minor"/>
      </rPr>
      <t xml:space="preserve"> - The end of the problem
</t>
    </r>
  </si>
  <si>
    <r>
      <t>CurriculumInstruction</t>
    </r>
    <r>
      <rPr>
        <sz val="11"/>
        <color theme="1"/>
        <rFont val="Calibri"/>
        <family val="2"/>
        <scheme val="minor"/>
      </rPr>
      <t xml:space="preserve"> - Curriculum/Instruction
</t>
    </r>
    <r>
      <rPr>
        <b/>
        <sz val="11"/>
        <color theme="1"/>
        <rFont val="Calibri"/>
        <family val="2"/>
        <scheme val="minor"/>
      </rPr>
      <t>Assessment</t>
    </r>
    <r>
      <rPr>
        <sz val="11"/>
        <color theme="1"/>
        <rFont val="Calibri"/>
        <family val="2"/>
        <scheme val="minor"/>
      </rPr>
      <t xml:space="preserve"> - Assessment
</t>
    </r>
    <r>
      <rPr>
        <b/>
        <sz val="11"/>
        <color theme="1"/>
        <rFont val="Calibri"/>
        <family val="2"/>
        <scheme val="minor"/>
      </rPr>
      <t>ProfessionalDevelopment</t>
    </r>
    <r>
      <rPr>
        <sz val="11"/>
        <color theme="1"/>
        <rFont val="Calibri"/>
        <family val="2"/>
        <scheme val="minor"/>
      </rPr>
      <t xml:space="preserve"> - Professional Development
</t>
    </r>
    <r>
      <rPr>
        <b/>
        <sz val="11"/>
        <color theme="1"/>
        <rFont val="Calibri"/>
        <family val="2"/>
        <scheme val="minor"/>
      </rPr>
      <t>Other</t>
    </r>
    <r>
      <rPr>
        <sz val="11"/>
        <color theme="1"/>
        <rFont val="Calibri"/>
        <family val="2"/>
        <scheme val="minor"/>
      </rPr>
      <t xml:space="preserve"> - Other
</t>
    </r>
  </si>
  <si>
    <r>
      <t>AudioCD</t>
    </r>
    <r>
      <rPr>
        <sz val="11"/>
        <color theme="1"/>
        <rFont val="Calibri"/>
        <family val="2"/>
        <scheme val="minor"/>
      </rPr>
      <t xml:space="preserve"> - Audio CD
</t>
    </r>
    <r>
      <rPr>
        <b/>
        <sz val="11"/>
        <color theme="1"/>
        <rFont val="Calibri"/>
        <family val="2"/>
        <scheme val="minor"/>
      </rPr>
      <t>Audiotape</t>
    </r>
    <r>
      <rPr>
        <sz val="11"/>
        <color theme="1"/>
        <rFont val="Calibri"/>
        <family val="2"/>
        <scheme val="minor"/>
      </rPr>
      <t xml:space="preserve"> - Audiotape
</t>
    </r>
    <r>
      <rPr>
        <b/>
        <sz val="11"/>
        <color theme="1"/>
        <rFont val="Calibri"/>
        <family val="2"/>
        <scheme val="minor"/>
      </rPr>
      <t>Calculator</t>
    </r>
    <r>
      <rPr>
        <sz val="11"/>
        <color theme="1"/>
        <rFont val="Calibri"/>
        <family val="2"/>
        <scheme val="minor"/>
      </rPr>
      <t xml:space="preserve"> - Calculator
</t>
    </r>
    <r>
      <rPr>
        <b/>
        <sz val="11"/>
        <color theme="1"/>
        <rFont val="Calibri"/>
        <family val="2"/>
        <scheme val="minor"/>
      </rPr>
      <t>CD-I</t>
    </r>
    <r>
      <rPr>
        <sz val="11"/>
        <color theme="1"/>
        <rFont val="Calibri"/>
        <family val="2"/>
        <scheme val="minor"/>
      </rPr>
      <t xml:space="preserve"> - CD-I
</t>
    </r>
    <r>
      <rPr>
        <b/>
        <sz val="11"/>
        <color theme="1"/>
        <rFont val="Calibri"/>
        <family val="2"/>
        <scheme val="minor"/>
      </rPr>
      <t>CD-ROM</t>
    </r>
    <r>
      <rPr>
        <sz val="11"/>
        <color theme="1"/>
        <rFont val="Calibri"/>
        <family val="2"/>
        <scheme val="minor"/>
      </rPr>
      <t xml:space="preserve"> - CD-ROM
</t>
    </r>
    <r>
      <rPr>
        <b/>
        <sz val="11"/>
        <color theme="1"/>
        <rFont val="Calibri"/>
        <family val="2"/>
        <scheme val="minor"/>
      </rPr>
      <t>Diskette</t>
    </r>
    <r>
      <rPr>
        <sz val="11"/>
        <color theme="1"/>
        <rFont val="Calibri"/>
        <family val="2"/>
        <scheme val="minor"/>
      </rPr>
      <t xml:space="preserve"> - Diskette
</t>
    </r>
    <r>
      <rPr>
        <b/>
        <sz val="11"/>
        <color theme="1"/>
        <rFont val="Calibri"/>
        <family val="2"/>
        <scheme val="minor"/>
      </rPr>
      <t>DuplicationMaster</t>
    </r>
    <r>
      <rPr>
        <sz val="11"/>
        <color theme="1"/>
        <rFont val="Calibri"/>
        <family val="2"/>
        <scheme val="minor"/>
      </rPr>
      <t xml:space="preserve"> - Duplication Master
</t>
    </r>
    <r>
      <rPr>
        <b/>
        <sz val="11"/>
        <color theme="1"/>
        <rFont val="Calibri"/>
        <family val="2"/>
        <scheme val="minor"/>
      </rPr>
      <t>DVD</t>
    </r>
    <r>
      <rPr>
        <sz val="11"/>
        <color theme="1"/>
        <rFont val="Calibri"/>
        <family val="2"/>
        <scheme val="minor"/>
      </rPr>
      <t xml:space="preserve"> - DVD/ Blu-ray
</t>
    </r>
    <r>
      <rPr>
        <b/>
        <sz val="11"/>
        <color theme="1"/>
        <rFont val="Calibri"/>
        <family val="2"/>
        <scheme val="minor"/>
      </rPr>
      <t>E-Mail</t>
    </r>
    <r>
      <rPr>
        <sz val="11"/>
        <color theme="1"/>
        <rFont val="Calibri"/>
        <family val="2"/>
        <scheme val="minor"/>
      </rPr>
      <t xml:space="preserve"> - E-Mail
</t>
    </r>
    <r>
      <rPr>
        <b/>
        <sz val="11"/>
        <color theme="1"/>
        <rFont val="Calibri"/>
        <family val="2"/>
        <scheme val="minor"/>
      </rPr>
      <t>ElectronicSlides</t>
    </r>
    <r>
      <rPr>
        <sz val="11"/>
        <color theme="1"/>
        <rFont val="Calibri"/>
        <family val="2"/>
        <scheme val="minor"/>
      </rPr>
      <t xml:space="preserve"> - Electronic Slides
</t>
    </r>
    <r>
      <rPr>
        <b/>
        <sz val="11"/>
        <color theme="1"/>
        <rFont val="Calibri"/>
        <family val="2"/>
        <scheme val="minor"/>
      </rPr>
      <t>FieldTrip</t>
    </r>
    <r>
      <rPr>
        <sz val="11"/>
        <color theme="1"/>
        <rFont val="Calibri"/>
        <family val="2"/>
        <scheme val="minor"/>
      </rPr>
      <t xml:space="preserve"> - Field Trip
</t>
    </r>
    <r>
      <rPr>
        <b/>
        <sz val="11"/>
        <color theme="1"/>
        <rFont val="Calibri"/>
        <family val="2"/>
        <scheme val="minor"/>
      </rPr>
      <t>Filmstrip</t>
    </r>
    <r>
      <rPr>
        <sz val="11"/>
        <color theme="1"/>
        <rFont val="Calibri"/>
        <family val="2"/>
        <scheme val="minor"/>
      </rPr>
      <t xml:space="preserve"> - Filmstrip
</t>
    </r>
    <r>
      <rPr>
        <b/>
        <sz val="11"/>
        <color theme="1"/>
        <rFont val="Calibri"/>
        <family val="2"/>
        <scheme val="minor"/>
      </rPr>
      <t>Flash</t>
    </r>
    <r>
      <rPr>
        <sz val="11"/>
        <color theme="1"/>
        <rFont val="Calibri"/>
        <family val="2"/>
        <scheme val="minor"/>
      </rPr>
      <t xml:space="preserve"> - Flash
</t>
    </r>
    <r>
      <rPr>
        <b/>
        <sz val="11"/>
        <color theme="1"/>
        <rFont val="Calibri"/>
        <family val="2"/>
        <scheme val="minor"/>
      </rPr>
      <t>Image</t>
    </r>
    <r>
      <rPr>
        <sz val="11"/>
        <color theme="1"/>
        <rFont val="Calibri"/>
        <family val="2"/>
        <scheme val="minor"/>
      </rPr>
      <t xml:space="preserve"> - Image
</t>
    </r>
    <r>
      <rPr>
        <b/>
        <sz val="11"/>
        <color theme="1"/>
        <rFont val="Calibri"/>
        <family val="2"/>
        <scheme val="minor"/>
      </rPr>
      <t>In-Person</t>
    </r>
    <r>
      <rPr>
        <sz val="11"/>
        <color theme="1"/>
        <rFont val="Calibri"/>
        <family val="2"/>
        <scheme val="minor"/>
      </rPr>
      <t xml:space="preserve"> - In-Person/Speaker
</t>
    </r>
    <r>
      <rPr>
        <b/>
        <sz val="11"/>
        <color theme="1"/>
        <rFont val="Calibri"/>
        <family val="2"/>
        <scheme val="minor"/>
      </rPr>
      <t>InteractiveWhiteboard</t>
    </r>
    <r>
      <rPr>
        <sz val="11"/>
        <color theme="1"/>
        <rFont val="Calibri"/>
        <family val="2"/>
        <scheme val="minor"/>
      </rPr>
      <t xml:space="preserve"> - Interactive Whiteboard
</t>
    </r>
    <r>
      <rPr>
        <b/>
        <sz val="11"/>
        <color theme="1"/>
        <rFont val="Calibri"/>
        <family val="2"/>
        <scheme val="minor"/>
      </rPr>
      <t>Manipulative</t>
    </r>
    <r>
      <rPr>
        <sz val="11"/>
        <color theme="1"/>
        <rFont val="Calibri"/>
        <family val="2"/>
        <scheme val="minor"/>
      </rPr>
      <t xml:space="preserve"> - Manipulative
</t>
    </r>
    <r>
      <rPr>
        <b/>
        <sz val="11"/>
        <color theme="1"/>
        <rFont val="Calibri"/>
        <family val="2"/>
        <scheme val="minor"/>
      </rPr>
      <t>MBL</t>
    </r>
    <r>
      <rPr>
        <sz val="11"/>
        <color theme="1"/>
        <rFont val="Calibri"/>
        <family val="2"/>
        <scheme val="minor"/>
      </rPr>
      <t xml:space="preserve"> - MBL (Microcomputer Based)
</t>
    </r>
    <r>
      <rPr>
        <b/>
        <sz val="11"/>
        <color theme="1"/>
        <rFont val="Calibri"/>
        <family val="2"/>
        <scheme val="minor"/>
      </rPr>
      <t>Microfiche</t>
    </r>
    <r>
      <rPr>
        <sz val="11"/>
        <color theme="1"/>
        <rFont val="Calibri"/>
        <family val="2"/>
        <scheme val="minor"/>
      </rPr>
      <t xml:space="preserve"> - Microfiche
</t>
    </r>
    <r>
      <rPr>
        <b/>
        <sz val="11"/>
        <color theme="1"/>
        <rFont val="Calibri"/>
        <family val="2"/>
        <scheme val="minor"/>
      </rPr>
      <t>Overhead</t>
    </r>
    <r>
      <rPr>
        <sz val="11"/>
        <color theme="1"/>
        <rFont val="Calibri"/>
        <family val="2"/>
        <scheme val="minor"/>
      </rPr>
      <t xml:space="preserve"> - Overhead
</t>
    </r>
    <r>
      <rPr>
        <b/>
        <sz val="11"/>
        <color theme="1"/>
        <rFont val="Calibri"/>
        <family val="2"/>
        <scheme val="minor"/>
      </rPr>
      <t>Pamphlet</t>
    </r>
    <r>
      <rPr>
        <sz val="11"/>
        <color theme="1"/>
        <rFont val="Calibri"/>
        <family val="2"/>
        <scheme val="minor"/>
      </rPr>
      <t xml:space="preserve"> - Pamphlet
</t>
    </r>
    <r>
      <rPr>
        <b/>
        <sz val="11"/>
        <color theme="1"/>
        <rFont val="Calibri"/>
        <family val="2"/>
        <scheme val="minor"/>
      </rPr>
      <t>PDF</t>
    </r>
    <r>
      <rPr>
        <sz val="11"/>
        <color theme="1"/>
        <rFont val="Calibri"/>
        <family val="2"/>
        <scheme val="minor"/>
      </rPr>
      <t xml:space="preserve"> - PDF
</t>
    </r>
    <r>
      <rPr>
        <b/>
        <sz val="11"/>
        <color theme="1"/>
        <rFont val="Calibri"/>
        <family val="2"/>
        <scheme val="minor"/>
      </rPr>
      <t>Person-to-Person</t>
    </r>
    <r>
      <rPr>
        <sz val="11"/>
        <color theme="1"/>
        <rFont val="Calibri"/>
        <family val="2"/>
        <scheme val="minor"/>
      </rPr>
      <t xml:space="preserve"> - Person-to-Person
</t>
    </r>
    <r>
      <rPr>
        <b/>
        <sz val="11"/>
        <color theme="1"/>
        <rFont val="Calibri"/>
        <family val="2"/>
        <scheme val="minor"/>
      </rPr>
      <t>PhonographRecord</t>
    </r>
    <r>
      <rPr>
        <sz val="11"/>
        <color theme="1"/>
        <rFont val="Calibri"/>
        <family val="2"/>
        <scheme val="minor"/>
      </rPr>
      <t xml:space="preserve"> - Phonograph Record
</t>
    </r>
    <r>
      <rPr>
        <b/>
        <sz val="11"/>
        <color theme="1"/>
        <rFont val="Calibri"/>
        <family val="2"/>
        <scheme val="minor"/>
      </rPr>
      <t>Photo</t>
    </r>
    <r>
      <rPr>
        <sz val="11"/>
        <color theme="1"/>
        <rFont val="Calibri"/>
        <family val="2"/>
        <scheme val="minor"/>
      </rPr>
      <t xml:space="preserve"> - Photo
</t>
    </r>
    <r>
      <rPr>
        <b/>
        <sz val="11"/>
        <color theme="1"/>
        <rFont val="Calibri"/>
        <family val="2"/>
        <scheme val="minor"/>
      </rPr>
      <t>Podcast</t>
    </r>
    <r>
      <rPr>
        <sz val="11"/>
        <color theme="1"/>
        <rFont val="Calibri"/>
        <family val="2"/>
        <scheme val="minor"/>
      </rPr>
      <t xml:space="preserve"> - Podcast
</t>
    </r>
    <r>
      <rPr>
        <b/>
        <sz val="11"/>
        <color theme="1"/>
        <rFont val="Calibri"/>
        <family val="2"/>
        <scheme val="minor"/>
      </rPr>
      <t>Printed</t>
    </r>
    <r>
      <rPr>
        <sz val="11"/>
        <color theme="1"/>
        <rFont val="Calibri"/>
        <family val="2"/>
        <scheme val="minor"/>
      </rPr>
      <t xml:space="preserve"> - Printed
</t>
    </r>
    <r>
      <rPr>
        <b/>
        <sz val="11"/>
        <color theme="1"/>
        <rFont val="Calibri"/>
        <family val="2"/>
        <scheme val="minor"/>
      </rPr>
      <t>Radio</t>
    </r>
    <r>
      <rPr>
        <sz val="11"/>
        <color theme="1"/>
        <rFont val="Calibri"/>
        <family val="2"/>
        <scheme val="minor"/>
      </rPr>
      <t xml:space="preserve"> - Radio
</t>
    </r>
    <r>
      <rPr>
        <b/>
        <sz val="11"/>
        <color theme="1"/>
        <rFont val="Calibri"/>
        <family val="2"/>
        <scheme val="minor"/>
      </rPr>
      <t>Robotics</t>
    </r>
    <r>
      <rPr>
        <sz val="11"/>
        <color theme="1"/>
        <rFont val="Calibri"/>
        <family val="2"/>
        <scheme val="minor"/>
      </rPr>
      <t xml:space="preserve"> - Robotics
</t>
    </r>
    <r>
      <rPr>
        <b/>
        <sz val="11"/>
        <color theme="1"/>
        <rFont val="Calibri"/>
        <family val="2"/>
        <scheme val="minor"/>
      </rPr>
      <t>Satellite</t>
    </r>
    <r>
      <rPr>
        <sz val="11"/>
        <color theme="1"/>
        <rFont val="Calibri"/>
        <family val="2"/>
        <scheme val="minor"/>
      </rPr>
      <t xml:space="preserve"> - Satellite
</t>
    </r>
    <r>
      <rPr>
        <b/>
        <sz val="11"/>
        <color theme="1"/>
        <rFont val="Calibri"/>
        <family val="2"/>
        <scheme val="minor"/>
      </rPr>
      <t>Slides</t>
    </r>
    <r>
      <rPr>
        <sz val="11"/>
        <color theme="1"/>
        <rFont val="Calibri"/>
        <family val="2"/>
        <scheme val="minor"/>
      </rPr>
      <t xml:space="preserve"> - Slides
</t>
    </r>
    <r>
      <rPr>
        <b/>
        <sz val="11"/>
        <color theme="1"/>
        <rFont val="Calibri"/>
        <family val="2"/>
        <scheme val="minor"/>
      </rPr>
      <t>Television</t>
    </r>
    <r>
      <rPr>
        <sz val="11"/>
        <color theme="1"/>
        <rFont val="Calibri"/>
        <family val="2"/>
        <scheme val="minor"/>
      </rPr>
      <t xml:space="preserve"> - Television
</t>
    </r>
    <r>
      <rPr>
        <b/>
        <sz val="11"/>
        <color theme="1"/>
        <rFont val="Calibri"/>
        <family val="2"/>
        <scheme val="minor"/>
      </rPr>
      <t>Transparency</t>
    </r>
    <r>
      <rPr>
        <sz val="11"/>
        <color theme="1"/>
        <rFont val="Calibri"/>
        <family val="2"/>
        <scheme val="minor"/>
      </rPr>
      <t xml:space="preserve"> - Transparency
</t>
    </r>
    <r>
      <rPr>
        <b/>
        <sz val="11"/>
        <color theme="1"/>
        <rFont val="Calibri"/>
        <family val="2"/>
        <scheme val="minor"/>
      </rPr>
      <t>VideoConference</t>
    </r>
    <r>
      <rPr>
        <sz val="11"/>
        <color theme="1"/>
        <rFont val="Calibri"/>
        <family val="2"/>
        <scheme val="minor"/>
      </rPr>
      <t xml:space="preserve"> - Video Conference
</t>
    </r>
    <r>
      <rPr>
        <b/>
        <sz val="11"/>
        <color theme="1"/>
        <rFont val="Calibri"/>
        <family val="2"/>
        <scheme val="minor"/>
      </rPr>
      <t>Videodisc</t>
    </r>
    <r>
      <rPr>
        <sz val="11"/>
        <color theme="1"/>
        <rFont val="Calibri"/>
        <family val="2"/>
        <scheme val="minor"/>
      </rPr>
      <t xml:space="preserve"> - Videodisc
</t>
    </r>
  </si>
  <si>
    <r>
      <t>AlternateAssessment</t>
    </r>
    <r>
      <rPr>
        <sz val="11"/>
        <color theme="1"/>
        <rFont val="Calibri"/>
        <family val="2"/>
        <scheme val="minor"/>
      </rPr>
      <t xml:space="preserve"> - Alternate Assessment
</t>
    </r>
    <r>
      <rPr>
        <b/>
        <sz val="11"/>
        <color theme="1"/>
        <rFont val="Calibri"/>
        <family val="2"/>
        <scheme val="minor"/>
      </rPr>
      <t>AssessmentItem</t>
    </r>
    <r>
      <rPr>
        <sz val="11"/>
        <color theme="1"/>
        <rFont val="Calibri"/>
        <family val="2"/>
        <scheme val="minor"/>
      </rPr>
      <t xml:space="preserve"> - Assessment Item
</t>
    </r>
    <r>
      <rPr>
        <b/>
        <sz val="11"/>
        <color theme="1"/>
        <rFont val="Calibri"/>
        <family val="2"/>
        <scheme val="minor"/>
      </rPr>
      <t>Course</t>
    </r>
    <r>
      <rPr>
        <sz val="11"/>
        <color theme="1"/>
        <rFont val="Calibri"/>
        <family val="2"/>
        <scheme val="minor"/>
      </rPr>
      <t xml:space="preserve"> - Course
</t>
    </r>
    <r>
      <rPr>
        <b/>
        <sz val="11"/>
        <color theme="1"/>
        <rFont val="Calibri"/>
        <family val="2"/>
        <scheme val="minor"/>
      </rPr>
      <t>DemonstrationSimulation</t>
    </r>
    <r>
      <rPr>
        <sz val="11"/>
        <color theme="1"/>
        <rFont val="Calibri"/>
        <family val="2"/>
        <scheme val="minor"/>
      </rPr>
      <t xml:space="preserve"> - Demonstration/Simulation
</t>
    </r>
    <r>
      <rPr>
        <b/>
        <sz val="11"/>
        <color theme="1"/>
        <rFont val="Calibri"/>
        <family val="2"/>
        <scheme val="minor"/>
      </rPr>
      <t>EducatorCurriculumGuide</t>
    </r>
    <r>
      <rPr>
        <sz val="11"/>
        <color theme="1"/>
        <rFont val="Calibri"/>
        <family val="2"/>
        <scheme val="minor"/>
      </rPr>
      <t xml:space="preserve"> - Educator/Curriculum Guide
</t>
    </r>
    <r>
      <rPr>
        <b/>
        <sz val="11"/>
        <color theme="1"/>
        <rFont val="Calibri"/>
        <family val="2"/>
        <scheme val="minor"/>
      </rPr>
      <t>FormativeAssessment</t>
    </r>
    <r>
      <rPr>
        <sz val="11"/>
        <color theme="1"/>
        <rFont val="Calibri"/>
        <family val="2"/>
        <scheme val="minor"/>
      </rPr>
      <t xml:space="preserve"> - Formative assessment
</t>
    </r>
    <r>
      <rPr>
        <b/>
        <sz val="11"/>
        <color theme="1"/>
        <rFont val="Calibri"/>
        <family val="2"/>
        <scheme val="minor"/>
      </rPr>
      <t>ImagesVisuals</t>
    </r>
    <r>
      <rPr>
        <sz val="11"/>
        <color theme="1"/>
        <rFont val="Calibri"/>
        <family val="2"/>
        <scheme val="minor"/>
      </rPr>
      <t xml:space="preserve"> - Images/Visuals
</t>
    </r>
    <r>
      <rPr>
        <b/>
        <sz val="11"/>
        <color theme="1"/>
        <rFont val="Calibri"/>
        <family val="2"/>
        <scheme val="minor"/>
      </rPr>
      <t>InterimSummativeAssessment</t>
    </r>
    <r>
      <rPr>
        <sz val="11"/>
        <color theme="1"/>
        <rFont val="Calibri"/>
        <family val="2"/>
        <scheme val="minor"/>
      </rPr>
      <t xml:space="preserve"> - Interim/Summative Assessment
</t>
    </r>
    <r>
      <rPr>
        <b/>
        <sz val="11"/>
        <color theme="1"/>
        <rFont val="Calibri"/>
        <family val="2"/>
        <scheme val="minor"/>
      </rPr>
      <t>LearningActivity</t>
    </r>
    <r>
      <rPr>
        <sz val="11"/>
        <color theme="1"/>
        <rFont val="Calibri"/>
        <family val="2"/>
        <scheme val="minor"/>
      </rPr>
      <t xml:space="preserve"> - Learning Activity
</t>
    </r>
    <r>
      <rPr>
        <b/>
        <sz val="11"/>
        <color theme="1"/>
        <rFont val="Calibri"/>
        <family val="2"/>
        <scheme val="minor"/>
      </rPr>
      <t>Lesson</t>
    </r>
    <r>
      <rPr>
        <sz val="11"/>
        <color theme="1"/>
        <rFont val="Calibri"/>
        <family val="2"/>
        <scheme val="minor"/>
      </rPr>
      <t xml:space="preserve"> - Lesson
</t>
    </r>
    <r>
      <rPr>
        <b/>
        <sz val="11"/>
        <color theme="1"/>
        <rFont val="Calibri"/>
        <family val="2"/>
        <scheme val="minor"/>
      </rPr>
      <t>PrimarySource</t>
    </r>
    <r>
      <rPr>
        <sz val="11"/>
        <color theme="1"/>
        <rFont val="Calibri"/>
        <family val="2"/>
        <scheme val="minor"/>
      </rPr>
      <t xml:space="preserve"> - Primary Source
</t>
    </r>
    <r>
      <rPr>
        <b/>
        <sz val="11"/>
        <color theme="1"/>
        <rFont val="Calibri"/>
        <family val="2"/>
        <scheme val="minor"/>
      </rPr>
      <t>RubricScoringGuide</t>
    </r>
    <r>
      <rPr>
        <sz val="11"/>
        <color theme="1"/>
        <rFont val="Calibri"/>
        <family val="2"/>
        <scheme val="minor"/>
      </rPr>
      <t xml:space="preserve"> - Rubric/Scoring Guide
</t>
    </r>
    <r>
      <rPr>
        <b/>
        <sz val="11"/>
        <color theme="1"/>
        <rFont val="Calibri"/>
        <family val="2"/>
        <scheme val="minor"/>
      </rPr>
      <t>SelfAssessment</t>
    </r>
    <r>
      <rPr>
        <sz val="11"/>
        <color theme="1"/>
        <rFont val="Calibri"/>
        <family val="2"/>
        <scheme val="minor"/>
      </rPr>
      <t xml:space="preserve"> - Self Assessment
</t>
    </r>
    <r>
      <rPr>
        <b/>
        <sz val="11"/>
        <color theme="1"/>
        <rFont val="Calibri"/>
        <family val="2"/>
        <scheme val="minor"/>
      </rPr>
      <t>Text</t>
    </r>
    <r>
      <rPr>
        <sz val="11"/>
        <color theme="1"/>
        <rFont val="Calibri"/>
        <family val="2"/>
        <scheme val="minor"/>
      </rPr>
      <t xml:space="preserve"> - Text
</t>
    </r>
    <r>
      <rPr>
        <b/>
        <sz val="11"/>
        <color theme="1"/>
        <rFont val="Calibri"/>
        <family val="2"/>
        <scheme val="minor"/>
      </rPr>
      <t>Textbook</t>
    </r>
    <r>
      <rPr>
        <sz val="11"/>
        <color theme="1"/>
        <rFont val="Calibri"/>
        <family val="2"/>
        <scheme val="minor"/>
      </rPr>
      <t xml:space="preserve"> - Textbook
</t>
    </r>
    <r>
      <rPr>
        <b/>
        <sz val="11"/>
        <color theme="1"/>
        <rFont val="Calibri"/>
        <family val="2"/>
        <scheme val="minor"/>
      </rPr>
      <t>Unit</t>
    </r>
    <r>
      <rPr>
        <sz val="11"/>
        <color theme="1"/>
        <rFont val="Calibri"/>
        <family val="2"/>
        <scheme val="minor"/>
      </rPr>
      <t xml:space="preserve"> - Unit
</t>
    </r>
    <r>
      <rPr>
        <b/>
        <sz val="11"/>
        <color theme="1"/>
        <rFont val="Calibri"/>
        <family val="2"/>
        <scheme val="minor"/>
      </rPr>
      <t>Other</t>
    </r>
    <r>
      <rPr>
        <sz val="11"/>
        <color theme="1"/>
        <rFont val="Calibri"/>
        <family val="2"/>
        <scheme val="minor"/>
      </rPr>
      <t xml:space="preserve"> - Other
</t>
    </r>
  </si>
  <si>
    <r>
      <t>Prerequisite</t>
    </r>
    <r>
      <rPr>
        <sz val="11"/>
        <color theme="1"/>
        <rFont val="Calibri"/>
        <family val="2"/>
        <scheme val="minor"/>
      </rPr>
      <t xml:space="preserve"> - Prerequisite
</t>
    </r>
    <r>
      <rPr>
        <b/>
        <sz val="11"/>
        <color theme="1"/>
        <rFont val="Calibri"/>
        <family val="2"/>
        <scheme val="minor"/>
      </rPr>
      <t>ConformsTo</t>
    </r>
    <r>
      <rPr>
        <sz val="11"/>
        <color theme="1"/>
        <rFont val="Calibri"/>
        <family val="2"/>
        <scheme val="minor"/>
      </rPr>
      <t xml:space="preserve"> - Conforms To
</t>
    </r>
    <r>
      <rPr>
        <b/>
        <sz val="11"/>
        <color theme="1"/>
        <rFont val="Calibri"/>
        <family val="2"/>
        <scheme val="minor"/>
      </rPr>
      <t>HasFormat</t>
    </r>
    <r>
      <rPr>
        <sz val="11"/>
        <color theme="1"/>
        <rFont val="Calibri"/>
        <family val="2"/>
        <scheme val="minor"/>
      </rPr>
      <t xml:space="preserve"> - Has Format
</t>
    </r>
    <r>
      <rPr>
        <b/>
        <sz val="11"/>
        <color theme="1"/>
        <rFont val="Calibri"/>
        <family val="2"/>
        <scheme val="minor"/>
      </rPr>
      <t>HasPart</t>
    </r>
    <r>
      <rPr>
        <sz val="11"/>
        <color theme="1"/>
        <rFont val="Calibri"/>
        <family val="2"/>
        <scheme val="minor"/>
      </rPr>
      <t xml:space="preserve"> - Has Part
</t>
    </r>
    <r>
      <rPr>
        <b/>
        <sz val="11"/>
        <color theme="1"/>
        <rFont val="Calibri"/>
        <family val="2"/>
        <scheme val="minor"/>
      </rPr>
      <t>HasVersion</t>
    </r>
    <r>
      <rPr>
        <sz val="11"/>
        <color theme="1"/>
        <rFont val="Calibri"/>
        <family val="2"/>
        <scheme val="minor"/>
      </rPr>
      <t xml:space="preserve"> - Has Version
</t>
    </r>
    <r>
      <rPr>
        <b/>
        <sz val="11"/>
        <color theme="1"/>
        <rFont val="Calibri"/>
        <family val="2"/>
        <scheme val="minor"/>
      </rPr>
      <t>FormatOf</t>
    </r>
    <r>
      <rPr>
        <sz val="11"/>
        <color theme="1"/>
        <rFont val="Calibri"/>
        <family val="2"/>
        <scheme val="minor"/>
      </rPr>
      <t xml:space="preserve"> - Is Format of
</t>
    </r>
    <r>
      <rPr>
        <b/>
        <sz val="11"/>
        <color theme="1"/>
        <rFont val="Calibri"/>
        <family val="2"/>
        <scheme val="minor"/>
      </rPr>
      <t>ReferencedBy</t>
    </r>
    <r>
      <rPr>
        <sz val="11"/>
        <color theme="1"/>
        <rFont val="Calibri"/>
        <family val="2"/>
        <scheme val="minor"/>
      </rPr>
      <t xml:space="preserve"> - Is Referenced By
</t>
    </r>
    <r>
      <rPr>
        <b/>
        <sz val="11"/>
        <color theme="1"/>
        <rFont val="Calibri"/>
        <family val="2"/>
        <scheme val="minor"/>
      </rPr>
      <t>ReplacedBy</t>
    </r>
    <r>
      <rPr>
        <sz val="11"/>
        <color theme="1"/>
        <rFont val="Calibri"/>
        <family val="2"/>
        <scheme val="minor"/>
      </rPr>
      <t xml:space="preserve"> - Is Replaced By
</t>
    </r>
    <r>
      <rPr>
        <b/>
        <sz val="11"/>
        <color theme="1"/>
        <rFont val="Calibri"/>
        <family val="2"/>
        <scheme val="minor"/>
      </rPr>
      <t>RequiredBy</t>
    </r>
    <r>
      <rPr>
        <sz val="11"/>
        <color theme="1"/>
        <rFont val="Calibri"/>
        <family val="2"/>
        <scheme val="minor"/>
      </rPr>
      <t xml:space="preserve"> - Is Required By
</t>
    </r>
    <r>
      <rPr>
        <b/>
        <sz val="11"/>
        <color theme="1"/>
        <rFont val="Calibri"/>
        <family val="2"/>
        <scheme val="minor"/>
      </rPr>
      <t>VersionOf</t>
    </r>
    <r>
      <rPr>
        <sz val="11"/>
        <color theme="1"/>
        <rFont val="Calibri"/>
        <family val="2"/>
        <scheme val="minor"/>
      </rPr>
      <t xml:space="preserve"> - Is Version Of
</t>
    </r>
    <r>
      <rPr>
        <b/>
        <sz val="11"/>
        <color theme="1"/>
        <rFont val="Calibri"/>
        <family val="2"/>
        <scheme val="minor"/>
      </rPr>
      <t>Referenced</t>
    </r>
    <r>
      <rPr>
        <sz val="11"/>
        <color theme="1"/>
        <rFont val="Calibri"/>
        <family val="2"/>
        <scheme val="minor"/>
      </rPr>
      <t xml:space="preserve"> - Referenced
</t>
    </r>
    <r>
      <rPr>
        <b/>
        <sz val="11"/>
        <color theme="1"/>
        <rFont val="Calibri"/>
        <family val="2"/>
        <scheme val="minor"/>
      </rPr>
      <t>Assesses</t>
    </r>
    <r>
      <rPr>
        <sz val="11"/>
        <color theme="1"/>
        <rFont val="Calibri"/>
        <family val="2"/>
        <scheme val="minor"/>
      </rPr>
      <t xml:space="preserve"> - Assesses
</t>
    </r>
    <r>
      <rPr>
        <b/>
        <sz val="11"/>
        <color theme="1"/>
        <rFont val="Calibri"/>
        <family val="2"/>
        <scheme val="minor"/>
      </rPr>
      <t>Teaches</t>
    </r>
    <r>
      <rPr>
        <sz val="11"/>
        <color theme="1"/>
        <rFont val="Calibri"/>
        <family val="2"/>
        <scheme val="minor"/>
      </rPr>
      <t xml:space="preserve"> - Teaches
</t>
    </r>
    <r>
      <rPr>
        <b/>
        <sz val="11"/>
        <color theme="1"/>
        <rFont val="Calibri"/>
        <family val="2"/>
        <scheme val="minor"/>
      </rPr>
      <t>Requires</t>
    </r>
    <r>
      <rPr>
        <sz val="11"/>
        <color theme="1"/>
        <rFont val="Calibri"/>
        <family val="2"/>
        <scheme val="minor"/>
      </rPr>
      <t xml:space="preserve"> - Requires
</t>
    </r>
    <r>
      <rPr>
        <b/>
        <sz val="11"/>
        <color theme="1"/>
        <rFont val="Calibri"/>
        <family val="2"/>
        <scheme val="minor"/>
      </rPr>
      <t>TextComplexity</t>
    </r>
    <r>
      <rPr>
        <sz val="11"/>
        <color theme="1"/>
        <rFont val="Calibri"/>
        <family val="2"/>
        <scheme val="minor"/>
      </rPr>
      <t xml:space="preserve"> - Text Complexity
</t>
    </r>
    <r>
      <rPr>
        <b/>
        <sz val="11"/>
        <color theme="1"/>
        <rFont val="Calibri"/>
        <family val="2"/>
        <scheme val="minor"/>
      </rPr>
      <t>ReadingLevel</t>
    </r>
    <r>
      <rPr>
        <sz val="11"/>
        <color theme="1"/>
        <rFont val="Calibri"/>
        <family val="2"/>
        <scheme val="minor"/>
      </rPr>
      <t xml:space="preserve"> - Reading Level
</t>
    </r>
    <r>
      <rPr>
        <b/>
        <sz val="11"/>
        <color theme="1"/>
        <rFont val="Calibri"/>
        <family val="2"/>
        <scheme val="minor"/>
      </rPr>
      <t>EducationalSubject</t>
    </r>
    <r>
      <rPr>
        <sz val="11"/>
        <color theme="1"/>
        <rFont val="Calibri"/>
        <family val="2"/>
        <scheme val="minor"/>
      </rPr>
      <t xml:space="preserve"> - Educational Subject
</t>
    </r>
    <r>
      <rPr>
        <b/>
        <sz val="11"/>
        <color theme="1"/>
        <rFont val="Calibri"/>
        <family val="2"/>
        <scheme val="minor"/>
      </rPr>
      <t>EducationLevel</t>
    </r>
    <r>
      <rPr>
        <sz val="11"/>
        <color theme="1"/>
        <rFont val="Calibri"/>
        <family val="2"/>
        <scheme val="minor"/>
      </rPr>
      <t xml:space="preserve"> - Education Level
</t>
    </r>
    <r>
      <rPr>
        <b/>
        <sz val="11"/>
        <color theme="1"/>
        <rFont val="Calibri"/>
        <family val="2"/>
        <scheme val="minor"/>
      </rPr>
      <t>Precedes</t>
    </r>
    <r>
      <rPr>
        <sz val="11"/>
        <color theme="1"/>
        <rFont val="Calibri"/>
        <family val="2"/>
        <scheme val="minor"/>
      </rPr>
      <t xml:space="preserve"> - Precedes
</t>
    </r>
    <r>
      <rPr>
        <b/>
        <sz val="11"/>
        <color theme="1"/>
        <rFont val="Calibri"/>
        <family val="2"/>
        <scheme val="minor"/>
      </rPr>
      <t>Follows</t>
    </r>
    <r>
      <rPr>
        <sz val="11"/>
        <color theme="1"/>
        <rFont val="Calibri"/>
        <family val="2"/>
        <scheme val="minor"/>
      </rPr>
      <t xml:space="preserve"> - Follows
</t>
    </r>
    <r>
      <rPr>
        <b/>
        <sz val="11"/>
        <color theme="1"/>
        <rFont val="Calibri"/>
        <family val="2"/>
        <scheme val="minor"/>
      </rPr>
      <t>IsConcurrentTo</t>
    </r>
    <r>
      <rPr>
        <sz val="11"/>
        <color theme="1"/>
        <rFont val="Calibri"/>
        <family val="2"/>
        <scheme val="minor"/>
      </rPr>
      <t xml:space="preserve"> - Is Concurrent To
</t>
    </r>
  </si>
  <si>
    <r>
      <t>Linguistic</t>
    </r>
    <r>
      <rPr>
        <sz val="11"/>
        <color theme="1"/>
        <rFont val="Calibri"/>
        <family val="2"/>
        <scheme val="minor"/>
      </rPr>
      <t xml:space="preserve"> - Linguistic
</t>
    </r>
    <r>
      <rPr>
        <b/>
        <sz val="11"/>
        <color theme="1"/>
        <rFont val="Calibri"/>
        <family val="2"/>
        <scheme val="minor"/>
      </rPr>
      <t>Logic-mathematical</t>
    </r>
    <r>
      <rPr>
        <sz val="11"/>
        <color theme="1"/>
        <rFont val="Calibri"/>
        <family val="2"/>
        <scheme val="minor"/>
      </rPr>
      <t xml:space="preserve"> - Logic-mathematical
</t>
    </r>
    <r>
      <rPr>
        <b/>
        <sz val="11"/>
        <color theme="1"/>
        <rFont val="Calibri"/>
        <family val="2"/>
        <scheme val="minor"/>
      </rPr>
      <t>Musical</t>
    </r>
    <r>
      <rPr>
        <sz val="11"/>
        <color theme="1"/>
        <rFont val="Calibri"/>
        <family val="2"/>
        <scheme val="minor"/>
      </rPr>
      <t xml:space="preserve"> - Musical
</t>
    </r>
    <r>
      <rPr>
        <b/>
        <sz val="11"/>
        <color theme="1"/>
        <rFont val="Calibri"/>
        <family val="2"/>
        <scheme val="minor"/>
      </rPr>
      <t>Spatial</t>
    </r>
    <r>
      <rPr>
        <sz val="11"/>
        <color theme="1"/>
        <rFont val="Calibri"/>
        <family val="2"/>
        <scheme val="minor"/>
      </rPr>
      <t xml:space="preserve">
</t>
    </r>
    <r>
      <rPr>
        <b/>
        <sz val="11"/>
        <color theme="1"/>
        <rFont val="Calibri"/>
        <family val="2"/>
        <scheme val="minor"/>
      </rPr>
      <t>BodilyKinesthetic</t>
    </r>
    <r>
      <rPr>
        <sz val="11"/>
        <color theme="1"/>
        <rFont val="Calibri"/>
        <family val="2"/>
        <scheme val="minor"/>
      </rPr>
      <t xml:space="preserve"> - Bodily/kinesthetic
</t>
    </r>
    <r>
      <rPr>
        <b/>
        <sz val="11"/>
        <color theme="1"/>
        <rFont val="Calibri"/>
        <family val="2"/>
        <scheme val="minor"/>
      </rPr>
      <t>Interpersonal</t>
    </r>
    <r>
      <rPr>
        <sz val="11"/>
        <color theme="1"/>
        <rFont val="Calibri"/>
        <family val="2"/>
        <scheme val="minor"/>
      </rPr>
      <t xml:space="preserve"> - Interpersonal
</t>
    </r>
    <r>
      <rPr>
        <b/>
        <sz val="11"/>
        <color theme="1"/>
        <rFont val="Calibri"/>
        <family val="2"/>
        <scheme val="minor"/>
      </rPr>
      <t>Intrapersonal</t>
    </r>
    <r>
      <rPr>
        <sz val="11"/>
        <color theme="1"/>
        <rFont val="Calibri"/>
        <family val="2"/>
        <scheme val="minor"/>
      </rPr>
      <t xml:space="preserve"> - Intrapersonal
</t>
    </r>
    <r>
      <rPr>
        <b/>
        <sz val="11"/>
        <color theme="1"/>
        <rFont val="Calibri"/>
        <family val="2"/>
        <scheme val="minor"/>
      </rPr>
      <t>Naturalistic</t>
    </r>
    <r>
      <rPr>
        <sz val="11"/>
        <color theme="1"/>
        <rFont val="Calibri"/>
        <family val="2"/>
        <scheme val="minor"/>
      </rPr>
      <t xml:space="preserve"> - Naturalistic
</t>
    </r>
  </si>
  <si>
    <r>
      <t>SingleIndicator</t>
    </r>
    <r>
      <rPr>
        <sz val="11"/>
        <color theme="1"/>
        <rFont val="Calibri"/>
        <family val="2"/>
        <scheme val="minor"/>
      </rPr>
      <t xml:space="preserve"> - Single Indicator
</t>
    </r>
    <r>
      <rPr>
        <b/>
        <sz val="11"/>
        <color theme="1"/>
        <rFont val="Calibri"/>
        <family val="2"/>
        <scheme val="minor"/>
      </rPr>
      <t>MultipleIndicator</t>
    </r>
    <r>
      <rPr>
        <sz val="11"/>
        <color theme="1"/>
        <rFont val="Calibri"/>
        <family val="2"/>
        <scheme val="minor"/>
      </rPr>
      <t xml:space="preserve"> - Multiple Indicator
</t>
    </r>
    <r>
      <rPr>
        <b/>
        <sz val="11"/>
        <color theme="1"/>
        <rFont val="Calibri"/>
        <family val="2"/>
        <scheme val="minor"/>
      </rPr>
      <t>MultipleCompetency</t>
    </r>
    <r>
      <rPr>
        <sz val="11"/>
        <color theme="1"/>
        <rFont val="Calibri"/>
        <family val="2"/>
        <scheme val="minor"/>
      </rPr>
      <t xml:space="preserve"> - Multiple Competency
</t>
    </r>
    <r>
      <rPr>
        <b/>
        <sz val="11"/>
        <color theme="1"/>
        <rFont val="Calibri"/>
        <family val="2"/>
        <scheme val="minor"/>
      </rPr>
      <t>CannotBeAssessed</t>
    </r>
    <r>
      <rPr>
        <sz val="11"/>
        <color theme="1"/>
        <rFont val="Calibri"/>
        <family val="2"/>
        <scheme val="minor"/>
      </rPr>
      <t xml:space="preserve"> - Cannot be assessed
</t>
    </r>
  </si>
  <si>
    <r>
      <t>Administrative</t>
    </r>
    <r>
      <rPr>
        <sz val="11"/>
        <color theme="1"/>
        <rFont val="Calibri"/>
        <family val="2"/>
        <scheme val="minor"/>
      </rPr>
      <t xml:space="preserve"> - Administrative
</t>
    </r>
    <r>
      <rPr>
        <b/>
        <sz val="11"/>
        <color theme="1"/>
        <rFont val="Calibri"/>
        <family val="2"/>
        <scheme val="minor"/>
      </rPr>
      <t>AnnualLeave</t>
    </r>
    <r>
      <rPr>
        <sz val="11"/>
        <color theme="1"/>
        <rFont val="Calibri"/>
        <family val="2"/>
        <scheme val="minor"/>
      </rPr>
      <t xml:space="preserve"> - Annual leave
</t>
    </r>
    <r>
      <rPr>
        <b/>
        <sz val="11"/>
        <color theme="1"/>
        <rFont val="Calibri"/>
        <family val="2"/>
        <scheme val="minor"/>
      </rPr>
      <t>Bereavement</t>
    </r>
    <r>
      <rPr>
        <sz val="11"/>
        <color theme="1"/>
        <rFont val="Calibri"/>
        <family val="2"/>
        <scheme val="minor"/>
      </rPr>
      <t xml:space="preserve"> - Bereavement
</t>
    </r>
    <r>
      <rPr>
        <b/>
        <sz val="11"/>
        <color theme="1"/>
        <rFont val="Calibri"/>
        <family val="2"/>
        <scheme val="minor"/>
      </rPr>
      <t>CompensatoryLeaveTime</t>
    </r>
    <r>
      <rPr>
        <sz val="11"/>
        <color theme="1"/>
        <rFont val="Calibri"/>
        <family val="2"/>
        <scheme val="minor"/>
      </rPr>
      <t xml:space="preserve"> - Compensatory leave time
</t>
    </r>
    <r>
      <rPr>
        <b/>
        <sz val="11"/>
        <color theme="1"/>
        <rFont val="Calibri"/>
        <family val="2"/>
        <scheme val="minor"/>
      </rPr>
      <t>FamilyAndMedicalLeave</t>
    </r>
    <r>
      <rPr>
        <sz val="11"/>
        <color theme="1"/>
        <rFont val="Calibri"/>
        <family val="2"/>
        <scheme val="minor"/>
      </rPr>
      <t xml:space="preserve"> - Family and medical leave
</t>
    </r>
    <r>
      <rPr>
        <b/>
        <sz val="11"/>
        <color theme="1"/>
        <rFont val="Calibri"/>
        <family val="2"/>
        <scheme val="minor"/>
      </rPr>
      <t>FlexTime</t>
    </r>
    <r>
      <rPr>
        <sz val="11"/>
        <color theme="1"/>
        <rFont val="Calibri"/>
        <family val="2"/>
        <scheme val="minor"/>
      </rPr>
      <t xml:space="preserve"> - Flex time
</t>
    </r>
    <r>
      <rPr>
        <b/>
        <sz val="11"/>
        <color theme="1"/>
        <rFont val="Calibri"/>
        <family val="2"/>
        <scheme val="minor"/>
      </rPr>
      <t>GovernmentRequested</t>
    </r>
    <r>
      <rPr>
        <sz val="11"/>
        <color theme="1"/>
        <rFont val="Calibri"/>
        <family val="2"/>
        <scheme val="minor"/>
      </rPr>
      <t xml:space="preserve"> - Government-requested
</t>
    </r>
    <r>
      <rPr>
        <b/>
        <sz val="11"/>
        <color theme="1"/>
        <rFont val="Calibri"/>
        <family val="2"/>
        <scheme val="minor"/>
      </rPr>
      <t>JuryDuty</t>
    </r>
    <r>
      <rPr>
        <sz val="11"/>
        <color theme="1"/>
        <rFont val="Calibri"/>
        <family val="2"/>
        <scheme val="minor"/>
      </rPr>
      <t xml:space="preserve"> - Jury Duty
</t>
    </r>
    <r>
      <rPr>
        <b/>
        <sz val="11"/>
        <color theme="1"/>
        <rFont val="Calibri"/>
        <family val="2"/>
        <scheme val="minor"/>
      </rPr>
      <t>MilitaryLeave</t>
    </r>
    <r>
      <rPr>
        <sz val="11"/>
        <color theme="1"/>
        <rFont val="Calibri"/>
        <family val="2"/>
        <scheme val="minor"/>
      </rPr>
      <t xml:space="preserve"> - Military leave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Personal</t>
    </r>
    <r>
      <rPr>
        <sz val="11"/>
        <color theme="1"/>
        <rFont val="Calibri"/>
        <family val="2"/>
        <scheme val="minor"/>
      </rPr>
      <t xml:space="preserve"> - Personal
</t>
    </r>
    <r>
      <rPr>
        <b/>
        <sz val="11"/>
        <color theme="1"/>
        <rFont val="Calibri"/>
        <family val="2"/>
        <scheme val="minor"/>
      </rPr>
      <t>ProfessionalDevelopment</t>
    </r>
    <r>
      <rPr>
        <sz val="11"/>
        <color theme="1"/>
        <rFont val="Calibri"/>
        <family val="2"/>
        <scheme val="minor"/>
      </rPr>
      <t xml:space="preserve"> - Professional development
</t>
    </r>
    <r>
      <rPr>
        <b/>
        <sz val="11"/>
        <color theme="1"/>
        <rFont val="Calibri"/>
        <family val="2"/>
        <scheme val="minor"/>
      </rPr>
      <t>ReleaseTime</t>
    </r>
    <r>
      <rPr>
        <sz val="11"/>
        <color theme="1"/>
        <rFont val="Calibri"/>
        <family val="2"/>
        <scheme val="minor"/>
      </rPr>
      <t xml:space="preserve"> - Release time
</t>
    </r>
    <r>
      <rPr>
        <b/>
        <sz val="11"/>
        <color theme="1"/>
        <rFont val="Calibri"/>
        <family val="2"/>
        <scheme val="minor"/>
      </rPr>
      <t>SabbaticalLeave</t>
    </r>
    <r>
      <rPr>
        <sz val="11"/>
        <color theme="1"/>
        <rFont val="Calibri"/>
        <family val="2"/>
        <scheme val="minor"/>
      </rPr>
      <t xml:space="preserve"> - Sabbatical leave
</t>
    </r>
    <r>
      <rPr>
        <b/>
        <sz val="11"/>
        <color theme="1"/>
        <rFont val="Calibri"/>
        <family val="2"/>
        <scheme val="minor"/>
      </rPr>
      <t>SickLeave</t>
    </r>
    <r>
      <rPr>
        <sz val="11"/>
        <color theme="1"/>
        <rFont val="Calibri"/>
        <family val="2"/>
        <scheme val="minor"/>
      </rPr>
      <t xml:space="preserve"> - Sick leave
</t>
    </r>
    <r>
      <rPr>
        <b/>
        <sz val="11"/>
        <color theme="1"/>
        <rFont val="Calibri"/>
        <family val="2"/>
        <scheme val="minor"/>
      </rPr>
      <t>Suspension</t>
    </r>
    <r>
      <rPr>
        <sz val="11"/>
        <color theme="1"/>
        <rFont val="Calibri"/>
        <family val="2"/>
        <scheme val="minor"/>
      </rPr>
      <t xml:space="preserve"> - Suspension
</t>
    </r>
    <r>
      <rPr>
        <b/>
        <sz val="11"/>
        <color theme="1"/>
        <rFont val="Calibri"/>
        <family val="2"/>
        <scheme val="minor"/>
      </rPr>
      <t>WorkersCompensation</t>
    </r>
    <r>
      <rPr>
        <sz val="11"/>
        <color theme="1"/>
        <rFont val="Calibri"/>
        <family val="2"/>
        <scheme val="minor"/>
      </rPr>
      <t xml:space="preserve"> - Workers compensation
</t>
    </r>
  </si>
  <si>
    <r>
      <t>FourYear</t>
    </r>
    <r>
      <rPr>
        <sz val="11"/>
        <color theme="1"/>
        <rFont val="Calibri"/>
        <family val="2"/>
        <scheme val="minor"/>
      </rPr>
      <t xml:space="preserve"> - Four or more years
</t>
    </r>
    <r>
      <rPr>
        <b/>
        <sz val="11"/>
        <color theme="1"/>
        <rFont val="Calibri"/>
        <family val="2"/>
        <scheme val="minor"/>
      </rPr>
      <t>TwoToFour</t>
    </r>
    <r>
      <rPr>
        <sz val="11"/>
        <color theme="1"/>
        <rFont val="Calibri"/>
        <family val="2"/>
        <scheme val="minor"/>
      </rPr>
      <t xml:space="preserve"> - At least 2 but less than 4 years
</t>
    </r>
    <r>
      <rPr>
        <b/>
        <sz val="11"/>
        <color theme="1"/>
        <rFont val="Calibri"/>
        <family val="2"/>
        <scheme val="minor"/>
      </rPr>
      <t>LessThanTwo</t>
    </r>
    <r>
      <rPr>
        <sz val="11"/>
        <color theme="1"/>
        <rFont val="Calibri"/>
        <family val="2"/>
        <scheme val="minor"/>
      </rPr>
      <t xml:space="preserve"> - Less than 2 years (below associate)
</t>
    </r>
  </si>
  <si>
    <r>
      <t>Major</t>
    </r>
    <r>
      <rPr>
        <sz val="11"/>
        <color theme="1"/>
        <rFont val="Calibri"/>
        <family val="2"/>
        <scheme val="minor"/>
      </rPr>
      <t xml:space="preserve"> - Major
</t>
    </r>
    <r>
      <rPr>
        <b/>
        <sz val="11"/>
        <color theme="1"/>
        <rFont val="Calibri"/>
        <family val="2"/>
        <scheme val="minor"/>
      </rPr>
      <t>Minor</t>
    </r>
    <r>
      <rPr>
        <sz val="11"/>
        <color theme="1"/>
        <rFont val="Calibri"/>
        <family val="2"/>
        <scheme val="minor"/>
      </rPr>
      <t xml:space="preserve"> - Minor
</t>
    </r>
    <r>
      <rPr>
        <b/>
        <sz val="11"/>
        <color theme="1"/>
        <rFont val="Calibri"/>
        <family val="2"/>
        <scheme val="minor"/>
      </rPr>
      <t>AreaOfEmphasis</t>
    </r>
    <r>
      <rPr>
        <sz val="11"/>
        <color theme="1"/>
        <rFont val="Calibri"/>
        <family val="2"/>
        <scheme val="minor"/>
      </rPr>
      <t xml:space="preserve"> - Area of emphasis or concentration
</t>
    </r>
    <r>
      <rPr>
        <b/>
        <sz val="11"/>
        <color theme="1"/>
        <rFont val="Calibri"/>
        <family val="2"/>
        <scheme val="minor"/>
      </rPr>
      <t>PostDegreeStudy</t>
    </r>
    <r>
      <rPr>
        <sz val="11"/>
        <color theme="1"/>
        <rFont val="Calibri"/>
        <family val="2"/>
        <scheme val="minor"/>
      </rPr>
      <t xml:space="preserve"> - Post-degree study
</t>
    </r>
    <r>
      <rPr>
        <b/>
        <sz val="11"/>
        <color theme="1"/>
        <rFont val="Calibri"/>
        <family val="2"/>
        <scheme val="minor"/>
      </rPr>
      <t>AreaOfInterest</t>
    </r>
    <r>
      <rPr>
        <sz val="11"/>
        <color theme="1"/>
        <rFont val="Calibri"/>
        <family val="2"/>
        <scheme val="minor"/>
      </rPr>
      <t xml:space="preserve"> - Area of Interest
</t>
    </r>
  </si>
  <si>
    <r>
      <t>Yes</t>
    </r>
    <r>
      <rPr>
        <sz val="11"/>
        <color theme="1"/>
        <rFont val="Calibri"/>
        <family val="2"/>
        <scheme val="minor"/>
      </rPr>
      <t xml:space="preserve"> - Currently meets standard for limited English proficiency
</t>
    </r>
    <r>
      <rPr>
        <b/>
        <sz val="11"/>
        <color theme="1"/>
        <rFont val="Calibri"/>
        <family val="2"/>
        <scheme val="minor"/>
      </rPr>
      <t>No</t>
    </r>
    <r>
      <rPr>
        <sz val="11"/>
        <color theme="1"/>
        <rFont val="Calibri"/>
        <family val="2"/>
        <scheme val="minor"/>
      </rPr>
      <t xml:space="preserve"> - Currently does not meet standard for limited English proficiency
</t>
    </r>
    <r>
      <rPr>
        <b/>
        <sz val="11"/>
        <color theme="1"/>
        <rFont val="Calibri"/>
        <family val="2"/>
        <scheme val="minor"/>
      </rPr>
      <t>Ever</t>
    </r>
    <r>
      <rPr>
        <sz val="11"/>
        <color theme="1"/>
        <rFont val="Calibri"/>
        <family val="2"/>
        <scheme val="minor"/>
      </rPr>
      <t xml:space="preserve"> - Ever met standard for limited English proficiency
</t>
    </r>
  </si>
  <si>
    <r>
      <t>TABE</t>
    </r>
    <r>
      <rPr>
        <sz val="11"/>
        <color theme="1"/>
        <rFont val="Calibri"/>
        <family val="2"/>
        <scheme val="minor"/>
      </rPr>
      <t xml:space="preserve"> - TABE
</t>
    </r>
    <r>
      <rPr>
        <b/>
        <sz val="11"/>
        <color theme="1"/>
        <rFont val="Calibri"/>
        <family val="2"/>
        <scheme val="minor"/>
      </rPr>
      <t>CASAS</t>
    </r>
    <r>
      <rPr>
        <sz val="11"/>
        <color theme="1"/>
        <rFont val="Calibri"/>
        <family val="2"/>
        <scheme val="minor"/>
      </rPr>
      <t xml:space="preserve"> - CASAS
</t>
    </r>
    <r>
      <rPr>
        <b/>
        <sz val="11"/>
        <color theme="1"/>
        <rFont val="Calibri"/>
        <family val="2"/>
        <scheme val="minor"/>
      </rPr>
      <t>BEST</t>
    </r>
    <r>
      <rPr>
        <sz val="11"/>
        <color theme="1"/>
        <rFont val="Calibri"/>
        <family val="2"/>
        <scheme val="minor"/>
      </rPr>
      <t xml:space="preserve"> - BEST
</t>
    </r>
    <r>
      <rPr>
        <b/>
        <sz val="11"/>
        <color theme="1"/>
        <rFont val="Calibri"/>
        <family val="2"/>
        <scheme val="minor"/>
      </rPr>
      <t>BESTPlus</t>
    </r>
    <r>
      <rPr>
        <sz val="11"/>
        <color theme="1"/>
        <rFont val="Calibri"/>
        <family val="2"/>
        <scheme val="minor"/>
      </rPr>
      <t xml:space="preserve"> - BESTPlus
</t>
    </r>
    <r>
      <rPr>
        <b/>
        <sz val="11"/>
        <color theme="1"/>
        <rFont val="Calibri"/>
        <family val="2"/>
        <scheme val="minor"/>
      </rPr>
      <t>BESTLiteracy</t>
    </r>
    <r>
      <rPr>
        <sz val="11"/>
        <color theme="1"/>
        <rFont val="Calibri"/>
        <family val="2"/>
        <scheme val="minor"/>
      </rPr>
      <t xml:space="preserve"> - BEST Literacy
</t>
    </r>
    <r>
      <rPr>
        <b/>
        <sz val="11"/>
        <color theme="1"/>
        <rFont val="Calibri"/>
        <family val="2"/>
        <scheme val="minor"/>
      </rPr>
      <t>PPVT-III</t>
    </r>
    <r>
      <rPr>
        <sz val="11"/>
        <color theme="1"/>
        <rFont val="Calibri"/>
        <family val="2"/>
        <scheme val="minor"/>
      </rPr>
      <t xml:space="preserve"> - PPVT-III
</t>
    </r>
    <r>
      <rPr>
        <b/>
        <sz val="11"/>
        <color theme="1"/>
        <rFont val="Calibri"/>
        <family val="2"/>
        <scheme val="minor"/>
      </rPr>
      <t>PPVT-IV</t>
    </r>
    <r>
      <rPr>
        <sz val="11"/>
        <color theme="1"/>
        <rFont val="Calibri"/>
        <family val="2"/>
        <scheme val="minor"/>
      </rPr>
      <t xml:space="preserve"> - PPVT-IV
</t>
    </r>
    <r>
      <rPr>
        <b/>
        <sz val="11"/>
        <color theme="1"/>
        <rFont val="Calibri"/>
        <family val="2"/>
        <scheme val="minor"/>
      </rPr>
      <t>TVIP</t>
    </r>
    <r>
      <rPr>
        <sz val="11"/>
        <color theme="1"/>
        <rFont val="Calibri"/>
        <family val="2"/>
        <scheme val="minor"/>
      </rPr>
      <t xml:space="preserve"> - TVIP
</t>
    </r>
    <r>
      <rPr>
        <b/>
        <sz val="11"/>
        <color theme="1"/>
        <rFont val="Calibri"/>
        <family val="2"/>
        <scheme val="minor"/>
      </rPr>
      <t>PALSPreKUpperCase</t>
    </r>
    <r>
      <rPr>
        <sz val="11"/>
        <color theme="1"/>
        <rFont val="Calibri"/>
        <family val="2"/>
        <scheme val="minor"/>
      </rPr>
      <t xml:space="preserve"> - PALS PreK Upper Case
</t>
    </r>
    <r>
      <rPr>
        <b/>
        <sz val="11"/>
        <color theme="1"/>
        <rFont val="Calibri"/>
        <family val="2"/>
        <scheme val="minor"/>
      </rPr>
      <t>PEPScaleI</t>
    </r>
    <r>
      <rPr>
        <sz val="11"/>
        <color theme="1"/>
        <rFont val="Calibri"/>
        <family val="2"/>
        <scheme val="minor"/>
      </rPr>
      <t xml:space="preserve"> - PEP Scale I
</t>
    </r>
    <r>
      <rPr>
        <b/>
        <sz val="11"/>
        <color theme="1"/>
        <rFont val="Calibri"/>
        <family val="2"/>
        <scheme val="minor"/>
      </rPr>
      <t>PEPScaleII</t>
    </r>
    <r>
      <rPr>
        <sz val="11"/>
        <color theme="1"/>
        <rFont val="Calibri"/>
        <family val="2"/>
        <scheme val="minor"/>
      </rPr>
      <t xml:space="preserve"> - PEP Scale II
</t>
    </r>
    <r>
      <rPr>
        <b/>
        <sz val="11"/>
        <color theme="1"/>
        <rFont val="Calibri"/>
        <family val="2"/>
        <scheme val="minor"/>
      </rPr>
      <t>PEPScaleIII</t>
    </r>
    <r>
      <rPr>
        <sz val="11"/>
        <color theme="1"/>
        <rFont val="Calibri"/>
        <family val="2"/>
        <scheme val="minor"/>
      </rPr>
      <t xml:space="preserve"> - PEP Scale III
</t>
    </r>
    <r>
      <rPr>
        <b/>
        <sz val="11"/>
        <color theme="1"/>
        <rFont val="Calibri"/>
        <family val="2"/>
        <scheme val="minor"/>
      </rPr>
      <t>PEPScaleIV</t>
    </r>
    <r>
      <rPr>
        <sz val="11"/>
        <color theme="1"/>
        <rFont val="Calibri"/>
        <family val="2"/>
        <scheme val="minor"/>
      </rPr>
      <t xml:space="preserve"> - PEP Scale IV
</t>
    </r>
    <r>
      <rPr>
        <b/>
        <sz val="11"/>
        <color theme="1"/>
        <rFont val="Calibri"/>
        <family val="2"/>
        <scheme val="minor"/>
      </rPr>
      <t>Other</t>
    </r>
    <r>
      <rPr>
        <sz val="11"/>
        <color theme="1"/>
        <rFont val="Calibri"/>
        <family val="2"/>
        <scheme val="minor"/>
      </rPr>
      <t xml:space="preserve"> - Other
</t>
    </r>
  </si>
  <si>
    <r>
      <t>FromEligibleProgram</t>
    </r>
    <r>
      <rPr>
        <sz val="11"/>
        <color theme="1"/>
        <rFont val="Calibri"/>
        <family val="2"/>
        <scheme val="minor"/>
      </rPr>
      <t xml:space="preserve"> - From Eligible Program
</t>
    </r>
    <r>
      <rPr>
        <b/>
        <sz val="11"/>
        <color theme="1"/>
        <rFont val="Calibri"/>
        <family val="2"/>
        <scheme val="minor"/>
      </rPr>
      <t>ToEligibleProgram</t>
    </r>
    <r>
      <rPr>
        <sz val="11"/>
        <color theme="1"/>
        <rFont val="Calibri"/>
        <family val="2"/>
        <scheme val="minor"/>
      </rPr>
      <t xml:space="preserve"> - To Eligible Program
</t>
    </r>
  </si>
  <si>
    <r>
      <t>District</t>
    </r>
    <r>
      <rPr>
        <sz val="11"/>
        <color theme="1"/>
        <rFont val="Calibri"/>
        <family val="2"/>
        <scheme val="minor"/>
      </rPr>
      <t xml:space="preserve"> - District-assigned number
</t>
    </r>
    <r>
      <rPr>
        <b/>
        <sz val="11"/>
        <color theme="1"/>
        <rFont val="Calibri"/>
        <family val="2"/>
        <scheme val="minor"/>
      </rPr>
      <t>ACT</t>
    </r>
    <r>
      <rPr>
        <sz val="11"/>
        <color theme="1"/>
        <rFont val="Calibri"/>
        <family val="2"/>
        <scheme val="minor"/>
      </rPr>
      <t xml:space="preserve"> - College Board/ACT program code set of PK-grade 12 institutions
</t>
    </r>
    <r>
      <rPr>
        <b/>
        <sz val="11"/>
        <color theme="1"/>
        <rFont val="Calibri"/>
        <family val="2"/>
        <scheme val="minor"/>
      </rPr>
      <t>SEA</t>
    </r>
    <r>
      <rPr>
        <sz val="11"/>
        <color theme="1"/>
        <rFont val="Calibri"/>
        <family val="2"/>
        <scheme val="minor"/>
      </rPr>
      <t xml:space="preserve"> - State Education Agency assigned number
</t>
    </r>
    <r>
      <rPr>
        <b/>
        <sz val="11"/>
        <color theme="1"/>
        <rFont val="Calibri"/>
        <family val="2"/>
        <scheme val="minor"/>
      </rPr>
      <t>NCES</t>
    </r>
    <r>
      <rPr>
        <sz val="11"/>
        <color theme="1"/>
        <rFont val="Calibri"/>
        <family val="2"/>
        <scheme val="minor"/>
      </rPr>
      <t xml:space="preserve"> - National Center for Education Statistics 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DUNS</t>
    </r>
    <r>
      <rPr>
        <sz val="11"/>
        <color theme="1"/>
        <rFont val="Calibri"/>
        <family val="2"/>
        <scheme val="minor"/>
      </rPr>
      <t xml:space="preserve"> - Dun and Bradstreet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Other</t>
    </r>
    <r>
      <rPr>
        <sz val="11"/>
        <color theme="1"/>
        <rFont val="Calibri"/>
        <family val="2"/>
        <scheme val="minor"/>
      </rPr>
      <t xml:space="preserve"> - Other
</t>
    </r>
  </si>
  <si>
    <r>
      <t>CorrectiveAction</t>
    </r>
    <r>
      <rPr>
        <sz val="11"/>
        <color theme="1"/>
        <rFont val="Calibri"/>
        <family val="2"/>
        <scheme val="minor"/>
      </rPr>
      <t xml:space="preserve"> - Corrective action
</t>
    </r>
    <r>
      <rPr>
        <b/>
        <sz val="11"/>
        <color theme="1"/>
        <rFont val="Calibri"/>
        <family val="2"/>
        <scheme val="minor"/>
      </rPr>
      <t>Year1</t>
    </r>
    <r>
      <rPr>
        <sz val="11"/>
        <color theme="1"/>
        <rFont val="Calibri"/>
        <family val="2"/>
        <scheme val="minor"/>
      </rPr>
      <t xml:space="preserve"> - Improvement status Year 1
</t>
    </r>
    <r>
      <rPr>
        <b/>
        <sz val="11"/>
        <color theme="1"/>
        <rFont val="Calibri"/>
        <family val="2"/>
        <scheme val="minor"/>
      </rPr>
      <t>Year2</t>
    </r>
    <r>
      <rPr>
        <sz val="11"/>
        <color theme="1"/>
        <rFont val="Calibri"/>
        <family val="2"/>
        <scheme val="minor"/>
      </rPr>
      <t xml:space="preserve"> - Improvement status Year 2
</t>
    </r>
    <r>
      <rPr>
        <b/>
        <sz val="11"/>
        <color theme="1"/>
        <rFont val="Calibri"/>
        <family val="2"/>
        <scheme val="minor"/>
      </rPr>
      <t>NotIdentified</t>
    </r>
    <r>
      <rPr>
        <sz val="11"/>
        <color theme="1"/>
        <rFont val="Calibri"/>
        <family val="2"/>
        <scheme val="minor"/>
      </rPr>
      <t xml:space="preserve"> - Not identified for improvement
</t>
    </r>
  </si>
  <si>
    <r>
      <t>Open</t>
    </r>
    <r>
      <rPr>
        <sz val="11"/>
        <color theme="1"/>
        <rFont val="Calibri"/>
        <family val="2"/>
        <scheme val="minor"/>
      </rPr>
      <t xml:space="preserve"> - Open
</t>
    </r>
    <r>
      <rPr>
        <b/>
        <sz val="11"/>
        <color theme="1"/>
        <rFont val="Calibri"/>
        <family val="2"/>
        <scheme val="minor"/>
      </rPr>
      <t>Closed</t>
    </r>
    <r>
      <rPr>
        <sz val="11"/>
        <color theme="1"/>
        <rFont val="Calibri"/>
        <family val="2"/>
        <scheme val="minor"/>
      </rPr>
      <t xml:space="preserve"> - Closed
</t>
    </r>
    <r>
      <rPr>
        <b/>
        <sz val="11"/>
        <color theme="1"/>
        <rFont val="Calibri"/>
        <family val="2"/>
        <scheme val="minor"/>
      </rPr>
      <t>New</t>
    </r>
    <r>
      <rPr>
        <sz val="11"/>
        <color theme="1"/>
        <rFont val="Calibri"/>
        <family val="2"/>
        <scheme val="minor"/>
      </rPr>
      <t xml:space="preserve"> - New
</t>
    </r>
    <r>
      <rPr>
        <b/>
        <sz val="11"/>
        <color theme="1"/>
        <rFont val="Calibri"/>
        <family val="2"/>
        <scheme val="minor"/>
      </rPr>
      <t>Added</t>
    </r>
    <r>
      <rPr>
        <sz val="11"/>
        <color theme="1"/>
        <rFont val="Calibri"/>
        <family val="2"/>
        <scheme val="minor"/>
      </rPr>
      <t xml:space="preserve"> - Added
</t>
    </r>
    <r>
      <rPr>
        <b/>
        <sz val="11"/>
        <color theme="1"/>
        <rFont val="Calibri"/>
        <family val="2"/>
        <scheme val="minor"/>
      </rPr>
      <t>ChangedBoundary</t>
    </r>
    <r>
      <rPr>
        <sz val="11"/>
        <color theme="1"/>
        <rFont val="Calibri"/>
        <family val="2"/>
        <scheme val="minor"/>
      </rPr>
      <t xml:space="preserve"> - Changed boundary
</t>
    </r>
    <r>
      <rPr>
        <b/>
        <sz val="11"/>
        <color theme="1"/>
        <rFont val="Calibri"/>
        <family val="2"/>
        <scheme val="minor"/>
      </rPr>
      <t>Inactive</t>
    </r>
    <r>
      <rPr>
        <sz val="11"/>
        <color theme="1"/>
        <rFont val="Calibri"/>
        <family val="2"/>
        <scheme val="minor"/>
      </rPr>
      <t xml:space="preserve"> - Inactive
</t>
    </r>
    <r>
      <rPr>
        <b/>
        <sz val="11"/>
        <color theme="1"/>
        <rFont val="Calibri"/>
        <family val="2"/>
        <scheme val="minor"/>
      </rPr>
      <t>FutureAgency</t>
    </r>
    <r>
      <rPr>
        <sz val="11"/>
        <color theme="1"/>
        <rFont val="Calibri"/>
        <family val="2"/>
        <scheme val="minor"/>
      </rPr>
      <t xml:space="preserve"> - Future agency
</t>
    </r>
    <r>
      <rPr>
        <b/>
        <sz val="11"/>
        <color theme="1"/>
        <rFont val="Calibri"/>
        <family val="2"/>
        <scheme val="minor"/>
      </rPr>
      <t>Reopened</t>
    </r>
    <r>
      <rPr>
        <sz val="11"/>
        <color theme="1"/>
        <rFont val="Calibri"/>
        <family val="2"/>
        <scheme val="minor"/>
      </rPr>
      <t xml:space="preserve"> - Reopened
</t>
    </r>
  </si>
  <si>
    <r>
      <t>1</t>
    </r>
    <r>
      <rPr>
        <sz val="11"/>
        <color theme="1"/>
        <rFont val="Calibri"/>
        <family val="2"/>
        <scheme val="minor"/>
      </rPr>
      <t xml:space="preserve"> - Regular local school district
</t>
    </r>
    <r>
      <rPr>
        <b/>
        <sz val="11"/>
        <color theme="1"/>
        <rFont val="Calibri"/>
        <family val="2"/>
        <scheme val="minor"/>
      </rPr>
      <t>2</t>
    </r>
    <r>
      <rPr>
        <sz val="11"/>
        <color theme="1"/>
        <rFont val="Calibri"/>
        <family val="2"/>
        <scheme val="minor"/>
      </rPr>
      <t xml:space="preserve"> - Local school district that is a component of a supervisory union
</t>
    </r>
    <r>
      <rPr>
        <b/>
        <sz val="11"/>
        <color theme="1"/>
        <rFont val="Calibri"/>
        <family val="2"/>
        <scheme val="minor"/>
      </rPr>
      <t>3</t>
    </r>
    <r>
      <rPr>
        <sz val="11"/>
        <color theme="1"/>
        <rFont val="Calibri"/>
        <family val="2"/>
        <scheme val="minor"/>
      </rPr>
      <t xml:space="preserve"> - Supervisory union administrative center
</t>
    </r>
    <r>
      <rPr>
        <b/>
        <sz val="11"/>
        <color theme="1"/>
        <rFont val="Calibri"/>
        <family val="2"/>
        <scheme val="minor"/>
      </rPr>
      <t>4</t>
    </r>
    <r>
      <rPr>
        <sz val="11"/>
        <color theme="1"/>
        <rFont val="Calibri"/>
        <family val="2"/>
        <scheme val="minor"/>
      </rPr>
      <t xml:space="preserve"> - Regional education service agency
</t>
    </r>
    <r>
      <rPr>
        <b/>
        <sz val="11"/>
        <color theme="1"/>
        <rFont val="Calibri"/>
        <family val="2"/>
        <scheme val="minor"/>
      </rPr>
      <t>5</t>
    </r>
    <r>
      <rPr>
        <sz val="11"/>
        <color theme="1"/>
        <rFont val="Calibri"/>
        <family val="2"/>
        <scheme val="minor"/>
      </rPr>
      <t xml:space="preserve"> - State agency providing elementary and/or secondary level instruction to school
</t>
    </r>
    <r>
      <rPr>
        <b/>
        <sz val="11"/>
        <color theme="1"/>
        <rFont val="Calibri"/>
        <family val="2"/>
        <scheme val="minor"/>
      </rPr>
      <t>6</t>
    </r>
    <r>
      <rPr>
        <sz val="11"/>
        <color theme="1"/>
        <rFont val="Calibri"/>
        <family val="2"/>
        <scheme val="minor"/>
      </rPr>
      <t xml:space="preserve"> - Federal agency providing elementary and/or secondary level instruction to school
</t>
    </r>
    <r>
      <rPr>
        <b/>
        <sz val="11"/>
        <color theme="1"/>
        <rFont val="Calibri"/>
        <family val="2"/>
        <scheme val="minor"/>
      </rPr>
      <t>7</t>
    </r>
    <r>
      <rPr>
        <sz val="11"/>
        <color theme="1"/>
        <rFont val="Calibri"/>
        <family val="2"/>
        <scheme val="minor"/>
      </rPr>
      <t xml:space="preserve"> - Independent Charter District
</t>
    </r>
    <r>
      <rPr>
        <b/>
        <sz val="11"/>
        <color theme="1"/>
        <rFont val="Calibri"/>
        <family val="2"/>
        <scheme val="minor"/>
      </rPr>
      <t>8</t>
    </r>
    <r>
      <rPr>
        <sz val="11"/>
        <color theme="1"/>
        <rFont val="Calibri"/>
        <family val="2"/>
        <scheme val="minor"/>
      </rPr>
      <t xml:space="preserve"> - Other education agencies
</t>
    </r>
  </si>
  <si>
    <r>
      <t>All</t>
    </r>
    <r>
      <rPr>
        <sz val="11"/>
        <color theme="1"/>
        <rFont val="Calibri"/>
        <family val="2"/>
        <scheme val="minor"/>
      </rPr>
      <t xml:space="preserve"> - All students participate
</t>
    </r>
    <r>
      <rPr>
        <b/>
        <sz val="11"/>
        <color theme="1"/>
        <rFont val="Calibri"/>
        <family val="2"/>
        <scheme val="minor"/>
      </rPr>
      <t>None</t>
    </r>
    <r>
      <rPr>
        <sz val="11"/>
        <color theme="1"/>
        <rFont val="Calibri"/>
        <family val="2"/>
        <scheme val="minor"/>
      </rPr>
      <t xml:space="preserve"> - No students participate
</t>
    </r>
    <r>
      <rPr>
        <b/>
        <sz val="11"/>
        <color theme="1"/>
        <rFont val="Calibri"/>
        <family val="2"/>
        <scheme val="minor"/>
      </rPr>
      <t>Some</t>
    </r>
    <r>
      <rPr>
        <sz val="11"/>
        <color theme="1"/>
        <rFont val="Calibri"/>
        <family val="2"/>
        <scheme val="minor"/>
      </rPr>
      <t xml:space="preserve"> - Some, but not all, students participate
</t>
    </r>
  </si>
  <si>
    <r>
      <t>01</t>
    </r>
    <r>
      <rPr>
        <sz val="11"/>
        <color theme="1"/>
        <rFont val="Calibri"/>
        <family val="2"/>
        <scheme val="minor"/>
      </rPr>
      <t xml:space="preserve"> - Basic School Program
</t>
    </r>
    <r>
      <rPr>
        <b/>
        <sz val="11"/>
        <color theme="1"/>
        <rFont val="Calibri"/>
        <family val="2"/>
        <scheme val="minor"/>
      </rPr>
      <t>02</t>
    </r>
    <r>
      <rPr>
        <sz val="11"/>
        <color theme="1"/>
        <rFont val="Calibri"/>
        <family val="2"/>
        <scheme val="minor"/>
      </rPr>
      <t xml:space="preserve"> - Regular Term MEP-Funded Project
</t>
    </r>
    <r>
      <rPr>
        <b/>
        <sz val="11"/>
        <color theme="1"/>
        <rFont val="Calibri"/>
        <family val="2"/>
        <scheme val="minor"/>
      </rPr>
      <t>03</t>
    </r>
    <r>
      <rPr>
        <sz val="11"/>
        <color theme="1"/>
        <rFont val="Calibri"/>
        <family val="2"/>
        <scheme val="minor"/>
      </rPr>
      <t xml:space="preserve"> - Summer/Intersession MEP-Funded Project
</t>
    </r>
    <r>
      <rPr>
        <b/>
        <sz val="11"/>
        <color theme="1"/>
        <rFont val="Calibri"/>
        <family val="2"/>
        <scheme val="minor"/>
      </rPr>
      <t>04</t>
    </r>
    <r>
      <rPr>
        <sz val="11"/>
        <color theme="1"/>
        <rFont val="Calibri"/>
        <family val="2"/>
        <scheme val="minor"/>
      </rPr>
      <t xml:space="preserve"> - Year Round MEP-Funded Project
</t>
    </r>
    <r>
      <rPr>
        <b/>
        <sz val="11"/>
        <color theme="1"/>
        <rFont val="Calibri"/>
        <family val="2"/>
        <scheme val="minor"/>
      </rPr>
      <t>05</t>
    </r>
    <r>
      <rPr>
        <sz val="11"/>
        <color theme="1"/>
        <rFont val="Calibri"/>
        <family val="2"/>
        <scheme val="minor"/>
      </rPr>
      <t xml:space="preserve"> - Basic School Program and Regular-Term MEP-Funded Project
</t>
    </r>
    <r>
      <rPr>
        <b/>
        <sz val="11"/>
        <color theme="1"/>
        <rFont val="Calibri"/>
        <family val="2"/>
        <scheme val="minor"/>
      </rPr>
      <t>06</t>
    </r>
    <r>
      <rPr>
        <sz val="11"/>
        <color theme="1"/>
        <rFont val="Calibri"/>
        <family val="2"/>
        <scheme val="minor"/>
      </rPr>
      <t xml:space="preserve"> - Residency Only (none of the above)
</t>
    </r>
  </si>
  <si>
    <r>
      <t>SchoolBased</t>
    </r>
    <r>
      <rPr>
        <sz val="11"/>
        <color theme="1"/>
        <rFont val="Calibri"/>
        <family val="2"/>
        <scheme val="minor"/>
      </rPr>
      <t xml:space="preserve"> - School-based MEP Project
</t>
    </r>
    <r>
      <rPr>
        <b/>
        <sz val="11"/>
        <color theme="1"/>
        <rFont val="Calibri"/>
        <family val="2"/>
        <scheme val="minor"/>
      </rPr>
      <t>NonSchoolBased</t>
    </r>
    <r>
      <rPr>
        <sz val="11"/>
        <color theme="1"/>
        <rFont val="Calibri"/>
        <family val="2"/>
        <scheme val="minor"/>
      </rPr>
      <t xml:space="preserve"> - Non-school-based MEP project
</t>
    </r>
  </si>
  <si>
    <r>
      <t>SchoolDay</t>
    </r>
    <r>
      <rPr>
        <sz val="11"/>
        <color theme="1"/>
        <rFont val="Calibri"/>
        <family val="2"/>
        <scheme val="minor"/>
      </rPr>
      <t xml:space="preserve"> - Regular school year - school day only
</t>
    </r>
    <r>
      <rPr>
        <b/>
        <sz val="11"/>
        <color theme="1"/>
        <rFont val="Calibri"/>
        <family val="2"/>
        <scheme val="minor"/>
      </rPr>
      <t>ExtendedDay</t>
    </r>
    <r>
      <rPr>
        <sz val="11"/>
        <color theme="1"/>
        <rFont val="Calibri"/>
        <family val="2"/>
        <scheme val="minor"/>
      </rPr>
      <t xml:space="preserve"> - Regular school year - school day/extended day
</t>
    </r>
    <r>
      <rPr>
        <b/>
        <sz val="11"/>
        <color theme="1"/>
        <rFont val="Calibri"/>
        <family val="2"/>
        <scheme val="minor"/>
      </rPr>
      <t>SummerIntersession</t>
    </r>
    <r>
      <rPr>
        <sz val="11"/>
        <color theme="1"/>
        <rFont val="Calibri"/>
        <family val="2"/>
        <scheme val="minor"/>
      </rPr>
      <t xml:space="preserve"> - Summer/intersession only
</t>
    </r>
    <r>
      <rPr>
        <b/>
        <sz val="11"/>
        <color theme="1"/>
        <rFont val="Calibri"/>
        <family val="2"/>
        <scheme val="minor"/>
      </rPr>
      <t>YearRound</t>
    </r>
    <r>
      <rPr>
        <sz val="11"/>
        <color theme="1"/>
        <rFont val="Calibri"/>
        <family val="2"/>
        <scheme val="minor"/>
      </rPr>
      <t xml:space="preserve"> - Year round
</t>
    </r>
  </si>
  <si>
    <r>
      <t>CounselingServices</t>
    </r>
    <r>
      <rPr>
        <sz val="11"/>
        <color theme="1"/>
        <rFont val="Calibri"/>
        <family val="2"/>
        <scheme val="minor"/>
      </rPr>
      <t xml:space="preserve"> - Counseling Services
</t>
    </r>
    <r>
      <rPr>
        <b/>
        <sz val="11"/>
        <color theme="1"/>
        <rFont val="Calibri"/>
        <family val="2"/>
        <scheme val="minor"/>
      </rPr>
      <t>HighSchoolAccrual</t>
    </r>
    <r>
      <rPr>
        <sz val="11"/>
        <color theme="1"/>
        <rFont val="Calibri"/>
        <family val="2"/>
        <scheme val="minor"/>
      </rPr>
      <t xml:space="preserve"> - High School Accrual
</t>
    </r>
    <r>
      <rPr>
        <b/>
        <sz val="11"/>
        <color theme="1"/>
        <rFont val="Calibri"/>
        <family val="2"/>
        <scheme val="minor"/>
      </rPr>
      <t>InstructionalServices</t>
    </r>
    <r>
      <rPr>
        <sz val="11"/>
        <color theme="1"/>
        <rFont val="Calibri"/>
        <family val="2"/>
        <scheme val="minor"/>
      </rPr>
      <t xml:space="preserve"> - Instructional Services
</t>
    </r>
    <r>
      <rPr>
        <b/>
        <sz val="11"/>
        <color theme="1"/>
        <rFont val="Calibri"/>
        <family val="2"/>
        <scheme val="minor"/>
      </rPr>
      <t>MathematicsInstruction</t>
    </r>
    <r>
      <rPr>
        <sz val="11"/>
        <color theme="1"/>
        <rFont val="Calibri"/>
        <family val="2"/>
        <scheme val="minor"/>
      </rPr>
      <t xml:space="preserve"> - Mathematics Instruction
</t>
    </r>
    <r>
      <rPr>
        <b/>
        <sz val="11"/>
        <color theme="1"/>
        <rFont val="Calibri"/>
        <family val="2"/>
        <scheme val="minor"/>
      </rPr>
      <t>ReadingInstruction</t>
    </r>
    <r>
      <rPr>
        <sz val="11"/>
        <color theme="1"/>
        <rFont val="Calibri"/>
        <family val="2"/>
        <scheme val="minor"/>
      </rPr>
      <t xml:space="preserve"> - Reading Instruction
</t>
    </r>
    <r>
      <rPr>
        <b/>
        <sz val="11"/>
        <color theme="1"/>
        <rFont val="Calibri"/>
        <family val="2"/>
        <scheme val="minor"/>
      </rPr>
      <t>ReferralServices</t>
    </r>
    <r>
      <rPr>
        <sz val="11"/>
        <color theme="1"/>
        <rFont val="Calibri"/>
        <family val="2"/>
        <scheme val="minor"/>
      </rPr>
      <t xml:space="preserve"> - Referral Services
</t>
    </r>
    <r>
      <rPr>
        <b/>
        <sz val="11"/>
        <color theme="1"/>
        <rFont val="Calibri"/>
        <family val="2"/>
        <scheme val="minor"/>
      </rPr>
      <t>SupportServices</t>
    </r>
    <r>
      <rPr>
        <sz val="11"/>
        <color theme="1"/>
        <rFont val="Calibri"/>
        <family val="2"/>
        <scheme val="minor"/>
      </rPr>
      <t xml:space="preserve"> - Support Services
</t>
    </r>
  </si>
  <si>
    <r>
      <t>RegularSchoolYear</t>
    </r>
    <r>
      <rPr>
        <sz val="11"/>
        <color theme="1"/>
        <rFont val="Calibri"/>
        <family val="2"/>
        <scheme val="minor"/>
      </rPr>
      <t xml:space="preserve"> - Regular School Year
</t>
    </r>
    <r>
      <rPr>
        <b/>
        <sz val="11"/>
        <color theme="1"/>
        <rFont val="Calibri"/>
        <family val="2"/>
        <scheme val="minor"/>
      </rPr>
      <t>SummerTerm</t>
    </r>
    <r>
      <rPr>
        <sz val="11"/>
        <color theme="1"/>
        <rFont val="Calibri"/>
        <family val="2"/>
        <scheme val="minor"/>
      </rPr>
      <t xml:space="preserve"> - Summer Term or Intersession
</t>
    </r>
  </si>
  <si>
    <r>
      <t>Teachers</t>
    </r>
    <r>
      <rPr>
        <sz val="11"/>
        <color theme="1"/>
        <rFont val="Calibri"/>
        <family val="2"/>
        <scheme val="minor"/>
      </rPr>
      <t xml:space="preserve"> - Teachers
</t>
    </r>
    <r>
      <rPr>
        <b/>
        <sz val="11"/>
        <color theme="1"/>
        <rFont val="Calibri"/>
        <family val="2"/>
        <scheme val="minor"/>
      </rPr>
      <t>Paraprofessionals</t>
    </r>
    <r>
      <rPr>
        <sz val="11"/>
        <color theme="1"/>
        <rFont val="Calibri"/>
        <family val="2"/>
        <scheme val="minor"/>
      </rPr>
      <t xml:space="preserve"> - Paraprofessionals
</t>
    </r>
    <r>
      <rPr>
        <b/>
        <sz val="11"/>
        <color theme="1"/>
        <rFont val="Calibri"/>
        <family val="2"/>
        <scheme val="minor"/>
      </rPr>
      <t>Counselors</t>
    </r>
    <r>
      <rPr>
        <sz val="11"/>
        <color theme="1"/>
        <rFont val="Calibri"/>
        <family val="2"/>
        <scheme val="minor"/>
      </rPr>
      <t xml:space="preserve"> - Counselors
</t>
    </r>
    <r>
      <rPr>
        <b/>
        <sz val="11"/>
        <color theme="1"/>
        <rFont val="Calibri"/>
        <family val="2"/>
        <scheme val="minor"/>
      </rPr>
      <t>Administrators</t>
    </r>
    <r>
      <rPr>
        <sz val="11"/>
        <color theme="1"/>
        <rFont val="Calibri"/>
        <family val="2"/>
        <scheme val="minor"/>
      </rPr>
      <t xml:space="preserve"> - Administrators
</t>
    </r>
    <r>
      <rPr>
        <b/>
        <sz val="11"/>
        <color theme="1"/>
        <rFont val="Calibri"/>
        <family val="2"/>
        <scheme val="minor"/>
      </rPr>
      <t>Recruiters</t>
    </r>
    <r>
      <rPr>
        <sz val="11"/>
        <color theme="1"/>
        <rFont val="Calibri"/>
        <family val="2"/>
        <scheme val="minor"/>
      </rPr>
      <t xml:space="preserve"> - Recruiters
</t>
    </r>
    <r>
      <rPr>
        <b/>
        <sz val="11"/>
        <color theme="1"/>
        <rFont val="Calibri"/>
        <family val="2"/>
        <scheme val="minor"/>
      </rPr>
      <t>RecordsTransferStaff</t>
    </r>
    <r>
      <rPr>
        <sz val="11"/>
        <color theme="1"/>
        <rFont val="Calibri"/>
        <family val="2"/>
        <scheme val="minor"/>
      </rPr>
      <t xml:space="preserve"> - Records Transfer Staff
</t>
    </r>
  </si>
  <si>
    <r>
      <t>DevelopingInterpretation</t>
    </r>
    <r>
      <rPr>
        <sz val="11"/>
        <color theme="1"/>
        <rFont val="Calibri"/>
        <family val="2"/>
        <scheme val="minor"/>
      </rPr>
      <t xml:space="preserve"> - Developing Interpretation
</t>
    </r>
    <r>
      <rPr>
        <b/>
        <sz val="11"/>
        <color theme="1"/>
        <rFont val="Calibri"/>
        <family val="2"/>
        <scheme val="minor"/>
      </rPr>
      <t>MakingReaderTextConnections</t>
    </r>
    <r>
      <rPr>
        <sz val="11"/>
        <color theme="1"/>
        <rFont val="Calibri"/>
        <family val="2"/>
        <scheme val="minor"/>
      </rPr>
      <t xml:space="preserve"> - Making reader/text connections
</t>
    </r>
    <r>
      <rPr>
        <b/>
        <sz val="11"/>
        <color theme="1"/>
        <rFont val="Calibri"/>
        <family val="2"/>
        <scheme val="minor"/>
      </rPr>
      <t>ExaminingContentAndStructure</t>
    </r>
    <r>
      <rPr>
        <sz val="11"/>
        <color theme="1"/>
        <rFont val="Calibri"/>
        <family val="2"/>
        <scheme val="minor"/>
      </rPr>
      <t xml:space="preserve"> - Examining content and structure
</t>
    </r>
  </si>
  <si>
    <r>
      <t>LowComplexity</t>
    </r>
    <r>
      <rPr>
        <sz val="11"/>
        <color theme="1"/>
        <rFont val="Calibri"/>
        <family val="2"/>
        <scheme val="minor"/>
      </rPr>
      <t xml:space="preserve"> - Low complexity
</t>
    </r>
    <r>
      <rPr>
        <b/>
        <sz val="11"/>
        <color theme="1"/>
        <rFont val="Calibri"/>
        <family val="2"/>
        <scheme val="minor"/>
      </rPr>
      <t>ModerateComplexity</t>
    </r>
    <r>
      <rPr>
        <sz val="11"/>
        <color theme="1"/>
        <rFont val="Calibri"/>
        <family val="2"/>
        <scheme val="minor"/>
      </rPr>
      <t xml:space="preserve"> - Moderate complexity
</t>
    </r>
    <r>
      <rPr>
        <b/>
        <sz val="11"/>
        <color theme="1"/>
        <rFont val="Calibri"/>
        <family val="2"/>
        <scheme val="minor"/>
      </rPr>
      <t>HighComplexity</t>
    </r>
    <r>
      <rPr>
        <sz val="11"/>
        <color theme="1"/>
        <rFont val="Calibri"/>
        <family val="2"/>
        <scheme val="minor"/>
      </rPr>
      <t xml:space="preserve"> - High complexity
</t>
    </r>
  </si>
  <si>
    <r>
      <t>NeglectedPrograms</t>
    </r>
    <r>
      <rPr>
        <sz val="11"/>
        <color theme="1"/>
        <rFont val="Calibri"/>
        <family val="2"/>
        <scheme val="minor"/>
      </rPr>
      <t xml:space="preserve"> - Neglected programs
</t>
    </r>
    <r>
      <rPr>
        <b/>
        <sz val="11"/>
        <color theme="1"/>
        <rFont val="Calibri"/>
        <family val="2"/>
        <scheme val="minor"/>
      </rPr>
      <t>JuvenileDetention</t>
    </r>
    <r>
      <rPr>
        <sz val="11"/>
        <color theme="1"/>
        <rFont val="Calibri"/>
        <family val="2"/>
        <scheme val="minor"/>
      </rPr>
      <t xml:space="preserve"> - Juvenile Detention
</t>
    </r>
    <r>
      <rPr>
        <b/>
        <sz val="11"/>
        <color theme="1"/>
        <rFont val="Calibri"/>
        <family val="2"/>
        <scheme val="minor"/>
      </rPr>
      <t>JuvenileCorrection</t>
    </r>
    <r>
      <rPr>
        <sz val="11"/>
        <color theme="1"/>
        <rFont val="Calibri"/>
        <family val="2"/>
        <scheme val="minor"/>
      </rPr>
      <t xml:space="preserve"> - Juvenile Correction
</t>
    </r>
    <r>
      <rPr>
        <b/>
        <sz val="11"/>
        <color theme="1"/>
        <rFont val="Calibri"/>
        <family val="2"/>
        <scheme val="minor"/>
      </rPr>
      <t>AdultCorrection</t>
    </r>
    <r>
      <rPr>
        <sz val="11"/>
        <color theme="1"/>
        <rFont val="Calibri"/>
        <family val="2"/>
        <scheme val="minor"/>
      </rPr>
      <t xml:space="preserve"> - Adult Correction
</t>
    </r>
    <r>
      <rPr>
        <b/>
        <sz val="11"/>
        <color theme="1"/>
        <rFont val="Calibri"/>
        <family val="2"/>
        <scheme val="minor"/>
      </rPr>
      <t>AtRiskPrograms</t>
    </r>
    <r>
      <rPr>
        <sz val="11"/>
        <color theme="1"/>
        <rFont val="Calibri"/>
        <family val="2"/>
        <scheme val="minor"/>
      </rPr>
      <t xml:space="preserve"> - At-risk programs
</t>
    </r>
    <r>
      <rPr>
        <b/>
        <sz val="11"/>
        <color theme="1"/>
        <rFont val="Calibri"/>
        <family val="2"/>
        <scheme val="minor"/>
      </rPr>
      <t>OtherPrograms</t>
    </r>
    <r>
      <rPr>
        <sz val="11"/>
        <color theme="1"/>
        <rFont val="Calibri"/>
        <family val="2"/>
        <scheme val="minor"/>
      </rPr>
      <t xml:space="preserve"> - Other Programs
</t>
    </r>
  </si>
  <si>
    <r>
      <t>FailedTestingRequirements</t>
    </r>
    <r>
      <rPr>
        <sz val="11"/>
        <color theme="1"/>
        <rFont val="Calibri"/>
        <family val="2"/>
        <scheme val="minor"/>
      </rPr>
      <t xml:space="preserve"> - Failed to meet testing requirements
</t>
    </r>
    <r>
      <rPr>
        <b/>
        <sz val="11"/>
        <color theme="1"/>
        <rFont val="Calibri"/>
        <family val="2"/>
        <scheme val="minor"/>
      </rPr>
      <t>Illness</t>
    </r>
    <r>
      <rPr>
        <sz val="11"/>
        <color theme="1"/>
        <rFont val="Calibri"/>
        <family val="2"/>
        <scheme val="minor"/>
      </rPr>
      <t xml:space="preserve"> - Illness
</t>
    </r>
    <r>
      <rPr>
        <b/>
        <sz val="11"/>
        <color theme="1"/>
        <rFont val="Calibri"/>
        <family val="2"/>
        <scheme val="minor"/>
      </rPr>
      <t>Immaturity</t>
    </r>
    <r>
      <rPr>
        <sz val="11"/>
        <color theme="1"/>
        <rFont val="Calibri"/>
        <family val="2"/>
        <scheme val="minor"/>
      </rPr>
      <t xml:space="preserve"> - Immaturity
</t>
    </r>
    <r>
      <rPr>
        <b/>
        <sz val="11"/>
        <color theme="1"/>
        <rFont val="Calibri"/>
        <family val="2"/>
        <scheme val="minor"/>
      </rPr>
      <t>InadequatePerformance</t>
    </r>
    <r>
      <rPr>
        <sz val="11"/>
        <color theme="1"/>
        <rFont val="Calibri"/>
        <family val="2"/>
        <scheme val="minor"/>
      </rPr>
      <t xml:space="preserve"> - Inadequate performance
</t>
    </r>
    <r>
      <rPr>
        <b/>
        <sz val="11"/>
        <color theme="1"/>
        <rFont val="Calibri"/>
        <family val="2"/>
        <scheme val="minor"/>
      </rPr>
      <t>InsufficientCredits</t>
    </r>
    <r>
      <rPr>
        <sz val="11"/>
        <color theme="1"/>
        <rFont val="Calibri"/>
        <family val="2"/>
        <scheme val="minor"/>
      </rPr>
      <t xml:space="preserve"> - Insufficient credits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ProlongedAbsence</t>
    </r>
    <r>
      <rPr>
        <sz val="11"/>
        <color theme="1"/>
        <rFont val="Calibri"/>
        <family val="2"/>
        <scheme val="minor"/>
      </rPr>
      <t xml:space="preserve"> - Prolonged absence
</t>
    </r>
  </si>
  <si>
    <r>
      <t>Employer</t>
    </r>
    <r>
      <rPr>
        <sz val="11"/>
        <color theme="1"/>
        <rFont val="Calibri"/>
        <family val="2"/>
        <scheme val="minor"/>
      </rPr>
      <t xml:space="preserve"> - Employer
</t>
    </r>
    <r>
      <rPr>
        <b/>
        <sz val="11"/>
        <color theme="1"/>
        <rFont val="Calibri"/>
        <family val="2"/>
        <scheme val="minor"/>
      </rPr>
      <t>K12School</t>
    </r>
    <r>
      <rPr>
        <sz val="11"/>
        <color theme="1"/>
        <rFont val="Calibri"/>
        <family val="2"/>
        <scheme val="minor"/>
      </rPr>
      <t xml:space="preserve"> - K12 School
</t>
    </r>
    <r>
      <rPr>
        <b/>
        <sz val="11"/>
        <color theme="1"/>
        <rFont val="Calibri"/>
        <family val="2"/>
        <scheme val="minor"/>
      </rPr>
      <t>LEA</t>
    </r>
    <r>
      <rPr>
        <sz val="11"/>
        <color theme="1"/>
        <rFont val="Calibri"/>
        <family val="2"/>
        <scheme val="minor"/>
      </rPr>
      <t xml:space="preserve"> - Local Education Agency (LEA)
</t>
    </r>
    <r>
      <rPr>
        <b/>
        <sz val="11"/>
        <color theme="1"/>
        <rFont val="Calibri"/>
        <family val="2"/>
        <scheme val="minor"/>
      </rPr>
      <t>IEU</t>
    </r>
    <r>
      <rPr>
        <sz val="11"/>
        <color theme="1"/>
        <rFont val="Calibri"/>
        <family val="2"/>
        <scheme val="minor"/>
      </rPr>
      <t xml:space="preserve"> - Intermediate Educational Unit (IEU)
</t>
    </r>
    <r>
      <rPr>
        <b/>
        <sz val="11"/>
        <color theme="1"/>
        <rFont val="Calibri"/>
        <family val="2"/>
        <scheme val="minor"/>
      </rPr>
      <t>SEA</t>
    </r>
    <r>
      <rPr>
        <sz val="11"/>
        <color theme="1"/>
        <rFont val="Calibri"/>
        <family val="2"/>
        <scheme val="minor"/>
      </rPr>
      <t xml:space="preserve"> - State Education Agency (SEA)
</t>
    </r>
    <r>
      <rPr>
        <b/>
        <sz val="11"/>
        <color theme="1"/>
        <rFont val="Calibri"/>
        <family val="2"/>
        <scheme val="minor"/>
      </rPr>
      <t>Recruiter</t>
    </r>
    <r>
      <rPr>
        <sz val="11"/>
        <color theme="1"/>
        <rFont val="Calibri"/>
        <family val="2"/>
        <scheme val="minor"/>
      </rPr>
      <t xml:space="preserve"> - Recruiter
</t>
    </r>
    <r>
      <rPr>
        <b/>
        <sz val="11"/>
        <color theme="1"/>
        <rFont val="Calibri"/>
        <family val="2"/>
        <scheme val="minor"/>
      </rPr>
      <t>EmployeeBenefitCarrier</t>
    </r>
    <r>
      <rPr>
        <sz val="11"/>
        <color theme="1"/>
        <rFont val="Calibri"/>
        <family val="2"/>
        <scheme val="minor"/>
      </rPr>
      <t xml:space="preserve"> - Employee Benefit Carrier
</t>
    </r>
    <r>
      <rPr>
        <b/>
        <sz val="11"/>
        <color theme="1"/>
        <rFont val="Calibri"/>
        <family val="2"/>
        <scheme val="minor"/>
      </rPr>
      <t>EmployeeBenefitContributor</t>
    </r>
    <r>
      <rPr>
        <sz val="11"/>
        <color theme="1"/>
        <rFont val="Calibri"/>
        <family val="2"/>
        <scheme val="minor"/>
      </rPr>
      <t xml:space="preserve"> - Employee Benefit Contributor
</t>
    </r>
    <r>
      <rPr>
        <b/>
        <sz val="11"/>
        <color theme="1"/>
        <rFont val="Calibri"/>
        <family val="2"/>
        <scheme val="minor"/>
      </rPr>
      <t>ProfessionalMembershipOrganization</t>
    </r>
    <r>
      <rPr>
        <sz val="11"/>
        <color theme="1"/>
        <rFont val="Calibri"/>
        <family val="2"/>
        <scheme val="minor"/>
      </rPr>
      <t xml:space="preserve"> - Professional Membership Organization
</t>
    </r>
    <r>
      <rPr>
        <b/>
        <sz val="11"/>
        <color theme="1"/>
        <rFont val="Calibri"/>
        <family val="2"/>
        <scheme val="minor"/>
      </rPr>
      <t>EducationInstitution</t>
    </r>
    <r>
      <rPr>
        <sz val="11"/>
        <color theme="1"/>
        <rFont val="Calibri"/>
        <family val="2"/>
        <scheme val="minor"/>
      </rPr>
      <t xml:space="preserve"> - Education Institution
</t>
    </r>
    <r>
      <rPr>
        <b/>
        <sz val="11"/>
        <color theme="1"/>
        <rFont val="Calibri"/>
        <family val="2"/>
        <scheme val="minor"/>
      </rPr>
      <t>StaffDevelopmentProvider</t>
    </r>
    <r>
      <rPr>
        <sz val="11"/>
        <color theme="1"/>
        <rFont val="Calibri"/>
        <family val="2"/>
        <scheme val="minor"/>
      </rPr>
      <t xml:space="preserve"> - Staff Development Provider
</t>
    </r>
    <r>
      <rPr>
        <b/>
        <sz val="11"/>
        <color theme="1"/>
        <rFont val="Calibri"/>
        <family val="2"/>
        <scheme val="minor"/>
      </rPr>
      <t>Facility</t>
    </r>
    <r>
      <rPr>
        <sz val="11"/>
        <color theme="1"/>
        <rFont val="Calibri"/>
        <family val="2"/>
        <scheme val="minor"/>
      </rPr>
      <t xml:space="preserve"> - Facility
</t>
    </r>
    <r>
      <rPr>
        <b/>
        <sz val="11"/>
        <color theme="1"/>
        <rFont val="Calibri"/>
        <family val="2"/>
        <scheme val="minor"/>
      </rPr>
      <t>Program</t>
    </r>
    <r>
      <rPr>
        <sz val="11"/>
        <color theme="1"/>
        <rFont val="Calibri"/>
        <family val="2"/>
        <scheme val="minor"/>
      </rPr>
      <t xml:space="preserve"> - Program
</t>
    </r>
    <r>
      <rPr>
        <b/>
        <sz val="11"/>
        <color theme="1"/>
        <rFont val="Calibri"/>
        <family val="2"/>
        <scheme val="minor"/>
      </rPr>
      <t>PostsecondaryInstitution</t>
    </r>
    <r>
      <rPr>
        <sz val="11"/>
        <color theme="1"/>
        <rFont val="Calibri"/>
        <family val="2"/>
        <scheme val="minor"/>
      </rPr>
      <t xml:space="preserve"> - Postsecondary Institution
</t>
    </r>
    <r>
      <rPr>
        <b/>
        <sz val="11"/>
        <color theme="1"/>
        <rFont val="Calibri"/>
        <family val="2"/>
        <scheme val="minor"/>
      </rPr>
      <t>ServiceProvider</t>
    </r>
    <r>
      <rPr>
        <sz val="11"/>
        <color theme="1"/>
        <rFont val="Calibri"/>
        <family val="2"/>
        <scheme val="minor"/>
      </rPr>
      <t xml:space="preserve"> - Service Provider
</t>
    </r>
    <r>
      <rPr>
        <b/>
        <sz val="11"/>
        <color theme="1"/>
        <rFont val="Calibri"/>
        <family val="2"/>
        <scheme val="minor"/>
      </rPr>
      <t>AffiliatedInstitution</t>
    </r>
    <r>
      <rPr>
        <sz val="11"/>
        <color theme="1"/>
        <rFont val="Calibri"/>
        <family val="2"/>
        <scheme val="minor"/>
      </rPr>
      <t xml:space="preserve"> - Affiliated Institution
</t>
    </r>
    <r>
      <rPr>
        <b/>
        <sz val="11"/>
        <color theme="1"/>
        <rFont val="Calibri"/>
        <family val="2"/>
        <scheme val="minor"/>
      </rPr>
      <t>GoverningBoard</t>
    </r>
    <r>
      <rPr>
        <sz val="11"/>
        <color theme="1"/>
        <rFont val="Calibri"/>
        <family val="2"/>
        <scheme val="minor"/>
      </rPr>
      <t xml:space="preserve"> - Governing Board
</t>
    </r>
    <r>
      <rPr>
        <b/>
        <sz val="11"/>
        <color theme="1"/>
        <rFont val="Calibri"/>
        <family val="2"/>
        <scheme val="minor"/>
      </rPr>
      <t>CredentialingOrganization</t>
    </r>
    <r>
      <rPr>
        <sz val="11"/>
        <color theme="1"/>
        <rFont val="Calibri"/>
        <family val="2"/>
        <scheme val="minor"/>
      </rPr>
      <t xml:space="preserve"> - Credentialing Organization
</t>
    </r>
    <r>
      <rPr>
        <b/>
        <sz val="11"/>
        <color theme="1"/>
        <rFont val="Calibri"/>
        <family val="2"/>
        <scheme val="minor"/>
      </rPr>
      <t>AccreditingOrganization</t>
    </r>
    <r>
      <rPr>
        <sz val="11"/>
        <color theme="1"/>
        <rFont val="Calibri"/>
        <family val="2"/>
        <scheme val="minor"/>
      </rPr>
      <t xml:space="preserve"> - Accrediting Organization
</t>
    </r>
    <r>
      <rPr>
        <b/>
        <sz val="11"/>
        <color theme="1"/>
        <rFont val="Calibri"/>
        <family val="2"/>
        <scheme val="minor"/>
      </rPr>
      <t>EducationOrganizationNetwork</t>
    </r>
    <r>
      <rPr>
        <sz val="11"/>
        <color theme="1"/>
        <rFont val="Calibri"/>
        <family val="2"/>
        <scheme val="minor"/>
      </rPr>
      <t xml:space="preserve"> - Education Organization Network
</t>
    </r>
    <r>
      <rPr>
        <b/>
        <sz val="11"/>
        <color theme="1"/>
        <rFont val="Calibri"/>
        <family val="2"/>
        <scheme val="minor"/>
      </rPr>
      <t>IDEAPartCLeadAgency</t>
    </r>
    <r>
      <rPr>
        <sz val="11"/>
        <color theme="1"/>
        <rFont val="Calibri"/>
        <family val="2"/>
        <scheme val="minor"/>
      </rPr>
      <t xml:space="preserve"> - IDEA Part C Lead Agency
</t>
    </r>
  </si>
  <si>
    <r>
      <t>Alias</t>
    </r>
    <r>
      <rPr>
        <sz val="11"/>
        <color theme="1"/>
        <rFont val="Calibri"/>
        <family val="2"/>
        <scheme val="minor"/>
      </rPr>
      <t xml:space="preserve"> - Alias
</t>
    </r>
    <r>
      <rPr>
        <b/>
        <sz val="11"/>
        <color theme="1"/>
        <rFont val="Calibri"/>
        <family val="2"/>
        <scheme val="minor"/>
      </rPr>
      <t>Nickname</t>
    </r>
    <r>
      <rPr>
        <sz val="11"/>
        <color theme="1"/>
        <rFont val="Calibri"/>
        <family val="2"/>
        <scheme val="minor"/>
      </rPr>
      <t xml:space="preserve"> - Nickname
</t>
    </r>
    <r>
      <rPr>
        <b/>
        <sz val="11"/>
        <color theme="1"/>
        <rFont val="Calibri"/>
        <family val="2"/>
        <scheme val="minor"/>
      </rPr>
      <t>OtherName</t>
    </r>
    <r>
      <rPr>
        <sz val="11"/>
        <color theme="1"/>
        <rFont val="Calibri"/>
        <family val="2"/>
        <scheme val="minor"/>
      </rPr>
      <t xml:space="preserve"> - Other name
</t>
    </r>
    <r>
      <rPr>
        <b/>
        <sz val="11"/>
        <color theme="1"/>
        <rFont val="Calibri"/>
        <family val="2"/>
        <scheme val="minor"/>
      </rPr>
      <t>PreviousLegalName</t>
    </r>
    <r>
      <rPr>
        <sz val="11"/>
        <color theme="1"/>
        <rFont val="Calibri"/>
        <family val="2"/>
        <scheme val="minor"/>
      </rPr>
      <t xml:space="preserve"> - Previous legal name
</t>
    </r>
  </si>
  <si>
    <r>
      <t>Qualified</t>
    </r>
    <r>
      <rPr>
        <sz val="11"/>
        <color theme="1"/>
        <rFont val="Calibri"/>
        <family val="2"/>
        <scheme val="minor"/>
      </rPr>
      <t xml:space="preserve"> - Qualified
</t>
    </r>
    <r>
      <rPr>
        <b/>
        <sz val="11"/>
        <color theme="1"/>
        <rFont val="Calibri"/>
        <family val="2"/>
        <scheme val="minor"/>
      </rPr>
      <t>NotQualified</t>
    </r>
    <r>
      <rPr>
        <sz val="11"/>
        <color theme="1"/>
        <rFont val="Calibri"/>
        <family val="2"/>
        <scheme val="minor"/>
      </rPr>
      <t xml:space="preserve"> - Not Qualified
</t>
    </r>
  </si>
  <si>
    <r>
      <t>InPerson</t>
    </r>
    <r>
      <rPr>
        <sz val="11"/>
        <color theme="1"/>
        <rFont val="Calibri"/>
        <family val="2"/>
        <scheme val="minor"/>
      </rPr>
      <t xml:space="preserve"> - In-person
</t>
    </r>
    <r>
      <rPr>
        <b/>
        <sz val="11"/>
        <color theme="1"/>
        <rFont val="Calibri"/>
        <family val="2"/>
        <scheme val="minor"/>
      </rPr>
      <t>Phone</t>
    </r>
    <r>
      <rPr>
        <sz val="11"/>
        <color theme="1"/>
        <rFont val="Calibri"/>
        <family val="2"/>
        <scheme val="minor"/>
      </rPr>
      <t xml:space="preserve"> - Phone
</t>
    </r>
    <r>
      <rPr>
        <b/>
        <sz val="11"/>
        <color theme="1"/>
        <rFont val="Calibri"/>
        <family val="2"/>
        <scheme val="minor"/>
      </rPr>
      <t>Website</t>
    </r>
    <r>
      <rPr>
        <sz val="11"/>
        <color theme="1"/>
        <rFont val="Calibri"/>
        <family val="2"/>
        <scheme val="minor"/>
      </rPr>
      <t xml:space="preserve"> - Website
</t>
    </r>
    <r>
      <rPr>
        <b/>
        <sz val="11"/>
        <color theme="1"/>
        <rFont val="Calibri"/>
        <family val="2"/>
        <scheme val="minor"/>
      </rPr>
      <t>Email</t>
    </r>
    <r>
      <rPr>
        <sz val="11"/>
        <color theme="1"/>
        <rFont val="Calibri"/>
        <family val="2"/>
        <scheme val="minor"/>
      </rPr>
      <t xml:space="preserve"> - Email
</t>
    </r>
    <r>
      <rPr>
        <b/>
        <sz val="11"/>
        <color theme="1"/>
        <rFont val="Calibri"/>
        <family val="2"/>
        <scheme val="minor"/>
      </rPr>
      <t>Newsletter</t>
    </r>
    <r>
      <rPr>
        <sz val="11"/>
        <color theme="1"/>
        <rFont val="Calibri"/>
        <family val="2"/>
        <scheme val="minor"/>
      </rPr>
      <t xml:space="preserve"> - Newsletter
</t>
    </r>
    <r>
      <rPr>
        <b/>
        <sz val="11"/>
        <color theme="1"/>
        <rFont val="Calibri"/>
        <family val="2"/>
        <scheme val="minor"/>
      </rPr>
      <t>BulletinBoard</t>
    </r>
    <r>
      <rPr>
        <sz val="11"/>
        <color theme="1"/>
        <rFont val="Calibri"/>
        <family val="2"/>
        <scheme val="minor"/>
      </rPr>
      <t xml:space="preserve"> - Bulletin board
</t>
    </r>
    <r>
      <rPr>
        <b/>
        <sz val="11"/>
        <color theme="1"/>
        <rFont val="Calibri"/>
        <family val="2"/>
        <scheme val="minor"/>
      </rPr>
      <t>HomeVisit</t>
    </r>
    <r>
      <rPr>
        <sz val="11"/>
        <color theme="1"/>
        <rFont val="Calibri"/>
        <family val="2"/>
        <scheme val="minor"/>
      </rPr>
      <t xml:space="preserve"> - Home visit
</t>
    </r>
    <r>
      <rPr>
        <b/>
        <sz val="11"/>
        <color theme="1"/>
        <rFont val="Calibri"/>
        <family val="2"/>
        <scheme val="minor"/>
      </rPr>
      <t>Fax</t>
    </r>
    <r>
      <rPr>
        <sz val="11"/>
        <color theme="1"/>
        <rFont val="Calibri"/>
        <family val="2"/>
        <scheme val="minor"/>
      </rPr>
      <t xml:space="preserve"> - Fax
</t>
    </r>
    <r>
      <rPr>
        <b/>
        <sz val="11"/>
        <color theme="1"/>
        <rFont val="Calibri"/>
        <family val="2"/>
        <scheme val="minor"/>
      </rPr>
      <t>Other</t>
    </r>
    <r>
      <rPr>
        <sz val="11"/>
        <color theme="1"/>
        <rFont val="Calibri"/>
        <family val="2"/>
        <scheme val="minor"/>
      </rPr>
      <t xml:space="preserve"> - Other
</t>
    </r>
  </si>
  <si>
    <r>
      <t>FreeBreakfast</t>
    </r>
    <r>
      <rPr>
        <sz val="11"/>
        <color theme="1"/>
        <rFont val="Calibri"/>
        <family val="2"/>
        <scheme val="minor"/>
      </rPr>
      <t xml:space="preserve"> - Free breakfast
</t>
    </r>
    <r>
      <rPr>
        <b/>
        <sz val="11"/>
        <color theme="1"/>
        <rFont val="Calibri"/>
        <family val="2"/>
        <scheme val="minor"/>
      </rPr>
      <t>FreeLunch</t>
    </r>
    <r>
      <rPr>
        <sz val="11"/>
        <color theme="1"/>
        <rFont val="Calibri"/>
        <family val="2"/>
        <scheme val="minor"/>
      </rPr>
      <t xml:space="preserve"> - Free lunch
</t>
    </r>
    <r>
      <rPr>
        <b/>
        <sz val="11"/>
        <color theme="1"/>
        <rFont val="Calibri"/>
        <family val="2"/>
        <scheme val="minor"/>
      </rPr>
      <t>FreeMilk</t>
    </r>
    <r>
      <rPr>
        <sz val="11"/>
        <color theme="1"/>
        <rFont val="Calibri"/>
        <family val="2"/>
        <scheme val="minor"/>
      </rPr>
      <t xml:space="preserve"> - Free milk
</t>
    </r>
    <r>
      <rPr>
        <b/>
        <sz val="11"/>
        <color theme="1"/>
        <rFont val="Calibri"/>
        <family val="2"/>
        <scheme val="minor"/>
      </rPr>
      <t>FreeSnack</t>
    </r>
    <r>
      <rPr>
        <sz val="11"/>
        <color theme="1"/>
        <rFont val="Calibri"/>
        <family val="2"/>
        <scheme val="minor"/>
      </rPr>
      <t xml:space="preserve"> - Free snack
</t>
    </r>
    <r>
      <rPr>
        <b/>
        <sz val="11"/>
        <color theme="1"/>
        <rFont val="Calibri"/>
        <family val="2"/>
        <scheme val="minor"/>
      </rPr>
      <t>FreeSupper</t>
    </r>
    <r>
      <rPr>
        <sz val="11"/>
        <color theme="1"/>
        <rFont val="Calibri"/>
        <family val="2"/>
        <scheme val="minor"/>
      </rPr>
      <t xml:space="preserve"> - Free supper
</t>
    </r>
    <r>
      <rPr>
        <b/>
        <sz val="11"/>
        <color theme="1"/>
        <rFont val="Calibri"/>
        <family val="2"/>
        <scheme val="minor"/>
      </rPr>
      <t>FullPriceBreakfast</t>
    </r>
    <r>
      <rPr>
        <sz val="11"/>
        <color theme="1"/>
        <rFont val="Calibri"/>
        <family val="2"/>
        <scheme val="minor"/>
      </rPr>
      <t xml:space="preserve"> - Full price breakfast
</t>
    </r>
    <r>
      <rPr>
        <b/>
        <sz val="11"/>
        <color theme="1"/>
        <rFont val="Calibri"/>
        <family val="2"/>
        <scheme val="minor"/>
      </rPr>
      <t>FullPriceLunch</t>
    </r>
    <r>
      <rPr>
        <sz val="11"/>
        <color theme="1"/>
        <rFont val="Calibri"/>
        <family val="2"/>
        <scheme val="minor"/>
      </rPr>
      <t xml:space="preserve"> - Full price lunch
</t>
    </r>
    <r>
      <rPr>
        <b/>
        <sz val="11"/>
        <color theme="1"/>
        <rFont val="Calibri"/>
        <family val="2"/>
        <scheme val="minor"/>
      </rPr>
      <t>FullPriceMilk</t>
    </r>
    <r>
      <rPr>
        <sz val="11"/>
        <color theme="1"/>
        <rFont val="Calibri"/>
        <family val="2"/>
        <scheme val="minor"/>
      </rPr>
      <t xml:space="preserve"> - Full price milk
</t>
    </r>
    <r>
      <rPr>
        <b/>
        <sz val="11"/>
        <color theme="1"/>
        <rFont val="Calibri"/>
        <family val="2"/>
        <scheme val="minor"/>
      </rPr>
      <t>FullPriceSnack</t>
    </r>
    <r>
      <rPr>
        <sz val="11"/>
        <color theme="1"/>
        <rFont val="Calibri"/>
        <family val="2"/>
        <scheme val="minor"/>
      </rPr>
      <t xml:space="preserve"> - Full price snack
</t>
    </r>
    <r>
      <rPr>
        <b/>
        <sz val="11"/>
        <color theme="1"/>
        <rFont val="Calibri"/>
        <family val="2"/>
        <scheme val="minor"/>
      </rPr>
      <t>FullPriceSupper</t>
    </r>
    <r>
      <rPr>
        <sz val="11"/>
        <color theme="1"/>
        <rFont val="Calibri"/>
        <family val="2"/>
        <scheme val="minor"/>
      </rPr>
      <t xml:space="preserve"> - Full price supper
</t>
    </r>
    <r>
      <rPr>
        <b/>
        <sz val="11"/>
        <color theme="1"/>
        <rFont val="Calibri"/>
        <family val="2"/>
        <scheme val="minor"/>
      </rPr>
      <t>ReducedPriceBreakfast</t>
    </r>
    <r>
      <rPr>
        <sz val="11"/>
        <color theme="1"/>
        <rFont val="Calibri"/>
        <family val="2"/>
        <scheme val="minor"/>
      </rPr>
      <t xml:space="preserve"> - Reduced price breakfast
</t>
    </r>
    <r>
      <rPr>
        <b/>
        <sz val="11"/>
        <color theme="1"/>
        <rFont val="Calibri"/>
        <family val="2"/>
        <scheme val="minor"/>
      </rPr>
      <t>ReducedPriceLunch</t>
    </r>
    <r>
      <rPr>
        <sz val="11"/>
        <color theme="1"/>
        <rFont val="Calibri"/>
        <family val="2"/>
        <scheme val="minor"/>
      </rPr>
      <t xml:space="preserve"> - Reduced price lunch
</t>
    </r>
    <r>
      <rPr>
        <b/>
        <sz val="11"/>
        <color theme="1"/>
        <rFont val="Calibri"/>
        <family val="2"/>
        <scheme val="minor"/>
      </rPr>
      <t>ReducedPriceSnack</t>
    </r>
    <r>
      <rPr>
        <sz val="11"/>
        <color theme="1"/>
        <rFont val="Calibri"/>
        <family val="2"/>
        <scheme val="minor"/>
      </rPr>
      <t xml:space="preserve"> - Reduced price snack
</t>
    </r>
    <r>
      <rPr>
        <b/>
        <sz val="11"/>
        <color theme="1"/>
        <rFont val="Calibri"/>
        <family val="2"/>
        <scheme val="minor"/>
      </rPr>
      <t>ReducedPriceSupper</t>
    </r>
    <r>
      <rPr>
        <sz val="11"/>
        <color theme="1"/>
        <rFont val="Calibri"/>
        <family val="2"/>
        <scheme val="minor"/>
      </rPr>
      <t xml:space="preserve"> - Reduced price supper
</t>
    </r>
    <r>
      <rPr>
        <b/>
        <sz val="11"/>
        <color theme="1"/>
        <rFont val="Calibri"/>
        <family val="2"/>
        <scheme val="minor"/>
      </rPr>
      <t>Other</t>
    </r>
    <r>
      <rPr>
        <sz val="11"/>
        <color theme="1"/>
        <rFont val="Calibri"/>
        <family val="2"/>
        <scheme val="minor"/>
      </rPr>
      <t xml:space="preserve"> - Other
</t>
    </r>
  </si>
  <si>
    <r>
      <t>Met</t>
    </r>
    <r>
      <rPr>
        <sz val="11"/>
        <color theme="1"/>
        <rFont val="Calibri"/>
        <family val="2"/>
        <scheme val="minor"/>
      </rPr>
      <t xml:space="preserve"> - Met 95%
</t>
    </r>
    <r>
      <rPr>
        <b/>
        <sz val="11"/>
        <color theme="1"/>
        <rFont val="Calibri"/>
        <family val="2"/>
        <scheme val="minor"/>
      </rPr>
      <t>DidNotMeet</t>
    </r>
    <r>
      <rPr>
        <sz val="11"/>
        <color theme="1"/>
        <rFont val="Calibri"/>
        <family val="2"/>
        <scheme val="minor"/>
      </rPr>
      <t xml:space="preserve"> - Did not Meet 95%
</t>
    </r>
    <r>
      <rPr>
        <b/>
        <sz val="11"/>
        <color theme="1"/>
        <rFont val="Calibri"/>
        <family val="2"/>
        <scheme val="minor"/>
      </rPr>
      <t>TooFewStudents</t>
    </r>
    <r>
      <rPr>
        <sz val="11"/>
        <color theme="1"/>
        <rFont val="Calibri"/>
        <family val="2"/>
        <scheme val="minor"/>
      </rPr>
      <t xml:space="preserve"> - Too Few Students for Reliability
</t>
    </r>
    <r>
      <rPr>
        <b/>
        <sz val="11"/>
        <color theme="1"/>
        <rFont val="Calibri"/>
        <family val="2"/>
        <scheme val="minor"/>
      </rPr>
      <t>NoStudents</t>
    </r>
    <r>
      <rPr>
        <sz val="11"/>
        <color theme="1"/>
        <rFont val="Calibri"/>
        <family val="2"/>
        <scheme val="minor"/>
      </rPr>
      <t xml:space="preserve"> - No Students in the subgroup
</t>
    </r>
    <r>
      <rPr>
        <b/>
        <sz val="11"/>
        <color theme="1"/>
        <rFont val="Calibri"/>
        <family val="2"/>
        <scheme val="minor"/>
      </rPr>
      <t>NA</t>
    </r>
    <r>
      <rPr>
        <sz val="11"/>
        <color theme="1"/>
        <rFont val="Calibri"/>
        <family val="2"/>
        <scheme val="minor"/>
      </rPr>
      <t xml:space="preserve"> - Not applicable
</t>
    </r>
  </si>
  <si>
    <r>
      <t>Aunt</t>
    </r>
    <r>
      <rPr>
        <sz val="11"/>
        <color theme="1"/>
        <rFont val="Calibri"/>
        <family val="2"/>
        <scheme val="minor"/>
      </rPr>
      <t xml:space="preserve"> - Aunt
</t>
    </r>
    <r>
      <rPr>
        <b/>
        <sz val="11"/>
        <color theme="1"/>
        <rFont val="Calibri"/>
        <family val="2"/>
        <scheme val="minor"/>
      </rPr>
      <t>Brother</t>
    </r>
    <r>
      <rPr>
        <sz val="11"/>
        <color theme="1"/>
        <rFont val="Calibri"/>
        <family val="2"/>
        <scheme val="minor"/>
      </rPr>
      <t xml:space="preserve"> - Brother
</t>
    </r>
    <r>
      <rPr>
        <b/>
        <sz val="11"/>
        <color theme="1"/>
        <rFont val="Calibri"/>
        <family val="2"/>
        <scheme val="minor"/>
      </rPr>
      <t>BrotherInLaw</t>
    </r>
    <r>
      <rPr>
        <sz val="11"/>
        <color theme="1"/>
        <rFont val="Calibri"/>
        <family val="2"/>
        <scheme val="minor"/>
      </rPr>
      <t xml:space="preserve"> - Brother-in-law
</t>
    </r>
    <r>
      <rPr>
        <b/>
        <sz val="11"/>
        <color theme="1"/>
        <rFont val="Calibri"/>
        <family val="2"/>
        <scheme val="minor"/>
      </rPr>
      <t>CourtAppointedGuardian</t>
    </r>
    <r>
      <rPr>
        <sz val="11"/>
        <color theme="1"/>
        <rFont val="Calibri"/>
        <family val="2"/>
        <scheme val="minor"/>
      </rPr>
      <t xml:space="preserve"> - Court appointed guardian
</t>
    </r>
    <r>
      <rPr>
        <b/>
        <sz val="11"/>
        <color theme="1"/>
        <rFont val="Calibri"/>
        <family val="2"/>
        <scheme val="minor"/>
      </rPr>
      <t>Daughter</t>
    </r>
    <r>
      <rPr>
        <sz val="11"/>
        <color theme="1"/>
        <rFont val="Calibri"/>
        <family val="2"/>
        <scheme val="minor"/>
      </rPr>
      <t xml:space="preserve"> - Daughter
</t>
    </r>
    <r>
      <rPr>
        <b/>
        <sz val="11"/>
        <color theme="1"/>
        <rFont val="Calibri"/>
        <family val="2"/>
        <scheme val="minor"/>
      </rPr>
      <t>DaughterInLaw</t>
    </r>
    <r>
      <rPr>
        <sz val="11"/>
        <color theme="1"/>
        <rFont val="Calibri"/>
        <family val="2"/>
        <scheme val="minor"/>
      </rPr>
      <t xml:space="preserve"> - Daughter-in-law
</t>
    </r>
    <r>
      <rPr>
        <b/>
        <sz val="11"/>
        <color theme="1"/>
        <rFont val="Calibri"/>
        <family val="2"/>
        <scheme val="minor"/>
      </rPr>
      <t>Employer</t>
    </r>
    <r>
      <rPr>
        <sz val="11"/>
        <color theme="1"/>
        <rFont val="Calibri"/>
        <family val="2"/>
        <scheme val="minor"/>
      </rPr>
      <t xml:space="preserve"> - Employer
</t>
    </r>
    <r>
      <rPr>
        <b/>
        <sz val="11"/>
        <color theme="1"/>
        <rFont val="Calibri"/>
        <family val="2"/>
        <scheme val="minor"/>
      </rPr>
      <t>Father</t>
    </r>
    <r>
      <rPr>
        <sz val="11"/>
        <color theme="1"/>
        <rFont val="Calibri"/>
        <family val="2"/>
        <scheme val="minor"/>
      </rPr>
      <t xml:space="preserve"> - Father
</t>
    </r>
    <r>
      <rPr>
        <b/>
        <sz val="11"/>
        <color theme="1"/>
        <rFont val="Calibri"/>
        <family val="2"/>
        <scheme val="minor"/>
      </rPr>
      <t>FathersSignificantOther</t>
    </r>
    <r>
      <rPr>
        <sz val="11"/>
        <color theme="1"/>
        <rFont val="Calibri"/>
        <family val="2"/>
        <scheme val="minor"/>
      </rPr>
      <t xml:space="preserve"> - Father's significant other
</t>
    </r>
    <r>
      <rPr>
        <b/>
        <sz val="11"/>
        <color theme="1"/>
        <rFont val="Calibri"/>
        <family val="2"/>
        <scheme val="minor"/>
      </rPr>
      <t>FathersCivilPartner</t>
    </r>
    <r>
      <rPr>
        <sz val="11"/>
        <color theme="1"/>
        <rFont val="Calibri"/>
        <family val="2"/>
        <scheme val="minor"/>
      </rPr>
      <t xml:space="preserve"> - Father's civil partner
</t>
    </r>
    <r>
      <rPr>
        <b/>
        <sz val="11"/>
        <color theme="1"/>
        <rFont val="Calibri"/>
        <family val="2"/>
        <scheme val="minor"/>
      </rPr>
      <t>FatherInLaw</t>
    </r>
    <r>
      <rPr>
        <sz val="11"/>
        <color theme="1"/>
        <rFont val="Calibri"/>
        <family val="2"/>
        <scheme val="minor"/>
      </rPr>
      <t xml:space="preserve"> - Father-in-law
</t>
    </r>
    <r>
      <rPr>
        <b/>
        <sz val="11"/>
        <color theme="1"/>
        <rFont val="Calibri"/>
        <family val="2"/>
        <scheme val="minor"/>
      </rPr>
      <t>Fiance</t>
    </r>
    <r>
      <rPr>
        <sz val="11"/>
        <color theme="1"/>
        <rFont val="Calibri"/>
        <family val="2"/>
        <scheme val="minor"/>
      </rPr>
      <t xml:space="preserve"> - Fiance
</t>
    </r>
    <r>
      <rPr>
        <b/>
        <sz val="11"/>
        <color theme="1"/>
        <rFont val="Calibri"/>
        <family val="2"/>
        <scheme val="minor"/>
      </rPr>
      <t>Fiancee</t>
    </r>
    <r>
      <rPr>
        <sz val="11"/>
        <color theme="1"/>
        <rFont val="Calibri"/>
        <family val="2"/>
        <scheme val="minor"/>
      </rPr>
      <t xml:space="preserve"> - Fiancee
</t>
    </r>
    <r>
      <rPr>
        <b/>
        <sz val="11"/>
        <color theme="1"/>
        <rFont val="Calibri"/>
        <family val="2"/>
        <scheme val="minor"/>
      </rPr>
      <t>Friend</t>
    </r>
    <r>
      <rPr>
        <sz val="11"/>
        <color theme="1"/>
        <rFont val="Calibri"/>
        <family val="2"/>
        <scheme val="minor"/>
      </rPr>
      <t xml:space="preserve"> - Friend
</t>
    </r>
    <r>
      <rPr>
        <b/>
        <sz val="11"/>
        <color theme="1"/>
        <rFont val="Calibri"/>
        <family val="2"/>
        <scheme val="minor"/>
      </rPr>
      <t>Grandfather</t>
    </r>
    <r>
      <rPr>
        <sz val="11"/>
        <color theme="1"/>
        <rFont val="Calibri"/>
        <family val="2"/>
        <scheme val="minor"/>
      </rPr>
      <t xml:space="preserve"> - Grandfather
</t>
    </r>
    <r>
      <rPr>
        <b/>
        <sz val="11"/>
        <color theme="1"/>
        <rFont val="Calibri"/>
        <family val="2"/>
        <scheme val="minor"/>
      </rPr>
      <t>Grandmother</t>
    </r>
    <r>
      <rPr>
        <sz val="11"/>
        <color theme="1"/>
        <rFont val="Calibri"/>
        <family val="2"/>
        <scheme val="minor"/>
      </rPr>
      <t xml:space="preserve"> - Grandmother
</t>
    </r>
    <r>
      <rPr>
        <b/>
        <sz val="11"/>
        <color theme="1"/>
        <rFont val="Calibri"/>
        <family val="2"/>
        <scheme val="minor"/>
      </rPr>
      <t>Husband</t>
    </r>
    <r>
      <rPr>
        <sz val="11"/>
        <color theme="1"/>
        <rFont val="Calibri"/>
        <family val="2"/>
        <scheme val="minor"/>
      </rPr>
      <t xml:space="preserve"> - Husband
</t>
    </r>
    <r>
      <rPr>
        <b/>
        <sz val="11"/>
        <color theme="1"/>
        <rFont val="Calibri"/>
        <family val="2"/>
        <scheme val="minor"/>
      </rPr>
      <t>MothersSignificantOther</t>
    </r>
    <r>
      <rPr>
        <sz val="11"/>
        <color theme="1"/>
        <rFont val="Calibri"/>
        <family val="2"/>
        <scheme val="minor"/>
      </rPr>
      <t xml:space="preserve"> - Mother's significant other
</t>
    </r>
    <r>
      <rPr>
        <b/>
        <sz val="11"/>
        <color theme="1"/>
        <rFont val="Calibri"/>
        <family val="2"/>
        <scheme val="minor"/>
      </rPr>
      <t>Mother</t>
    </r>
    <r>
      <rPr>
        <sz val="11"/>
        <color theme="1"/>
        <rFont val="Calibri"/>
        <family val="2"/>
        <scheme val="minor"/>
      </rPr>
      <t xml:space="preserve"> - Mother
</t>
    </r>
    <r>
      <rPr>
        <b/>
        <sz val="11"/>
        <color theme="1"/>
        <rFont val="Calibri"/>
        <family val="2"/>
        <scheme val="minor"/>
      </rPr>
      <t>MothersCivilPartner</t>
    </r>
    <r>
      <rPr>
        <sz val="11"/>
        <color theme="1"/>
        <rFont val="Calibri"/>
        <family val="2"/>
        <scheme val="minor"/>
      </rPr>
      <t xml:space="preserve"> - Mother's civil partner
</t>
    </r>
    <r>
      <rPr>
        <b/>
        <sz val="11"/>
        <color theme="1"/>
        <rFont val="Calibri"/>
        <family val="2"/>
        <scheme val="minor"/>
      </rPr>
      <t>Nephew</t>
    </r>
    <r>
      <rPr>
        <sz val="11"/>
        <color theme="1"/>
        <rFont val="Calibri"/>
        <family val="2"/>
        <scheme val="minor"/>
      </rPr>
      <t xml:space="preserve"> - Nephew
</t>
    </r>
    <r>
      <rPr>
        <b/>
        <sz val="11"/>
        <color theme="1"/>
        <rFont val="Calibri"/>
        <family val="2"/>
        <scheme val="minor"/>
      </rPr>
      <t>Niece</t>
    </r>
    <r>
      <rPr>
        <sz val="11"/>
        <color theme="1"/>
        <rFont val="Calibri"/>
        <family val="2"/>
        <scheme val="minor"/>
      </rPr>
      <t xml:space="preserve"> - Niece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SignificantOther</t>
    </r>
    <r>
      <rPr>
        <sz val="11"/>
        <color theme="1"/>
        <rFont val="Calibri"/>
        <family val="2"/>
        <scheme val="minor"/>
      </rPr>
      <t xml:space="preserve"> - Significant other
</t>
    </r>
    <r>
      <rPr>
        <b/>
        <sz val="11"/>
        <color theme="1"/>
        <rFont val="Calibri"/>
        <family val="2"/>
        <scheme val="minor"/>
      </rPr>
      <t>Sister</t>
    </r>
    <r>
      <rPr>
        <sz val="11"/>
        <color theme="1"/>
        <rFont val="Calibri"/>
        <family val="2"/>
        <scheme val="minor"/>
      </rPr>
      <t xml:space="preserve"> - Sister
</t>
    </r>
    <r>
      <rPr>
        <b/>
        <sz val="11"/>
        <color theme="1"/>
        <rFont val="Calibri"/>
        <family val="2"/>
        <scheme val="minor"/>
      </rPr>
      <t>Son</t>
    </r>
    <r>
      <rPr>
        <sz val="11"/>
        <color theme="1"/>
        <rFont val="Calibri"/>
        <family val="2"/>
        <scheme val="minor"/>
      </rPr>
      <t xml:space="preserve"> - Son
</t>
    </r>
    <r>
      <rPr>
        <b/>
        <sz val="11"/>
        <color theme="1"/>
        <rFont val="Calibri"/>
        <family val="2"/>
        <scheme val="minor"/>
      </rPr>
      <t>Unknown</t>
    </r>
    <r>
      <rPr>
        <sz val="11"/>
        <color theme="1"/>
        <rFont val="Calibri"/>
        <family val="2"/>
        <scheme val="minor"/>
      </rPr>
      <t xml:space="preserve"> - Unknown
</t>
    </r>
    <r>
      <rPr>
        <b/>
        <sz val="11"/>
        <color theme="1"/>
        <rFont val="Calibri"/>
        <family val="2"/>
        <scheme val="minor"/>
      </rPr>
      <t>Uncle</t>
    </r>
    <r>
      <rPr>
        <sz val="11"/>
        <color theme="1"/>
        <rFont val="Calibri"/>
        <family val="2"/>
        <scheme val="minor"/>
      </rPr>
      <t xml:space="preserve"> - Uncle
</t>
    </r>
    <r>
      <rPr>
        <b/>
        <sz val="11"/>
        <color theme="1"/>
        <rFont val="Calibri"/>
        <family val="2"/>
        <scheme val="minor"/>
      </rPr>
      <t>Ward</t>
    </r>
    <r>
      <rPr>
        <sz val="11"/>
        <color theme="1"/>
        <rFont val="Calibri"/>
        <family val="2"/>
        <scheme val="minor"/>
      </rPr>
      <t xml:space="preserve"> - Ward
</t>
    </r>
    <r>
      <rPr>
        <b/>
        <sz val="11"/>
        <color theme="1"/>
        <rFont val="Calibri"/>
        <family val="2"/>
        <scheme val="minor"/>
      </rPr>
      <t>Wife</t>
    </r>
    <r>
      <rPr>
        <sz val="11"/>
        <color theme="1"/>
        <rFont val="Calibri"/>
        <family val="2"/>
        <scheme val="minor"/>
      </rPr>
      <t xml:space="preserve"> - Wife
</t>
    </r>
  </si>
  <si>
    <r>
      <t>01003</t>
    </r>
    <r>
      <rPr>
        <sz val="11"/>
        <color theme="1"/>
        <rFont val="Calibri"/>
        <family val="2"/>
        <scheme val="minor"/>
      </rPr>
      <t xml:space="preserve"> - Baptismal or church certificate
</t>
    </r>
    <r>
      <rPr>
        <b/>
        <sz val="11"/>
        <color theme="1"/>
        <rFont val="Calibri"/>
        <family val="2"/>
        <scheme val="minor"/>
      </rPr>
      <t>01004</t>
    </r>
    <r>
      <rPr>
        <sz val="11"/>
        <color theme="1"/>
        <rFont val="Calibri"/>
        <family val="2"/>
        <scheme val="minor"/>
      </rPr>
      <t xml:space="preserve"> - Birth certificate
</t>
    </r>
    <r>
      <rPr>
        <b/>
        <sz val="11"/>
        <color theme="1"/>
        <rFont val="Calibri"/>
        <family val="2"/>
        <scheme val="minor"/>
      </rPr>
      <t>01012</t>
    </r>
    <r>
      <rPr>
        <sz val="11"/>
        <color theme="1"/>
        <rFont val="Calibri"/>
        <family val="2"/>
        <scheme val="minor"/>
      </rPr>
      <t xml:space="preserve"> - Driver's license
</t>
    </r>
    <r>
      <rPr>
        <b/>
        <sz val="11"/>
        <color theme="1"/>
        <rFont val="Calibri"/>
        <family val="2"/>
        <scheme val="minor"/>
      </rPr>
      <t>01005</t>
    </r>
    <r>
      <rPr>
        <sz val="11"/>
        <color theme="1"/>
        <rFont val="Calibri"/>
        <family val="2"/>
        <scheme val="minor"/>
      </rPr>
      <t xml:space="preserve"> - Entry in family Bible
</t>
    </r>
    <r>
      <rPr>
        <b/>
        <sz val="11"/>
        <color theme="1"/>
        <rFont val="Calibri"/>
        <family val="2"/>
        <scheme val="minor"/>
      </rPr>
      <t>01006</t>
    </r>
    <r>
      <rPr>
        <sz val="11"/>
        <color theme="1"/>
        <rFont val="Calibri"/>
        <family val="2"/>
        <scheme val="minor"/>
      </rPr>
      <t xml:space="preserve"> - Hospital certificate
</t>
    </r>
    <r>
      <rPr>
        <b/>
        <sz val="11"/>
        <color theme="1"/>
        <rFont val="Calibri"/>
        <family val="2"/>
        <scheme val="minor"/>
      </rPr>
      <t>01013</t>
    </r>
    <r>
      <rPr>
        <sz val="11"/>
        <color theme="1"/>
        <rFont val="Calibri"/>
        <family val="2"/>
        <scheme val="minor"/>
      </rPr>
      <t xml:space="preserve"> - Immigration document/visa
</t>
    </r>
    <r>
      <rPr>
        <b/>
        <sz val="11"/>
        <color theme="1"/>
        <rFont val="Calibri"/>
        <family val="2"/>
        <scheme val="minor"/>
      </rPr>
      <t>02382</t>
    </r>
    <r>
      <rPr>
        <sz val="11"/>
        <color theme="1"/>
        <rFont val="Calibri"/>
        <family val="2"/>
        <scheme val="minor"/>
      </rPr>
      <t xml:space="preserve"> - Life insurance policy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03424</t>
    </r>
    <r>
      <rPr>
        <sz val="11"/>
        <color theme="1"/>
        <rFont val="Calibri"/>
        <family val="2"/>
        <scheme val="minor"/>
      </rPr>
      <t xml:space="preserve"> - Other non-official document
</t>
    </r>
    <r>
      <rPr>
        <b/>
        <sz val="11"/>
        <color theme="1"/>
        <rFont val="Calibri"/>
        <family val="2"/>
        <scheme val="minor"/>
      </rPr>
      <t>03423</t>
    </r>
    <r>
      <rPr>
        <sz val="11"/>
        <color theme="1"/>
        <rFont val="Calibri"/>
        <family val="2"/>
        <scheme val="minor"/>
      </rPr>
      <t xml:space="preserve"> - Other official document
</t>
    </r>
    <r>
      <rPr>
        <b/>
        <sz val="11"/>
        <color theme="1"/>
        <rFont val="Calibri"/>
        <family val="2"/>
        <scheme val="minor"/>
      </rPr>
      <t>01007</t>
    </r>
    <r>
      <rPr>
        <sz val="11"/>
        <color theme="1"/>
        <rFont val="Calibri"/>
        <family val="2"/>
        <scheme val="minor"/>
      </rPr>
      <t xml:space="preserve"> - Parent's affidavit
</t>
    </r>
    <r>
      <rPr>
        <b/>
        <sz val="11"/>
        <color theme="1"/>
        <rFont val="Calibri"/>
        <family val="2"/>
        <scheme val="minor"/>
      </rPr>
      <t>01008</t>
    </r>
    <r>
      <rPr>
        <sz val="11"/>
        <color theme="1"/>
        <rFont val="Calibri"/>
        <family val="2"/>
        <scheme val="minor"/>
      </rPr>
      <t xml:space="preserve"> - Passport
</t>
    </r>
    <r>
      <rPr>
        <b/>
        <sz val="11"/>
        <color theme="1"/>
        <rFont val="Calibri"/>
        <family val="2"/>
        <scheme val="minor"/>
      </rPr>
      <t>01009</t>
    </r>
    <r>
      <rPr>
        <sz val="11"/>
        <color theme="1"/>
        <rFont val="Calibri"/>
        <family val="2"/>
        <scheme val="minor"/>
      </rPr>
      <t xml:space="preserve"> - Physician's certificate
</t>
    </r>
    <r>
      <rPr>
        <b/>
        <sz val="11"/>
        <color theme="1"/>
        <rFont val="Calibri"/>
        <family val="2"/>
        <scheme val="minor"/>
      </rPr>
      <t>01010</t>
    </r>
    <r>
      <rPr>
        <sz val="11"/>
        <color theme="1"/>
        <rFont val="Calibri"/>
        <family val="2"/>
        <scheme val="minor"/>
      </rPr>
      <t xml:space="preserve"> - Previously verified school records
</t>
    </r>
    <r>
      <rPr>
        <b/>
        <sz val="11"/>
        <color theme="1"/>
        <rFont val="Calibri"/>
        <family val="2"/>
        <scheme val="minor"/>
      </rPr>
      <t>01011</t>
    </r>
    <r>
      <rPr>
        <sz val="11"/>
        <color theme="1"/>
        <rFont val="Calibri"/>
        <family val="2"/>
        <scheme val="minor"/>
      </rPr>
      <t xml:space="preserve"> - State-issued ID
</t>
    </r>
  </si>
  <si>
    <r>
      <t>01</t>
    </r>
    <r>
      <rPr>
        <sz val="11"/>
        <color theme="1"/>
        <rFont val="Calibri"/>
        <family val="2"/>
        <scheme val="minor"/>
      </rPr>
      <t xml:space="preserve"> - Staff feedback
</t>
    </r>
    <r>
      <rPr>
        <b/>
        <sz val="11"/>
        <color theme="1"/>
        <rFont val="Calibri"/>
        <family val="2"/>
        <scheme val="minor"/>
      </rPr>
      <t>02</t>
    </r>
    <r>
      <rPr>
        <sz val="11"/>
        <color theme="1"/>
        <rFont val="Calibri"/>
        <family val="2"/>
        <scheme val="minor"/>
      </rPr>
      <t xml:space="preserve"> - Staff meetings
</t>
    </r>
    <r>
      <rPr>
        <b/>
        <sz val="11"/>
        <color theme="1"/>
        <rFont val="Calibri"/>
        <family val="2"/>
        <scheme val="minor"/>
      </rPr>
      <t>03</t>
    </r>
    <r>
      <rPr>
        <sz val="11"/>
        <color theme="1"/>
        <rFont val="Calibri"/>
        <family val="2"/>
        <scheme val="minor"/>
      </rPr>
      <t xml:space="preserve"> - Annual performance evaluation
</t>
    </r>
    <r>
      <rPr>
        <b/>
        <sz val="11"/>
        <color theme="1"/>
        <rFont val="Calibri"/>
        <family val="2"/>
        <scheme val="minor"/>
      </rPr>
      <t>04</t>
    </r>
    <r>
      <rPr>
        <sz val="11"/>
        <color theme="1"/>
        <rFont val="Calibri"/>
        <family val="2"/>
        <scheme val="minor"/>
      </rPr>
      <t xml:space="preserve"> - Personal development plans
</t>
    </r>
    <r>
      <rPr>
        <b/>
        <sz val="11"/>
        <color theme="1"/>
        <rFont val="Calibri"/>
        <family val="2"/>
        <scheme val="minor"/>
      </rPr>
      <t>05</t>
    </r>
    <r>
      <rPr>
        <sz val="11"/>
        <color theme="1"/>
        <rFont val="Calibri"/>
        <family val="2"/>
        <scheme val="minor"/>
      </rPr>
      <t xml:space="preserve"> - New staff orientation
</t>
    </r>
  </si>
  <si>
    <r>
      <t>FirstTime</t>
    </r>
    <r>
      <rPr>
        <sz val="11"/>
        <color theme="1"/>
        <rFont val="Calibri"/>
        <family val="2"/>
        <scheme val="minor"/>
      </rPr>
      <t xml:space="preserve"> - First time at institution, non-transfer in
</t>
    </r>
    <r>
      <rPr>
        <b/>
        <sz val="11"/>
        <color theme="1"/>
        <rFont val="Calibri"/>
        <family val="2"/>
        <scheme val="minor"/>
      </rPr>
      <t>Continuing</t>
    </r>
    <r>
      <rPr>
        <sz val="11"/>
        <color theme="1"/>
        <rFont val="Calibri"/>
        <family val="2"/>
        <scheme val="minor"/>
      </rPr>
      <t xml:space="preserve"> - Continuing
</t>
    </r>
    <r>
      <rPr>
        <b/>
        <sz val="11"/>
        <color theme="1"/>
        <rFont val="Calibri"/>
        <family val="2"/>
        <scheme val="minor"/>
      </rPr>
      <t>Re-admit</t>
    </r>
    <r>
      <rPr>
        <sz val="11"/>
        <color theme="1"/>
        <rFont val="Calibri"/>
        <family val="2"/>
        <scheme val="minor"/>
      </rPr>
      <t xml:space="preserve"> - Re-admit
</t>
    </r>
    <r>
      <rPr>
        <b/>
        <sz val="11"/>
        <color theme="1"/>
        <rFont val="Calibri"/>
        <family val="2"/>
        <scheme val="minor"/>
      </rPr>
      <t>TransferIn</t>
    </r>
    <r>
      <rPr>
        <sz val="11"/>
        <color theme="1"/>
        <rFont val="Calibri"/>
        <family val="2"/>
        <scheme val="minor"/>
      </rPr>
      <t xml:space="preserve"> - Transfer in
</t>
    </r>
  </si>
  <si>
    <r>
      <t>PreAndPostTest</t>
    </r>
    <r>
      <rPr>
        <sz val="11"/>
        <color theme="1"/>
        <rFont val="Calibri"/>
        <family val="2"/>
        <scheme val="minor"/>
      </rPr>
      <t xml:space="preserve"> - The student took both a pre-test and post-test
</t>
    </r>
    <r>
      <rPr>
        <b/>
        <sz val="11"/>
        <color theme="1"/>
        <rFont val="Calibri"/>
        <family val="2"/>
        <scheme val="minor"/>
      </rPr>
      <t>DidNotTakeBoth</t>
    </r>
    <r>
      <rPr>
        <sz val="11"/>
        <color theme="1"/>
        <rFont val="Calibri"/>
        <family val="2"/>
        <scheme val="minor"/>
      </rPr>
      <t xml:space="preserve"> - The student did not take both a pre-test and a post-test
</t>
    </r>
  </si>
  <si>
    <r>
      <t>Semester</t>
    </r>
    <r>
      <rPr>
        <sz val="11"/>
        <color theme="1"/>
        <rFont val="Calibri"/>
        <family val="2"/>
        <scheme val="minor"/>
      </rPr>
      <t xml:space="preserve"> - Semester 
</t>
    </r>
    <r>
      <rPr>
        <b/>
        <sz val="11"/>
        <color theme="1"/>
        <rFont val="Calibri"/>
        <family val="2"/>
        <scheme val="minor"/>
      </rPr>
      <t>Quarter</t>
    </r>
    <r>
      <rPr>
        <sz val="11"/>
        <color theme="1"/>
        <rFont val="Calibri"/>
        <family val="2"/>
        <scheme val="minor"/>
      </rPr>
      <t xml:space="preserve"> - Quarter 
</t>
    </r>
    <r>
      <rPr>
        <b/>
        <sz val="11"/>
        <color theme="1"/>
        <rFont val="Calibri"/>
        <family val="2"/>
        <scheme val="minor"/>
      </rPr>
      <t>Trimester</t>
    </r>
    <r>
      <rPr>
        <sz val="11"/>
        <color theme="1"/>
        <rFont val="Calibri"/>
        <family val="2"/>
        <scheme val="minor"/>
      </rPr>
      <t xml:space="preserve"> - Trimester
</t>
    </r>
    <r>
      <rPr>
        <b/>
        <sz val="11"/>
        <color theme="1"/>
        <rFont val="Calibri"/>
        <family val="2"/>
        <scheme val="minor"/>
      </rPr>
      <t>4-1-4</t>
    </r>
    <r>
      <rPr>
        <sz val="11"/>
        <color theme="1"/>
        <rFont val="Calibri"/>
        <family val="2"/>
        <scheme val="minor"/>
      </rPr>
      <t xml:space="preserve"> - 4-1-4 or similar plan
</t>
    </r>
    <r>
      <rPr>
        <b/>
        <sz val="11"/>
        <color theme="1"/>
        <rFont val="Calibri"/>
        <family val="2"/>
        <scheme val="minor"/>
      </rPr>
      <t>Other</t>
    </r>
    <r>
      <rPr>
        <sz val="11"/>
        <color theme="1"/>
        <rFont val="Calibri"/>
        <family val="2"/>
        <scheme val="minor"/>
      </rPr>
      <t xml:space="preserve"> - Other academic plan
</t>
    </r>
    <r>
      <rPr>
        <b/>
        <sz val="11"/>
        <color theme="1"/>
        <rFont val="Calibri"/>
        <family val="2"/>
        <scheme val="minor"/>
      </rPr>
      <t>DiffersByProgram</t>
    </r>
    <r>
      <rPr>
        <sz val="11"/>
        <color theme="1"/>
        <rFont val="Calibri"/>
        <family val="2"/>
        <scheme val="minor"/>
      </rPr>
      <t xml:space="preserve"> - Differs by program
</t>
    </r>
    <r>
      <rPr>
        <b/>
        <sz val="11"/>
        <color theme="1"/>
        <rFont val="Calibri"/>
        <family val="2"/>
        <scheme val="minor"/>
      </rPr>
      <t>ContinuousBasis</t>
    </r>
    <r>
      <rPr>
        <sz val="11"/>
        <color theme="1"/>
        <rFont val="Calibri"/>
        <family val="2"/>
        <scheme val="minor"/>
      </rPr>
      <t xml:space="preserve"> - Continuous basis
</t>
    </r>
  </si>
  <si>
    <r>
      <t>All</t>
    </r>
    <r>
      <rPr>
        <sz val="11"/>
        <color theme="1"/>
        <rFont val="Calibri"/>
        <family val="2"/>
        <scheme val="minor"/>
      </rPr>
      <t xml:space="preserve"> - All students
</t>
    </r>
    <r>
      <rPr>
        <b/>
        <sz val="11"/>
        <color theme="1"/>
        <rFont val="Calibri"/>
        <family val="2"/>
        <scheme val="minor"/>
      </rPr>
      <t>IDEA</t>
    </r>
    <r>
      <rPr>
        <sz val="11"/>
        <color theme="1"/>
        <rFont val="Calibri"/>
        <family val="2"/>
        <scheme val="minor"/>
      </rPr>
      <t xml:space="preserve"> - Students with disabilities (IDEA)
</t>
    </r>
    <r>
      <rPr>
        <b/>
        <sz val="11"/>
        <color theme="1"/>
        <rFont val="Calibri"/>
        <family val="2"/>
        <scheme val="minor"/>
      </rPr>
      <t>TitleI</t>
    </r>
    <r>
      <rPr>
        <sz val="11"/>
        <color theme="1"/>
        <rFont val="Calibri"/>
        <family val="2"/>
        <scheme val="minor"/>
      </rPr>
      <t xml:space="preserve"> - Students in Title I schools
</t>
    </r>
    <r>
      <rPr>
        <b/>
        <sz val="11"/>
        <color theme="1"/>
        <rFont val="Calibri"/>
        <family val="2"/>
        <scheme val="minor"/>
      </rPr>
      <t>LowIncome</t>
    </r>
    <r>
      <rPr>
        <sz val="11"/>
        <color theme="1"/>
        <rFont val="Calibri"/>
        <family val="2"/>
        <scheme val="minor"/>
      </rPr>
      <t xml:space="preserve"> - Students from low income families
</t>
    </r>
    <r>
      <rPr>
        <b/>
        <sz val="11"/>
        <color theme="1"/>
        <rFont val="Calibri"/>
        <family val="2"/>
        <scheme val="minor"/>
      </rPr>
      <t>Other</t>
    </r>
    <r>
      <rPr>
        <sz val="11"/>
        <color theme="1"/>
        <rFont val="Calibri"/>
        <family val="2"/>
        <scheme val="minor"/>
      </rPr>
      <t xml:space="preserve"> - Other
</t>
    </r>
  </si>
  <si>
    <r>
      <t>Age0-2</t>
    </r>
    <r>
      <rPr>
        <sz val="11"/>
        <color theme="1"/>
        <rFont val="Calibri"/>
        <family val="2"/>
        <scheme val="minor"/>
      </rPr>
      <t xml:space="preserve"> - Students aged 0-2
</t>
    </r>
    <r>
      <rPr>
        <b/>
        <sz val="11"/>
        <color theme="1"/>
        <rFont val="Calibri"/>
        <family val="2"/>
        <scheme val="minor"/>
      </rPr>
      <t>Age3</t>
    </r>
    <r>
      <rPr>
        <sz val="11"/>
        <color theme="1"/>
        <rFont val="Calibri"/>
        <family val="2"/>
        <scheme val="minor"/>
      </rPr>
      <t xml:space="preserve"> - Students aged 3
</t>
    </r>
    <r>
      <rPr>
        <b/>
        <sz val="11"/>
        <color theme="1"/>
        <rFont val="Calibri"/>
        <family val="2"/>
        <scheme val="minor"/>
      </rPr>
      <t>Age4</t>
    </r>
    <r>
      <rPr>
        <sz val="11"/>
        <color theme="1"/>
        <rFont val="Calibri"/>
        <family val="2"/>
        <scheme val="minor"/>
      </rPr>
      <t xml:space="preserve"> - Students aged 4
</t>
    </r>
    <r>
      <rPr>
        <b/>
        <sz val="11"/>
        <color theme="1"/>
        <rFont val="Calibri"/>
        <family val="2"/>
        <scheme val="minor"/>
      </rPr>
      <t>NoPreK</t>
    </r>
    <r>
      <rPr>
        <sz val="11"/>
        <color theme="1"/>
        <rFont val="Calibri"/>
        <family val="2"/>
        <scheme val="minor"/>
      </rPr>
      <t xml:space="preserve"> - No pre-kindergarten or only for IDEA students
</t>
    </r>
  </si>
  <si>
    <r>
      <t>13290</t>
    </r>
    <r>
      <rPr>
        <sz val="11"/>
        <color theme="1"/>
        <rFont val="Calibri"/>
        <family val="2"/>
        <scheme val="minor"/>
      </rPr>
      <t xml:space="preserve"> - Present - Disciplinary action, receiving instruction
</t>
    </r>
    <r>
      <rPr>
        <b/>
        <sz val="11"/>
        <color theme="1"/>
        <rFont val="Calibri"/>
        <family val="2"/>
        <scheme val="minor"/>
      </rPr>
      <t>13288</t>
    </r>
    <r>
      <rPr>
        <sz val="11"/>
        <color theme="1"/>
        <rFont val="Calibri"/>
        <family val="2"/>
        <scheme val="minor"/>
      </rPr>
      <t xml:space="preserve"> - Present - In school, regular instructional program
</t>
    </r>
    <r>
      <rPr>
        <b/>
        <sz val="11"/>
        <color theme="1"/>
        <rFont val="Calibri"/>
        <family val="2"/>
        <scheme val="minor"/>
      </rPr>
      <t>13289</t>
    </r>
    <r>
      <rPr>
        <sz val="11"/>
        <color theme="1"/>
        <rFont val="Calibri"/>
        <family val="2"/>
        <scheme val="minor"/>
      </rPr>
      <t xml:space="preserve"> - Present - Nontraditional school setting, regular instructional program
</t>
    </r>
    <r>
      <rPr>
        <b/>
        <sz val="11"/>
        <color theme="1"/>
        <rFont val="Calibri"/>
        <family val="2"/>
        <scheme val="minor"/>
      </rPr>
      <t>13291</t>
    </r>
    <r>
      <rPr>
        <sz val="11"/>
        <color theme="1"/>
        <rFont val="Calibri"/>
        <family val="2"/>
        <scheme val="minor"/>
      </rPr>
      <t xml:space="preserve"> - Present - Out of school, regular instructional program activity
</t>
    </r>
    <r>
      <rPr>
        <b/>
        <sz val="11"/>
        <color theme="1"/>
        <rFont val="Calibri"/>
        <family val="2"/>
        <scheme val="minor"/>
      </rPr>
      <t>13292</t>
    </r>
    <r>
      <rPr>
        <sz val="11"/>
        <color theme="1"/>
        <rFont val="Calibri"/>
        <family val="2"/>
        <scheme val="minor"/>
      </rPr>
      <t xml:space="preserve"> - Present - Out of school, school-approved extracurricular or cocurricular activity
</t>
    </r>
  </si>
  <si>
    <r>
      <t>AUT</t>
    </r>
    <r>
      <rPr>
        <sz val="11"/>
        <color theme="1"/>
        <rFont val="Calibri"/>
        <family val="2"/>
        <scheme val="minor"/>
      </rPr>
      <t xml:space="preserve"> - Autism
</t>
    </r>
    <r>
      <rPr>
        <b/>
        <sz val="11"/>
        <color theme="1"/>
        <rFont val="Calibri"/>
        <family val="2"/>
        <scheme val="minor"/>
      </rPr>
      <t>DB</t>
    </r>
    <r>
      <rPr>
        <sz val="11"/>
        <color theme="1"/>
        <rFont val="Calibri"/>
        <family val="2"/>
        <scheme val="minor"/>
      </rPr>
      <t xml:space="preserve"> - Deaf-blindness
</t>
    </r>
    <r>
      <rPr>
        <b/>
        <sz val="11"/>
        <color theme="1"/>
        <rFont val="Calibri"/>
        <family val="2"/>
        <scheme val="minor"/>
      </rPr>
      <t>DD</t>
    </r>
    <r>
      <rPr>
        <sz val="11"/>
        <color theme="1"/>
        <rFont val="Calibri"/>
        <family val="2"/>
        <scheme val="minor"/>
      </rPr>
      <t xml:space="preserve"> - Developmental delay
</t>
    </r>
    <r>
      <rPr>
        <b/>
        <sz val="11"/>
        <color theme="1"/>
        <rFont val="Calibri"/>
        <family val="2"/>
        <scheme val="minor"/>
      </rPr>
      <t>EMN</t>
    </r>
    <r>
      <rPr>
        <sz val="11"/>
        <color theme="1"/>
        <rFont val="Calibri"/>
        <family val="2"/>
        <scheme val="minor"/>
      </rPr>
      <t xml:space="preserve"> - Emotional disturbance
</t>
    </r>
    <r>
      <rPr>
        <b/>
        <sz val="11"/>
        <color theme="1"/>
        <rFont val="Calibri"/>
        <family val="2"/>
        <scheme val="minor"/>
      </rPr>
      <t>HI</t>
    </r>
    <r>
      <rPr>
        <sz val="11"/>
        <color theme="1"/>
        <rFont val="Calibri"/>
        <family val="2"/>
        <scheme val="minor"/>
      </rPr>
      <t xml:space="preserve"> - Hearing impairment
</t>
    </r>
    <r>
      <rPr>
        <b/>
        <sz val="11"/>
        <color theme="1"/>
        <rFont val="Calibri"/>
        <family val="2"/>
        <scheme val="minor"/>
      </rPr>
      <t>ID</t>
    </r>
    <r>
      <rPr>
        <sz val="11"/>
        <color theme="1"/>
        <rFont val="Calibri"/>
        <family val="2"/>
        <scheme val="minor"/>
      </rPr>
      <t xml:space="preserve"> - Intellectual Disability
</t>
    </r>
    <r>
      <rPr>
        <b/>
        <sz val="11"/>
        <color theme="1"/>
        <rFont val="Calibri"/>
        <family val="2"/>
        <scheme val="minor"/>
      </rPr>
      <t>MD</t>
    </r>
    <r>
      <rPr>
        <sz val="11"/>
        <color theme="1"/>
        <rFont val="Calibri"/>
        <family val="2"/>
        <scheme val="minor"/>
      </rPr>
      <t xml:space="preserve"> - Multiple disabilities
</t>
    </r>
    <r>
      <rPr>
        <b/>
        <sz val="11"/>
        <color theme="1"/>
        <rFont val="Calibri"/>
        <family val="2"/>
        <scheme val="minor"/>
      </rPr>
      <t>OI</t>
    </r>
    <r>
      <rPr>
        <sz val="11"/>
        <color theme="1"/>
        <rFont val="Calibri"/>
        <family val="2"/>
        <scheme val="minor"/>
      </rPr>
      <t xml:space="preserve"> - Orthopedic impairment
</t>
    </r>
    <r>
      <rPr>
        <b/>
        <sz val="11"/>
        <color theme="1"/>
        <rFont val="Calibri"/>
        <family val="2"/>
        <scheme val="minor"/>
      </rPr>
      <t>OHI</t>
    </r>
    <r>
      <rPr>
        <sz val="11"/>
        <color theme="1"/>
        <rFont val="Calibri"/>
        <family val="2"/>
        <scheme val="minor"/>
      </rPr>
      <t xml:space="preserve"> - Other health impairment
</t>
    </r>
    <r>
      <rPr>
        <b/>
        <sz val="11"/>
        <color theme="1"/>
        <rFont val="Calibri"/>
        <family val="2"/>
        <scheme val="minor"/>
      </rPr>
      <t>SLD</t>
    </r>
    <r>
      <rPr>
        <sz val="11"/>
        <color theme="1"/>
        <rFont val="Calibri"/>
        <family val="2"/>
        <scheme val="minor"/>
      </rPr>
      <t xml:space="preserve"> - Specific learning disability
</t>
    </r>
    <r>
      <rPr>
        <b/>
        <sz val="11"/>
        <color theme="1"/>
        <rFont val="Calibri"/>
        <family val="2"/>
        <scheme val="minor"/>
      </rPr>
      <t>SLI</t>
    </r>
    <r>
      <rPr>
        <sz val="11"/>
        <color theme="1"/>
        <rFont val="Calibri"/>
        <family val="2"/>
        <scheme val="minor"/>
      </rPr>
      <t xml:space="preserve"> - Speech or language impairment
</t>
    </r>
    <r>
      <rPr>
        <b/>
        <sz val="11"/>
        <color theme="1"/>
        <rFont val="Calibri"/>
        <family val="2"/>
        <scheme val="minor"/>
      </rPr>
      <t>TBI</t>
    </r>
    <r>
      <rPr>
        <sz val="11"/>
        <color theme="1"/>
        <rFont val="Calibri"/>
        <family val="2"/>
        <scheme val="minor"/>
      </rPr>
      <t xml:space="preserve"> - Traumatic brain injury
</t>
    </r>
    <r>
      <rPr>
        <b/>
        <sz val="11"/>
        <color theme="1"/>
        <rFont val="Calibri"/>
        <family val="2"/>
        <scheme val="minor"/>
      </rPr>
      <t>VI</t>
    </r>
    <r>
      <rPr>
        <sz val="11"/>
        <color theme="1"/>
        <rFont val="Calibri"/>
        <family val="2"/>
        <scheme val="minor"/>
      </rPr>
      <t xml:space="preserve"> - Visual impairment
</t>
    </r>
  </si>
  <si>
    <r>
      <t>HeadStart</t>
    </r>
    <r>
      <rPr>
        <sz val="11"/>
        <color theme="1"/>
        <rFont val="Calibri"/>
        <family val="2"/>
        <scheme val="minor"/>
      </rPr>
      <t xml:space="preserve"> - Head Start
</t>
    </r>
    <r>
      <rPr>
        <b/>
        <sz val="11"/>
        <color theme="1"/>
        <rFont val="Calibri"/>
        <family val="2"/>
        <scheme val="minor"/>
      </rPr>
      <t>EarlyHeadStart</t>
    </r>
    <r>
      <rPr>
        <sz val="11"/>
        <color theme="1"/>
        <rFont val="Calibri"/>
        <family val="2"/>
        <scheme val="minor"/>
      </rPr>
      <t xml:space="preserve"> - Early Head Start
</t>
    </r>
    <r>
      <rPr>
        <b/>
        <sz val="11"/>
        <color theme="1"/>
        <rFont val="Calibri"/>
        <family val="2"/>
        <scheme val="minor"/>
      </rPr>
      <t>PublicPreschool</t>
    </r>
    <r>
      <rPr>
        <sz val="11"/>
        <color theme="1"/>
        <rFont val="Calibri"/>
        <family val="2"/>
        <scheme val="minor"/>
      </rPr>
      <t xml:space="preserve"> - Public Preschool
</t>
    </r>
    <r>
      <rPr>
        <b/>
        <sz val="11"/>
        <color theme="1"/>
        <rFont val="Calibri"/>
        <family val="2"/>
        <scheme val="minor"/>
      </rPr>
      <t>PrivatePreschool</t>
    </r>
    <r>
      <rPr>
        <sz val="11"/>
        <color theme="1"/>
        <rFont val="Calibri"/>
        <family val="2"/>
        <scheme val="minor"/>
      </rPr>
      <t xml:space="preserve"> - Private Preschool
</t>
    </r>
    <r>
      <rPr>
        <b/>
        <sz val="11"/>
        <color theme="1"/>
        <rFont val="Calibri"/>
        <family val="2"/>
        <scheme val="minor"/>
      </rPr>
      <t>LicensedFamilyChildCare</t>
    </r>
    <r>
      <rPr>
        <sz val="11"/>
        <color theme="1"/>
        <rFont val="Calibri"/>
        <family val="2"/>
        <scheme val="minor"/>
      </rPr>
      <t xml:space="preserve"> - Licensed Family Child Care Home
</t>
    </r>
    <r>
      <rPr>
        <b/>
        <sz val="11"/>
        <color theme="1"/>
        <rFont val="Calibri"/>
        <family val="2"/>
        <scheme val="minor"/>
      </rPr>
      <t>HomeDayCare</t>
    </r>
    <r>
      <rPr>
        <sz val="11"/>
        <color theme="1"/>
        <rFont val="Calibri"/>
        <family val="2"/>
        <scheme val="minor"/>
      </rPr>
      <t xml:space="preserve"> - Home Day Care
</t>
    </r>
    <r>
      <rPr>
        <b/>
        <sz val="11"/>
        <color theme="1"/>
        <rFont val="Calibri"/>
        <family val="2"/>
        <scheme val="minor"/>
      </rPr>
      <t>PreschoolSpecialEducation</t>
    </r>
    <r>
      <rPr>
        <sz val="11"/>
        <color theme="1"/>
        <rFont val="Calibri"/>
        <family val="2"/>
        <scheme val="minor"/>
      </rPr>
      <t xml:space="preserve"> - Preschool Special Education
</t>
    </r>
    <r>
      <rPr>
        <b/>
        <sz val="11"/>
        <color theme="1"/>
        <rFont val="Calibri"/>
        <family val="2"/>
        <scheme val="minor"/>
      </rPr>
      <t>InformalCare</t>
    </r>
    <r>
      <rPr>
        <sz val="11"/>
        <color theme="1"/>
        <rFont val="Calibri"/>
        <family val="2"/>
        <scheme val="minor"/>
      </rPr>
      <t xml:space="preserve"> - Informal Care
</t>
    </r>
    <r>
      <rPr>
        <b/>
        <sz val="11"/>
        <color theme="1"/>
        <rFont val="Calibri"/>
        <family val="2"/>
        <scheme val="minor"/>
      </rPr>
      <t>HomeVisiting</t>
    </r>
    <r>
      <rPr>
        <sz val="11"/>
        <color theme="1"/>
        <rFont val="Calibri"/>
        <family val="2"/>
        <scheme val="minor"/>
      </rPr>
      <t xml:space="preserve"> - Home Visiting
</t>
    </r>
    <r>
      <rPr>
        <b/>
        <sz val="11"/>
        <color theme="1"/>
        <rFont val="Calibri"/>
        <family val="2"/>
        <scheme val="minor"/>
      </rPr>
      <t>EarlyInterventionPartC</t>
    </r>
    <r>
      <rPr>
        <sz val="11"/>
        <color theme="1"/>
        <rFont val="Calibri"/>
        <family val="2"/>
        <scheme val="minor"/>
      </rPr>
      <t xml:space="preserve"> - Early Intervention Services Part C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None</t>
    </r>
    <r>
      <rPr>
        <sz val="11"/>
        <color theme="1"/>
        <rFont val="Calibri"/>
        <family val="2"/>
        <scheme val="minor"/>
      </rPr>
      <t xml:space="preserve"> - None
</t>
    </r>
  </si>
  <si>
    <r>
      <t>58007</t>
    </r>
    <r>
      <rPr>
        <sz val="11"/>
        <color theme="1"/>
        <rFont val="Calibri"/>
        <family val="2"/>
        <scheme val="minor"/>
      </rPr>
      <t xml:space="preserve"> - Adapted Physical Education
</t>
    </r>
    <r>
      <rPr>
        <b/>
        <sz val="11"/>
        <color theme="1"/>
        <rFont val="Calibri"/>
        <family val="2"/>
        <scheme val="minor"/>
      </rPr>
      <t>62047</t>
    </r>
    <r>
      <rPr>
        <sz val="11"/>
        <color theme="1"/>
        <rFont val="Calibri"/>
        <family val="2"/>
        <scheme val="minor"/>
      </rPr>
      <t xml:space="preserve"> - Administration-Independent Study
</t>
    </r>
    <r>
      <rPr>
        <b/>
        <sz val="11"/>
        <color theme="1"/>
        <rFont val="Calibri"/>
        <family val="2"/>
        <scheme val="minor"/>
      </rPr>
      <t>72007</t>
    </r>
    <r>
      <rPr>
        <sz val="11"/>
        <color theme="1"/>
        <rFont val="Calibri"/>
        <family val="2"/>
        <scheme val="minor"/>
      </rPr>
      <t xml:space="preserve"> - Advancement Via Individual Determination (AVID)
</t>
    </r>
    <r>
      <rPr>
        <b/>
        <sz val="11"/>
        <color theme="1"/>
        <rFont val="Calibri"/>
        <family val="2"/>
        <scheme val="minor"/>
      </rPr>
      <t>68003</t>
    </r>
    <r>
      <rPr>
        <sz val="11"/>
        <color theme="1"/>
        <rFont val="Calibri"/>
        <family val="2"/>
        <scheme val="minor"/>
      </rPr>
      <t xml:space="preserve"> - Agriculture and Natural Resources-Comprehensive
</t>
    </r>
    <r>
      <rPr>
        <b/>
        <sz val="11"/>
        <color theme="1"/>
        <rFont val="Calibri"/>
        <family val="2"/>
        <scheme val="minor"/>
      </rPr>
      <t>68997</t>
    </r>
    <r>
      <rPr>
        <sz val="11"/>
        <color theme="1"/>
        <rFont val="Calibri"/>
        <family val="2"/>
        <scheme val="minor"/>
      </rPr>
      <t xml:space="preserve"> - Agriculture, Food, and Natural Resources-Independent Study
</t>
    </r>
    <r>
      <rPr>
        <b/>
        <sz val="11"/>
        <color theme="1"/>
        <rFont val="Calibri"/>
        <family val="2"/>
        <scheme val="minor"/>
      </rPr>
      <t>68999</t>
    </r>
    <r>
      <rPr>
        <sz val="11"/>
        <color theme="1"/>
        <rFont val="Calibri"/>
        <family val="2"/>
        <scheme val="minor"/>
      </rPr>
      <t xml:space="preserve"> - Agriculture, Food, and Natural Resources-Other
</t>
    </r>
    <r>
      <rPr>
        <b/>
        <sz val="11"/>
        <color theme="1"/>
        <rFont val="Calibri"/>
        <family val="2"/>
        <scheme val="minor"/>
      </rPr>
      <t>68002</t>
    </r>
    <r>
      <rPr>
        <sz val="11"/>
        <color theme="1"/>
        <rFont val="Calibri"/>
        <family val="2"/>
        <scheme val="minor"/>
      </rPr>
      <t xml:space="preserve"> - Agriculture-Comprehensive
</t>
    </r>
    <r>
      <rPr>
        <b/>
        <sz val="11"/>
        <color theme="1"/>
        <rFont val="Calibri"/>
        <family val="2"/>
        <scheme val="minor"/>
      </rPr>
      <t>52052</t>
    </r>
    <r>
      <rPr>
        <sz val="11"/>
        <color theme="1"/>
        <rFont val="Calibri"/>
        <family val="2"/>
        <scheme val="minor"/>
      </rPr>
      <t xml:space="preserve"> - Algebra I
</t>
    </r>
    <r>
      <rPr>
        <b/>
        <sz val="11"/>
        <color theme="1"/>
        <rFont val="Calibri"/>
        <family val="2"/>
        <scheme val="minor"/>
      </rPr>
      <t>52069</t>
    </r>
    <r>
      <rPr>
        <sz val="11"/>
        <color theme="1"/>
        <rFont val="Calibri"/>
        <family val="2"/>
        <scheme val="minor"/>
      </rPr>
      <t xml:space="preserve"> - Algebra-Other
</t>
    </r>
    <r>
      <rPr>
        <b/>
        <sz val="11"/>
        <color theme="1"/>
        <rFont val="Calibri"/>
        <family val="2"/>
        <scheme val="minor"/>
      </rPr>
      <t>56820</t>
    </r>
    <r>
      <rPr>
        <sz val="11"/>
        <color theme="1"/>
        <rFont val="Calibri"/>
        <family val="2"/>
        <scheme val="minor"/>
      </rPr>
      <t xml:space="preserve"> - American Indian Language
</t>
    </r>
    <r>
      <rPr>
        <b/>
        <sz val="11"/>
        <color theme="1"/>
        <rFont val="Calibri"/>
        <family val="2"/>
        <scheme val="minor"/>
      </rPr>
      <t>56800</t>
    </r>
    <r>
      <rPr>
        <sz val="11"/>
        <color theme="1"/>
        <rFont val="Calibri"/>
        <family val="2"/>
        <scheme val="minor"/>
      </rPr>
      <t xml:space="preserve"> - American Sign Language
</t>
    </r>
    <r>
      <rPr>
        <b/>
        <sz val="11"/>
        <color theme="1"/>
        <rFont val="Calibri"/>
        <family val="2"/>
        <scheme val="minor"/>
      </rPr>
      <t>52073</t>
    </r>
    <r>
      <rPr>
        <sz val="11"/>
        <color theme="1"/>
        <rFont val="Calibri"/>
        <family val="2"/>
        <scheme val="minor"/>
      </rPr>
      <t xml:space="preserve"> - Analytic Geometry
</t>
    </r>
    <r>
      <rPr>
        <b/>
        <sz val="11"/>
        <color theme="1"/>
        <rFont val="Calibri"/>
        <family val="2"/>
        <scheme val="minor"/>
      </rPr>
      <t>58010</t>
    </r>
    <r>
      <rPr>
        <sz val="11"/>
        <color theme="1"/>
        <rFont val="Calibri"/>
        <family val="2"/>
        <scheme val="minor"/>
      </rPr>
      <t xml:space="preserve"> - Aquatics/Water Sports
</t>
    </r>
    <r>
      <rPr>
        <b/>
        <sz val="11"/>
        <color theme="1"/>
        <rFont val="Calibri"/>
        <family val="2"/>
        <scheme val="minor"/>
      </rPr>
      <t>56720</t>
    </r>
    <r>
      <rPr>
        <sz val="11"/>
        <color theme="1"/>
        <rFont val="Calibri"/>
        <family val="2"/>
        <scheme val="minor"/>
      </rPr>
      <t xml:space="preserve"> - Arabic 
</t>
    </r>
    <r>
      <rPr>
        <b/>
        <sz val="11"/>
        <color theme="1"/>
        <rFont val="Calibri"/>
        <family val="2"/>
        <scheme val="minor"/>
      </rPr>
      <t>67997</t>
    </r>
    <r>
      <rPr>
        <sz val="11"/>
        <color theme="1"/>
        <rFont val="Calibri"/>
        <family val="2"/>
        <scheme val="minor"/>
      </rPr>
      <t xml:space="preserve"> - Architecture and Construction-Independent Study
</t>
    </r>
    <r>
      <rPr>
        <b/>
        <sz val="11"/>
        <color theme="1"/>
        <rFont val="Calibri"/>
        <family val="2"/>
        <scheme val="minor"/>
      </rPr>
      <t>67999</t>
    </r>
    <r>
      <rPr>
        <sz val="11"/>
        <color theme="1"/>
        <rFont val="Calibri"/>
        <family val="2"/>
        <scheme val="minor"/>
      </rPr>
      <t xml:space="preserve"> - Architecture and Construction-Other
</t>
    </r>
    <r>
      <rPr>
        <b/>
        <sz val="11"/>
        <color theme="1"/>
        <rFont val="Calibri"/>
        <family val="2"/>
        <scheme val="minor"/>
      </rPr>
      <t>55178</t>
    </r>
    <r>
      <rPr>
        <sz val="11"/>
        <color theme="1"/>
        <rFont val="Calibri"/>
        <family val="2"/>
        <scheme val="minor"/>
      </rPr>
      <t xml:space="preserve"> - Art (early childhood education)
</t>
    </r>
    <r>
      <rPr>
        <b/>
        <sz val="11"/>
        <color theme="1"/>
        <rFont val="Calibri"/>
        <family val="2"/>
        <scheme val="minor"/>
      </rPr>
      <t>55181</t>
    </r>
    <r>
      <rPr>
        <sz val="11"/>
        <color theme="1"/>
        <rFont val="Calibri"/>
        <family val="2"/>
        <scheme val="minor"/>
      </rPr>
      <t xml:space="preserve"> - Art (grade 1)
</t>
    </r>
    <r>
      <rPr>
        <b/>
        <sz val="11"/>
        <color theme="1"/>
        <rFont val="Calibri"/>
        <family val="2"/>
        <scheme val="minor"/>
      </rPr>
      <t>55182</t>
    </r>
    <r>
      <rPr>
        <sz val="11"/>
        <color theme="1"/>
        <rFont val="Calibri"/>
        <family val="2"/>
        <scheme val="minor"/>
      </rPr>
      <t xml:space="preserve"> - Art (grade 2)
</t>
    </r>
    <r>
      <rPr>
        <b/>
        <sz val="11"/>
        <color theme="1"/>
        <rFont val="Calibri"/>
        <family val="2"/>
        <scheme val="minor"/>
      </rPr>
      <t>55183</t>
    </r>
    <r>
      <rPr>
        <sz val="11"/>
        <color theme="1"/>
        <rFont val="Calibri"/>
        <family val="2"/>
        <scheme val="minor"/>
      </rPr>
      <t xml:space="preserve"> - Art (grade 3)
</t>
    </r>
    <r>
      <rPr>
        <b/>
        <sz val="11"/>
        <color theme="1"/>
        <rFont val="Calibri"/>
        <family val="2"/>
        <scheme val="minor"/>
      </rPr>
      <t>55184</t>
    </r>
    <r>
      <rPr>
        <sz val="11"/>
        <color theme="1"/>
        <rFont val="Calibri"/>
        <family val="2"/>
        <scheme val="minor"/>
      </rPr>
      <t xml:space="preserve"> - Art (grade 4)
</t>
    </r>
    <r>
      <rPr>
        <b/>
        <sz val="11"/>
        <color theme="1"/>
        <rFont val="Calibri"/>
        <family val="2"/>
        <scheme val="minor"/>
      </rPr>
      <t>55185</t>
    </r>
    <r>
      <rPr>
        <sz val="11"/>
        <color theme="1"/>
        <rFont val="Calibri"/>
        <family val="2"/>
        <scheme val="minor"/>
      </rPr>
      <t xml:space="preserve"> - Art (grade 5)
</t>
    </r>
    <r>
      <rPr>
        <b/>
        <sz val="11"/>
        <color theme="1"/>
        <rFont val="Calibri"/>
        <family val="2"/>
        <scheme val="minor"/>
      </rPr>
      <t>55186</t>
    </r>
    <r>
      <rPr>
        <sz val="11"/>
        <color theme="1"/>
        <rFont val="Calibri"/>
        <family val="2"/>
        <scheme val="minor"/>
      </rPr>
      <t xml:space="preserve"> - Art (grade 6)
</t>
    </r>
    <r>
      <rPr>
        <b/>
        <sz val="11"/>
        <color theme="1"/>
        <rFont val="Calibri"/>
        <family val="2"/>
        <scheme val="minor"/>
      </rPr>
      <t>55187</t>
    </r>
    <r>
      <rPr>
        <sz val="11"/>
        <color theme="1"/>
        <rFont val="Calibri"/>
        <family val="2"/>
        <scheme val="minor"/>
      </rPr>
      <t xml:space="preserve"> - Art (grade 7)
</t>
    </r>
    <r>
      <rPr>
        <b/>
        <sz val="11"/>
        <color theme="1"/>
        <rFont val="Calibri"/>
        <family val="2"/>
        <scheme val="minor"/>
      </rPr>
      <t>55188</t>
    </r>
    <r>
      <rPr>
        <sz val="11"/>
        <color theme="1"/>
        <rFont val="Calibri"/>
        <family val="2"/>
        <scheme val="minor"/>
      </rPr>
      <t xml:space="preserve"> - Art (grade 8)
</t>
    </r>
    <r>
      <rPr>
        <b/>
        <sz val="11"/>
        <color theme="1"/>
        <rFont val="Calibri"/>
        <family val="2"/>
        <scheme val="minor"/>
      </rPr>
      <t>55180</t>
    </r>
    <r>
      <rPr>
        <sz val="11"/>
        <color theme="1"/>
        <rFont val="Calibri"/>
        <family val="2"/>
        <scheme val="minor"/>
      </rPr>
      <t xml:space="preserve"> - Art (kindergarten)
</t>
    </r>
    <r>
      <rPr>
        <b/>
        <sz val="11"/>
        <color theme="1"/>
        <rFont val="Calibri"/>
        <family val="2"/>
        <scheme val="minor"/>
      </rPr>
      <t>55179</t>
    </r>
    <r>
      <rPr>
        <sz val="11"/>
        <color theme="1"/>
        <rFont val="Calibri"/>
        <family val="2"/>
        <scheme val="minor"/>
      </rPr>
      <t xml:space="preserve"> - Art (pre-kindergarten)
</t>
    </r>
    <r>
      <rPr>
        <b/>
        <sz val="11"/>
        <color theme="1"/>
        <rFont val="Calibri"/>
        <family val="2"/>
        <scheme val="minor"/>
      </rPr>
      <t>55189</t>
    </r>
    <r>
      <rPr>
        <sz val="11"/>
        <color theme="1"/>
        <rFont val="Calibri"/>
        <family val="2"/>
        <scheme val="minor"/>
      </rPr>
      <t xml:space="preserve"> - Art
</t>
    </r>
    <r>
      <rPr>
        <b/>
        <sz val="11"/>
        <color theme="1"/>
        <rFont val="Calibri"/>
        <family val="2"/>
        <scheme val="minor"/>
      </rPr>
      <t>55151</t>
    </r>
    <r>
      <rPr>
        <sz val="11"/>
        <color theme="1"/>
        <rFont val="Calibri"/>
        <family val="2"/>
        <scheme val="minor"/>
      </rPr>
      <t xml:space="preserve"> - Art Appreciation
</t>
    </r>
    <r>
      <rPr>
        <b/>
        <sz val="11"/>
        <color theme="1"/>
        <rFont val="Calibri"/>
        <family val="2"/>
        <scheme val="minor"/>
      </rPr>
      <t>55152</t>
    </r>
    <r>
      <rPr>
        <sz val="11"/>
        <color theme="1"/>
        <rFont val="Calibri"/>
        <family val="2"/>
        <scheme val="minor"/>
      </rPr>
      <t xml:space="preserve"> - Art History
</t>
    </r>
    <r>
      <rPr>
        <b/>
        <sz val="11"/>
        <color theme="1"/>
        <rFont val="Calibri"/>
        <family val="2"/>
        <scheme val="minor"/>
      </rPr>
      <t>51067</t>
    </r>
    <r>
      <rPr>
        <sz val="11"/>
        <color theme="1"/>
        <rFont val="Calibri"/>
        <family val="2"/>
        <scheme val="minor"/>
      </rPr>
      <t xml:space="preserve"> - Assisted Reading
</t>
    </r>
    <r>
      <rPr>
        <b/>
        <sz val="11"/>
        <color theme="1"/>
        <rFont val="Calibri"/>
        <family val="2"/>
        <scheme val="minor"/>
      </rPr>
      <t>61099</t>
    </r>
    <r>
      <rPr>
        <sz val="11"/>
        <color theme="1"/>
        <rFont val="Calibri"/>
        <family val="2"/>
        <scheme val="minor"/>
      </rPr>
      <t xml:space="preserve"> - Audio/Video Technology and Film-Other
</t>
    </r>
    <r>
      <rPr>
        <b/>
        <sz val="11"/>
        <color theme="1"/>
        <rFont val="Calibri"/>
        <family val="2"/>
        <scheme val="minor"/>
      </rPr>
      <t>61051</t>
    </r>
    <r>
      <rPr>
        <sz val="11"/>
        <color theme="1"/>
        <rFont val="Calibri"/>
        <family val="2"/>
        <scheme val="minor"/>
      </rPr>
      <t xml:space="preserve"> - Audio/Visual Production
</t>
    </r>
    <r>
      <rPr>
        <b/>
        <sz val="11"/>
        <color theme="1"/>
        <rFont val="Calibri"/>
        <family val="2"/>
        <scheme val="minor"/>
      </rPr>
      <t>62101</t>
    </r>
    <r>
      <rPr>
        <sz val="11"/>
        <color theme="1"/>
        <rFont val="Calibri"/>
        <family val="2"/>
        <scheme val="minor"/>
      </rPr>
      <t xml:space="preserve"> - Banking and Finance
</t>
    </r>
    <r>
      <rPr>
        <b/>
        <sz val="11"/>
        <color theme="1"/>
        <rFont val="Calibri"/>
        <family val="2"/>
        <scheme val="minor"/>
      </rPr>
      <t>57008</t>
    </r>
    <r>
      <rPr>
        <sz val="11"/>
        <color theme="1"/>
        <rFont val="Calibri"/>
        <family val="2"/>
        <scheme val="minor"/>
      </rPr>
      <t xml:space="preserve"> - Bible History
</t>
    </r>
    <r>
      <rPr>
        <b/>
        <sz val="11"/>
        <color theme="1"/>
        <rFont val="Calibri"/>
        <family val="2"/>
        <scheme val="minor"/>
      </rPr>
      <t>53051</t>
    </r>
    <r>
      <rPr>
        <sz val="11"/>
        <color theme="1"/>
        <rFont val="Calibri"/>
        <family val="2"/>
        <scheme val="minor"/>
      </rPr>
      <t xml:space="preserve"> - Biology
</t>
    </r>
    <r>
      <rPr>
        <b/>
        <sz val="11"/>
        <color theme="1"/>
        <rFont val="Calibri"/>
        <family val="2"/>
        <scheme val="minor"/>
      </rPr>
      <t>53097</t>
    </r>
    <r>
      <rPr>
        <sz val="11"/>
        <color theme="1"/>
        <rFont val="Calibri"/>
        <family val="2"/>
        <scheme val="minor"/>
      </rPr>
      <t xml:space="preserve"> - Biology-Independent Study
</t>
    </r>
    <r>
      <rPr>
        <b/>
        <sz val="11"/>
        <color theme="1"/>
        <rFont val="Calibri"/>
        <family val="2"/>
        <scheme val="minor"/>
      </rPr>
      <t>53099</t>
    </r>
    <r>
      <rPr>
        <sz val="11"/>
        <color theme="1"/>
        <rFont val="Calibri"/>
        <family val="2"/>
        <scheme val="minor"/>
      </rPr>
      <t xml:space="preserve"> - Biology-Other
</t>
    </r>
    <r>
      <rPr>
        <b/>
        <sz val="11"/>
        <color theme="1"/>
        <rFont val="Calibri"/>
        <family val="2"/>
        <scheme val="minor"/>
      </rPr>
      <t>61103</t>
    </r>
    <r>
      <rPr>
        <sz val="11"/>
        <color theme="1"/>
        <rFont val="Calibri"/>
        <family val="2"/>
        <scheme val="minor"/>
      </rPr>
      <t xml:space="preserve"> - Broadcasting Technology
</t>
    </r>
    <r>
      <rPr>
        <b/>
        <sz val="11"/>
        <color theme="1"/>
        <rFont val="Calibri"/>
        <family val="2"/>
        <scheme val="minor"/>
      </rPr>
      <t>62997</t>
    </r>
    <r>
      <rPr>
        <sz val="11"/>
        <color theme="1"/>
        <rFont val="Calibri"/>
        <family val="2"/>
        <scheme val="minor"/>
      </rPr>
      <t xml:space="preserve"> - Business and Marketing-Independent Study
</t>
    </r>
    <r>
      <rPr>
        <b/>
        <sz val="11"/>
        <color theme="1"/>
        <rFont val="Calibri"/>
        <family val="2"/>
        <scheme val="minor"/>
      </rPr>
      <t>62999</t>
    </r>
    <r>
      <rPr>
        <sz val="11"/>
        <color theme="1"/>
        <rFont val="Calibri"/>
        <family val="2"/>
        <scheme val="minor"/>
      </rPr>
      <t xml:space="preserve"> - Business and Marketing-Other
</t>
    </r>
    <r>
      <rPr>
        <b/>
        <sz val="11"/>
        <color theme="1"/>
        <rFont val="Calibri"/>
        <family val="2"/>
        <scheme val="minor"/>
      </rPr>
      <t>62001</t>
    </r>
    <r>
      <rPr>
        <sz val="11"/>
        <color theme="1"/>
        <rFont val="Calibri"/>
        <family val="2"/>
        <scheme val="minor"/>
      </rPr>
      <t xml:space="preserve"> - Business/Office Career Exploration
</t>
    </r>
    <r>
      <rPr>
        <b/>
        <sz val="11"/>
        <color theme="1"/>
        <rFont val="Calibri"/>
        <family val="2"/>
        <scheme val="minor"/>
      </rPr>
      <t>72151</t>
    </r>
    <r>
      <rPr>
        <sz val="11"/>
        <color theme="1"/>
        <rFont val="Calibri"/>
        <family val="2"/>
        <scheme val="minor"/>
      </rPr>
      <t xml:space="preserve"> - Career Exploration
</t>
    </r>
    <r>
      <rPr>
        <b/>
        <sz val="11"/>
        <color theme="1"/>
        <rFont val="Calibri"/>
        <family val="2"/>
        <scheme val="minor"/>
      </rPr>
      <t>55159</t>
    </r>
    <r>
      <rPr>
        <sz val="11"/>
        <color theme="1"/>
        <rFont val="Calibri"/>
        <family val="2"/>
        <scheme val="minor"/>
      </rPr>
      <t xml:space="preserve"> - Ceramics/Pottery
</t>
    </r>
    <r>
      <rPr>
        <b/>
        <sz val="11"/>
        <color theme="1"/>
        <rFont val="Calibri"/>
        <family val="2"/>
        <scheme val="minor"/>
      </rPr>
      <t>53101</t>
    </r>
    <r>
      <rPr>
        <sz val="11"/>
        <color theme="1"/>
        <rFont val="Calibri"/>
        <family val="2"/>
        <scheme val="minor"/>
      </rPr>
      <t xml:space="preserve"> - Chemistry
</t>
    </r>
    <r>
      <rPr>
        <b/>
        <sz val="11"/>
        <color theme="1"/>
        <rFont val="Calibri"/>
        <family val="2"/>
        <scheme val="minor"/>
      </rPr>
      <t>53147</t>
    </r>
    <r>
      <rPr>
        <sz val="11"/>
        <color theme="1"/>
        <rFont val="Calibri"/>
        <family val="2"/>
        <scheme val="minor"/>
      </rPr>
      <t xml:space="preserve"> - Chemistry-Independent Study
</t>
    </r>
    <r>
      <rPr>
        <b/>
        <sz val="11"/>
        <color theme="1"/>
        <rFont val="Calibri"/>
        <family val="2"/>
        <scheme val="minor"/>
      </rPr>
      <t>53149</t>
    </r>
    <r>
      <rPr>
        <sz val="11"/>
        <color theme="1"/>
        <rFont val="Calibri"/>
        <family val="2"/>
        <scheme val="minor"/>
      </rPr>
      <t xml:space="preserve"> - Chemistry-Other
</t>
    </r>
    <r>
      <rPr>
        <b/>
        <sz val="11"/>
        <color theme="1"/>
        <rFont val="Calibri"/>
        <family val="2"/>
        <scheme val="minor"/>
      </rPr>
      <t>56400</t>
    </r>
    <r>
      <rPr>
        <sz val="11"/>
        <color theme="1"/>
        <rFont val="Calibri"/>
        <family val="2"/>
        <scheme val="minor"/>
      </rPr>
      <t xml:space="preserve"> - Chinese
</t>
    </r>
    <r>
      <rPr>
        <b/>
        <sz val="11"/>
        <color theme="1"/>
        <rFont val="Calibri"/>
        <family val="2"/>
        <scheme val="minor"/>
      </rPr>
      <t>55005</t>
    </r>
    <r>
      <rPr>
        <sz val="11"/>
        <color theme="1"/>
        <rFont val="Calibri"/>
        <family val="2"/>
        <scheme val="minor"/>
      </rPr>
      <t xml:space="preserve"> - Choreography
</t>
    </r>
    <r>
      <rPr>
        <b/>
        <sz val="11"/>
        <color theme="1"/>
        <rFont val="Calibri"/>
        <family val="2"/>
        <scheme val="minor"/>
      </rPr>
      <t>55110</t>
    </r>
    <r>
      <rPr>
        <sz val="11"/>
        <color theme="1"/>
        <rFont val="Calibri"/>
        <family val="2"/>
        <scheme val="minor"/>
      </rPr>
      <t xml:space="preserve"> - Chorus
</t>
    </r>
    <r>
      <rPr>
        <b/>
        <sz val="11"/>
        <color theme="1"/>
        <rFont val="Calibri"/>
        <family val="2"/>
        <scheme val="minor"/>
      </rPr>
      <t>54161</t>
    </r>
    <r>
      <rPr>
        <sz val="11"/>
        <color theme="1"/>
        <rFont val="Calibri"/>
        <family val="2"/>
        <scheme val="minor"/>
      </rPr>
      <t xml:space="preserve"> - Civics
</t>
    </r>
    <r>
      <rPr>
        <b/>
        <sz val="11"/>
        <color theme="1"/>
        <rFont val="Calibri"/>
        <family val="2"/>
        <scheme val="minor"/>
      </rPr>
      <t>56320</t>
    </r>
    <r>
      <rPr>
        <sz val="11"/>
        <color theme="1"/>
        <rFont val="Calibri"/>
        <family val="2"/>
        <scheme val="minor"/>
      </rPr>
      <t xml:space="preserve"> - Classical Greek
</t>
    </r>
    <r>
      <rPr>
        <b/>
        <sz val="11"/>
        <color theme="1"/>
        <rFont val="Calibri"/>
        <family val="2"/>
        <scheme val="minor"/>
      </rPr>
      <t>72205</t>
    </r>
    <r>
      <rPr>
        <sz val="11"/>
        <color theme="1"/>
        <rFont val="Calibri"/>
        <family val="2"/>
        <scheme val="minor"/>
      </rPr>
      <t xml:space="preserve"> - Clothing/Sewing
</t>
    </r>
    <r>
      <rPr>
        <b/>
        <sz val="11"/>
        <color theme="1"/>
        <rFont val="Calibri"/>
        <family val="2"/>
        <scheme val="minor"/>
      </rPr>
      <t>61052</t>
    </r>
    <r>
      <rPr>
        <sz val="11"/>
        <color theme="1"/>
        <rFont val="Calibri"/>
        <family val="2"/>
        <scheme val="minor"/>
      </rPr>
      <t xml:space="preserve"> - Commercial Photography
</t>
    </r>
    <r>
      <rPr>
        <b/>
        <sz val="11"/>
        <color theme="1"/>
        <rFont val="Calibri"/>
        <family val="2"/>
        <scheme val="minor"/>
      </rPr>
      <t>61997</t>
    </r>
    <r>
      <rPr>
        <sz val="11"/>
        <color theme="1"/>
        <rFont val="Calibri"/>
        <family val="2"/>
        <scheme val="minor"/>
      </rPr>
      <t xml:space="preserve"> - Communication and Audio/Video Technology-Independent Study
</t>
    </r>
    <r>
      <rPr>
        <b/>
        <sz val="11"/>
        <color theme="1"/>
        <rFont val="Calibri"/>
        <family val="2"/>
        <scheme val="minor"/>
      </rPr>
      <t>61999</t>
    </r>
    <r>
      <rPr>
        <sz val="11"/>
        <color theme="1"/>
        <rFont val="Calibri"/>
        <family val="2"/>
        <scheme val="minor"/>
      </rPr>
      <t xml:space="preserve"> - Communication and Audio/Video Technology-Other
</t>
    </r>
    <r>
      <rPr>
        <b/>
        <sz val="11"/>
        <color theme="1"/>
        <rFont val="Calibri"/>
        <family val="2"/>
        <scheme val="minor"/>
      </rPr>
      <t>61002</t>
    </r>
    <r>
      <rPr>
        <sz val="11"/>
        <color theme="1"/>
        <rFont val="Calibri"/>
        <family val="2"/>
        <scheme val="minor"/>
      </rPr>
      <t xml:space="preserve"> - Communication Technology
</t>
    </r>
    <r>
      <rPr>
        <b/>
        <sz val="11"/>
        <color theme="1"/>
        <rFont val="Calibri"/>
        <family val="2"/>
        <scheme val="minor"/>
      </rPr>
      <t>61047</t>
    </r>
    <r>
      <rPr>
        <sz val="11"/>
        <color theme="1"/>
        <rFont val="Calibri"/>
        <family val="2"/>
        <scheme val="minor"/>
      </rPr>
      <t xml:space="preserve"> - Communication-Independent Study
</t>
    </r>
    <r>
      <rPr>
        <b/>
        <sz val="11"/>
        <color theme="1"/>
        <rFont val="Calibri"/>
        <family val="2"/>
        <scheme val="minor"/>
      </rPr>
      <t>61049</t>
    </r>
    <r>
      <rPr>
        <sz val="11"/>
        <color theme="1"/>
        <rFont val="Calibri"/>
        <family val="2"/>
        <scheme val="minor"/>
      </rPr>
      <t xml:space="preserve"> - Communication-Other
</t>
    </r>
    <r>
      <rPr>
        <b/>
        <sz val="11"/>
        <color theme="1"/>
        <rFont val="Calibri"/>
        <family val="2"/>
        <scheme val="minor"/>
      </rPr>
      <t>51155</t>
    </r>
    <r>
      <rPr>
        <sz val="11"/>
        <color theme="1"/>
        <rFont val="Calibri"/>
        <family val="2"/>
        <scheme val="minor"/>
      </rPr>
      <t xml:space="preserve"> - Communications
</t>
    </r>
    <r>
      <rPr>
        <b/>
        <sz val="11"/>
        <color theme="1"/>
        <rFont val="Calibri"/>
        <family val="2"/>
        <scheme val="minor"/>
      </rPr>
      <t>72104</t>
    </r>
    <r>
      <rPr>
        <sz val="11"/>
        <color theme="1"/>
        <rFont val="Calibri"/>
        <family val="2"/>
        <scheme val="minor"/>
      </rPr>
      <t xml:space="preserve"> - Community Service
</t>
    </r>
    <r>
      <rPr>
        <b/>
        <sz val="11"/>
        <color theme="1"/>
        <rFont val="Calibri"/>
        <family val="2"/>
        <scheme val="minor"/>
      </rPr>
      <t>51103</t>
    </r>
    <r>
      <rPr>
        <sz val="11"/>
        <color theme="1"/>
        <rFont val="Calibri"/>
        <family val="2"/>
        <scheme val="minor"/>
      </rPr>
      <t xml:space="preserve"> - Composition
</t>
    </r>
    <r>
      <rPr>
        <b/>
        <sz val="11"/>
        <color theme="1"/>
        <rFont val="Calibri"/>
        <family val="2"/>
        <scheme val="minor"/>
      </rPr>
      <t>51147</t>
    </r>
    <r>
      <rPr>
        <sz val="11"/>
        <color theme="1"/>
        <rFont val="Calibri"/>
        <family val="2"/>
        <scheme val="minor"/>
      </rPr>
      <t xml:space="preserve"> - Composition-Independent Study
</t>
    </r>
    <r>
      <rPr>
        <b/>
        <sz val="11"/>
        <color theme="1"/>
        <rFont val="Calibri"/>
        <family val="2"/>
        <scheme val="minor"/>
      </rPr>
      <t>51149</t>
    </r>
    <r>
      <rPr>
        <sz val="11"/>
        <color theme="1"/>
        <rFont val="Calibri"/>
        <family val="2"/>
        <scheme val="minor"/>
      </rPr>
      <t xml:space="preserve"> - Composition-Other
</t>
    </r>
    <r>
      <rPr>
        <b/>
        <sz val="11"/>
        <color theme="1"/>
        <rFont val="Calibri"/>
        <family val="2"/>
        <scheme val="minor"/>
      </rPr>
      <t>60997</t>
    </r>
    <r>
      <rPr>
        <sz val="11"/>
        <color theme="1"/>
        <rFont val="Calibri"/>
        <family val="2"/>
        <scheme val="minor"/>
      </rPr>
      <t xml:space="preserve"> - Computer and Information Sciences-Independent Study
</t>
    </r>
    <r>
      <rPr>
        <b/>
        <sz val="11"/>
        <color theme="1"/>
        <rFont val="Calibri"/>
        <family val="2"/>
        <scheme val="minor"/>
      </rPr>
      <t>60999</t>
    </r>
    <r>
      <rPr>
        <sz val="11"/>
        <color theme="1"/>
        <rFont val="Calibri"/>
        <family val="2"/>
        <scheme val="minor"/>
      </rPr>
      <t xml:space="preserve"> - Computer and Information Sciences-Other
</t>
    </r>
    <r>
      <rPr>
        <b/>
        <sz val="11"/>
        <color theme="1"/>
        <rFont val="Calibri"/>
        <family val="2"/>
        <scheme val="minor"/>
      </rPr>
      <t>60003</t>
    </r>
    <r>
      <rPr>
        <sz val="11"/>
        <color theme="1"/>
        <rFont val="Calibri"/>
        <family val="2"/>
        <scheme val="minor"/>
      </rPr>
      <t xml:space="preserve"> - Computer and Information Technology
</t>
    </r>
    <r>
      <rPr>
        <b/>
        <sz val="11"/>
        <color theme="1"/>
        <rFont val="Calibri"/>
        <family val="2"/>
        <scheme val="minor"/>
      </rPr>
      <t>60004</t>
    </r>
    <r>
      <rPr>
        <sz val="11"/>
        <color theme="1"/>
        <rFont val="Calibri"/>
        <family val="2"/>
        <scheme val="minor"/>
      </rPr>
      <t xml:space="preserve"> - Computer Applications
</t>
    </r>
    <r>
      <rPr>
        <b/>
        <sz val="11"/>
        <color theme="1"/>
        <rFont val="Calibri"/>
        <family val="2"/>
        <scheme val="minor"/>
      </rPr>
      <t>60202</t>
    </r>
    <r>
      <rPr>
        <sz val="11"/>
        <color theme="1"/>
        <rFont val="Calibri"/>
        <family val="2"/>
        <scheme val="minor"/>
      </rPr>
      <t xml:space="preserve"> - Computer Graphics
</t>
    </r>
    <r>
      <rPr>
        <b/>
        <sz val="11"/>
        <color theme="1"/>
        <rFont val="Calibri"/>
        <family val="2"/>
        <scheme val="minor"/>
      </rPr>
      <t>60010</t>
    </r>
    <r>
      <rPr>
        <sz val="11"/>
        <color theme="1"/>
        <rFont val="Calibri"/>
        <family val="2"/>
        <scheme val="minor"/>
      </rPr>
      <t xml:space="preserve"> - Computer Literacy
</t>
    </r>
    <r>
      <rPr>
        <b/>
        <sz val="11"/>
        <color theme="1"/>
        <rFont val="Calibri"/>
        <family val="2"/>
        <scheme val="minor"/>
      </rPr>
      <t>60049</t>
    </r>
    <r>
      <rPr>
        <sz val="11"/>
        <color theme="1"/>
        <rFont val="Calibri"/>
        <family val="2"/>
        <scheme val="minor"/>
      </rPr>
      <t xml:space="preserve"> - Computer Literacy-Other
</t>
    </r>
    <r>
      <rPr>
        <b/>
        <sz val="11"/>
        <color theme="1"/>
        <rFont val="Calibri"/>
        <family val="2"/>
        <scheme val="minor"/>
      </rPr>
      <t>60002</t>
    </r>
    <r>
      <rPr>
        <sz val="11"/>
        <color theme="1"/>
        <rFont val="Calibri"/>
        <family val="2"/>
        <scheme val="minor"/>
      </rPr>
      <t xml:space="preserve"> - Computing Systems
</t>
    </r>
    <r>
      <rPr>
        <b/>
        <sz val="11"/>
        <color theme="1"/>
        <rFont val="Calibri"/>
        <family val="2"/>
        <scheme val="minor"/>
      </rPr>
      <t>55102</t>
    </r>
    <r>
      <rPr>
        <sz val="11"/>
        <color theme="1"/>
        <rFont val="Calibri"/>
        <family val="2"/>
        <scheme val="minor"/>
      </rPr>
      <t xml:space="preserve"> - Concert Band
</t>
    </r>
    <r>
      <rPr>
        <b/>
        <sz val="11"/>
        <color theme="1"/>
        <rFont val="Calibri"/>
        <family val="2"/>
        <scheme val="minor"/>
      </rPr>
      <t>67001</t>
    </r>
    <r>
      <rPr>
        <sz val="11"/>
        <color theme="1"/>
        <rFont val="Calibri"/>
        <family val="2"/>
        <scheme val="minor"/>
      </rPr>
      <t xml:space="preserve"> - Construction Careers Exploration
</t>
    </r>
    <r>
      <rPr>
        <b/>
        <sz val="11"/>
        <color theme="1"/>
        <rFont val="Calibri"/>
        <family val="2"/>
        <scheme val="minor"/>
      </rPr>
      <t>67002</t>
    </r>
    <r>
      <rPr>
        <sz val="11"/>
        <color theme="1"/>
        <rFont val="Calibri"/>
        <family val="2"/>
        <scheme val="minor"/>
      </rPr>
      <t xml:space="preserve"> - Construction-Comprehensive
</t>
    </r>
    <r>
      <rPr>
        <b/>
        <sz val="11"/>
        <color theme="1"/>
        <rFont val="Calibri"/>
        <family val="2"/>
        <scheme val="minor"/>
      </rPr>
      <t>72210</t>
    </r>
    <r>
      <rPr>
        <sz val="11"/>
        <color theme="1"/>
        <rFont val="Calibri"/>
        <family val="2"/>
        <scheme val="minor"/>
      </rPr>
      <t xml:space="preserve"> - Consumer Economics/Personal Finance
</t>
    </r>
    <r>
      <rPr>
        <b/>
        <sz val="11"/>
        <color theme="1"/>
        <rFont val="Calibri"/>
        <family val="2"/>
        <scheme val="minor"/>
      </rPr>
      <t>52157</t>
    </r>
    <r>
      <rPr>
        <sz val="11"/>
        <color theme="1"/>
        <rFont val="Calibri"/>
        <family val="2"/>
        <scheme val="minor"/>
      </rPr>
      <t xml:space="preserve"> - Consumer Math
</t>
    </r>
    <r>
      <rPr>
        <b/>
        <sz val="11"/>
        <color theme="1"/>
        <rFont val="Calibri"/>
        <family val="2"/>
        <scheme val="minor"/>
      </rPr>
      <t>55105</t>
    </r>
    <r>
      <rPr>
        <sz val="11"/>
        <color theme="1"/>
        <rFont val="Calibri"/>
        <family val="2"/>
        <scheme val="minor"/>
      </rPr>
      <t xml:space="preserve"> - Contemporary Band
</t>
    </r>
    <r>
      <rPr>
        <b/>
        <sz val="11"/>
        <color theme="1"/>
        <rFont val="Calibri"/>
        <family val="2"/>
        <scheme val="minor"/>
      </rPr>
      <t>54106</t>
    </r>
    <r>
      <rPr>
        <sz val="11"/>
        <color theme="1"/>
        <rFont val="Calibri"/>
        <family val="2"/>
        <scheme val="minor"/>
      </rPr>
      <t xml:space="preserve"> - Contemporary U.S. Issues
</t>
    </r>
    <r>
      <rPr>
        <b/>
        <sz val="11"/>
        <color theme="1"/>
        <rFont val="Calibri"/>
        <family val="2"/>
        <scheme val="minor"/>
      </rPr>
      <t>54064</t>
    </r>
    <r>
      <rPr>
        <sz val="11"/>
        <color theme="1"/>
        <rFont val="Calibri"/>
        <family val="2"/>
        <scheme val="minor"/>
      </rPr>
      <t xml:space="preserve"> - Contemporary World Issues
</t>
    </r>
    <r>
      <rPr>
        <b/>
        <sz val="11"/>
        <color theme="1"/>
        <rFont val="Calibri"/>
        <family val="2"/>
        <scheme val="minor"/>
      </rPr>
      <t>51068</t>
    </r>
    <r>
      <rPr>
        <sz val="11"/>
        <color theme="1"/>
        <rFont val="Calibri"/>
        <family val="2"/>
        <scheme val="minor"/>
      </rPr>
      <t xml:space="preserve"> - Corrective Reading
</t>
    </r>
    <r>
      <rPr>
        <b/>
        <sz val="11"/>
        <color theme="1"/>
        <rFont val="Calibri"/>
        <family val="2"/>
        <scheme val="minor"/>
      </rPr>
      <t>55165</t>
    </r>
    <r>
      <rPr>
        <sz val="11"/>
        <color theme="1"/>
        <rFont val="Calibri"/>
        <family val="2"/>
        <scheme val="minor"/>
      </rPr>
      <t xml:space="preserve"> - Crafts 
</t>
    </r>
    <r>
      <rPr>
        <b/>
        <sz val="11"/>
        <color theme="1"/>
        <rFont val="Calibri"/>
        <family val="2"/>
        <scheme val="minor"/>
      </rPr>
      <t>55154</t>
    </r>
    <r>
      <rPr>
        <sz val="11"/>
        <color theme="1"/>
        <rFont val="Calibri"/>
        <family val="2"/>
        <scheme val="minor"/>
      </rPr>
      <t xml:space="preserve"> - Creative Art-Comprehensive
</t>
    </r>
    <r>
      <rPr>
        <b/>
        <sz val="11"/>
        <color theme="1"/>
        <rFont val="Calibri"/>
        <family val="2"/>
        <scheme val="minor"/>
      </rPr>
      <t>55156</t>
    </r>
    <r>
      <rPr>
        <sz val="11"/>
        <color theme="1"/>
        <rFont val="Calibri"/>
        <family val="2"/>
        <scheme val="minor"/>
      </rPr>
      <t xml:space="preserve"> - Creative Art-Drawing
</t>
    </r>
    <r>
      <rPr>
        <b/>
        <sz val="11"/>
        <color theme="1"/>
        <rFont val="Calibri"/>
        <family val="2"/>
        <scheme val="minor"/>
      </rPr>
      <t>55155</t>
    </r>
    <r>
      <rPr>
        <sz val="11"/>
        <color theme="1"/>
        <rFont val="Calibri"/>
        <family val="2"/>
        <scheme val="minor"/>
      </rPr>
      <t xml:space="preserve"> - Creative Art-Drawing/Painting
</t>
    </r>
    <r>
      <rPr>
        <b/>
        <sz val="11"/>
        <color theme="1"/>
        <rFont val="Calibri"/>
        <family val="2"/>
        <scheme val="minor"/>
      </rPr>
      <t>55157</t>
    </r>
    <r>
      <rPr>
        <sz val="11"/>
        <color theme="1"/>
        <rFont val="Calibri"/>
        <family val="2"/>
        <scheme val="minor"/>
      </rPr>
      <t xml:space="preserve"> - Creative Art-Painting
</t>
    </r>
    <r>
      <rPr>
        <b/>
        <sz val="11"/>
        <color theme="1"/>
        <rFont val="Calibri"/>
        <family val="2"/>
        <scheme val="minor"/>
      </rPr>
      <t>55158</t>
    </r>
    <r>
      <rPr>
        <sz val="11"/>
        <color theme="1"/>
        <rFont val="Calibri"/>
        <family val="2"/>
        <scheme val="minor"/>
      </rPr>
      <t xml:space="preserve"> - Creative Art-Sculpture
</t>
    </r>
    <r>
      <rPr>
        <b/>
        <sz val="11"/>
        <color theme="1"/>
        <rFont val="Calibri"/>
        <family val="2"/>
        <scheme val="minor"/>
      </rPr>
      <t>51104</t>
    </r>
    <r>
      <rPr>
        <sz val="11"/>
        <color theme="1"/>
        <rFont val="Calibri"/>
        <family val="2"/>
        <scheme val="minor"/>
      </rPr>
      <t xml:space="preserve"> - Creative Writing
</t>
    </r>
    <r>
      <rPr>
        <b/>
        <sz val="11"/>
        <color theme="1"/>
        <rFont val="Calibri"/>
        <family val="2"/>
        <scheme val="minor"/>
      </rPr>
      <t>55028</t>
    </r>
    <r>
      <rPr>
        <sz val="11"/>
        <color theme="1"/>
        <rFont val="Calibri"/>
        <family val="2"/>
        <scheme val="minor"/>
      </rPr>
      <t xml:space="preserve"> - Dance (early childhood education)
</t>
    </r>
    <r>
      <rPr>
        <b/>
        <sz val="11"/>
        <color theme="1"/>
        <rFont val="Calibri"/>
        <family val="2"/>
        <scheme val="minor"/>
      </rPr>
      <t>55031</t>
    </r>
    <r>
      <rPr>
        <sz val="11"/>
        <color theme="1"/>
        <rFont val="Calibri"/>
        <family val="2"/>
        <scheme val="minor"/>
      </rPr>
      <t xml:space="preserve"> - Dance (grade 1)
</t>
    </r>
    <r>
      <rPr>
        <b/>
        <sz val="11"/>
        <color theme="1"/>
        <rFont val="Calibri"/>
        <family val="2"/>
        <scheme val="minor"/>
      </rPr>
      <t>55032</t>
    </r>
    <r>
      <rPr>
        <sz val="11"/>
        <color theme="1"/>
        <rFont val="Calibri"/>
        <family val="2"/>
        <scheme val="minor"/>
      </rPr>
      <t xml:space="preserve"> - Dance (grade 2)
</t>
    </r>
    <r>
      <rPr>
        <b/>
        <sz val="11"/>
        <color theme="1"/>
        <rFont val="Calibri"/>
        <family val="2"/>
        <scheme val="minor"/>
      </rPr>
      <t>55033</t>
    </r>
    <r>
      <rPr>
        <sz val="11"/>
        <color theme="1"/>
        <rFont val="Calibri"/>
        <family val="2"/>
        <scheme val="minor"/>
      </rPr>
      <t xml:space="preserve"> - Dance (grade 3)
</t>
    </r>
    <r>
      <rPr>
        <b/>
        <sz val="11"/>
        <color theme="1"/>
        <rFont val="Calibri"/>
        <family val="2"/>
        <scheme val="minor"/>
      </rPr>
      <t>55034</t>
    </r>
    <r>
      <rPr>
        <sz val="11"/>
        <color theme="1"/>
        <rFont val="Calibri"/>
        <family val="2"/>
        <scheme val="minor"/>
      </rPr>
      <t xml:space="preserve"> - Dance (grade 4)
</t>
    </r>
    <r>
      <rPr>
        <b/>
        <sz val="11"/>
        <color theme="1"/>
        <rFont val="Calibri"/>
        <family val="2"/>
        <scheme val="minor"/>
      </rPr>
      <t>55035</t>
    </r>
    <r>
      <rPr>
        <sz val="11"/>
        <color theme="1"/>
        <rFont val="Calibri"/>
        <family val="2"/>
        <scheme val="minor"/>
      </rPr>
      <t xml:space="preserve"> - Dance (grade 5)
</t>
    </r>
    <r>
      <rPr>
        <b/>
        <sz val="11"/>
        <color theme="1"/>
        <rFont val="Calibri"/>
        <family val="2"/>
        <scheme val="minor"/>
      </rPr>
      <t>55036</t>
    </r>
    <r>
      <rPr>
        <sz val="11"/>
        <color theme="1"/>
        <rFont val="Calibri"/>
        <family val="2"/>
        <scheme val="minor"/>
      </rPr>
      <t xml:space="preserve"> - Dance (grade 6)
</t>
    </r>
    <r>
      <rPr>
        <b/>
        <sz val="11"/>
        <color theme="1"/>
        <rFont val="Calibri"/>
        <family val="2"/>
        <scheme val="minor"/>
      </rPr>
      <t>55037</t>
    </r>
    <r>
      <rPr>
        <sz val="11"/>
        <color theme="1"/>
        <rFont val="Calibri"/>
        <family val="2"/>
        <scheme val="minor"/>
      </rPr>
      <t xml:space="preserve"> - Dance (grade 7)
</t>
    </r>
    <r>
      <rPr>
        <b/>
        <sz val="11"/>
        <color theme="1"/>
        <rFont val="Calibri"/>
        <family val="2"/>
        <scheme val="minor"/>
      </rPr>
      <t>55038</t>
    </r>
    <r>
      <rPr>
        <sz val="11"/>
        <color theme="1"/>
        <rFont val="Calibri"/>
        <family val="2"/>
        <scheme val="minor"/>
      </rPr>
      <t xml:space="preserve"> - Dance (grade 8)
</t>
    </r>
    <r>
      <rPr>
        <b/>
        <sz val="11"/>
        <color theme="1"/>
        <rFont val="Calibri"/>
        <family val="2"/>
        <scheme val="minor"/>
      </rPr>
      <t>55030</t>
    </r>
    <r>
      <rPr>
        <sz val="11"/>
        <color theme="1"/>
        <rFont val="Calibri"/>
        <family val="2"/>
        <scheme val="minor"/>
      </rPr>
      <t xml:space="preserve"> - Dance (kindergarten)
</t>
    </r>
    <r>
      <rPr>
        <b/>
        <sz val="11"/>
        <color theme="1"/>
        <rFont val="Calibri"/>
        <family val="2"/>
        <scheme val="minor"/>
      </rPr>
      <t>55029</t>
    </r>
    <r>
      <rPr>
        <sz val="11"/>
        <color theme="1"/>
        <rFont val="Calibri"/>
        <family val="2"/>
        <scheme val="minor"/>
      </rPr>
      <t xml:space="preserve"> - Dance (pre-kindergarten)
</t>
    </r>
    <r>
      <rPr>
        <b/>
        <sz val="11"/>
        <color theme="1"/>
        <rFont val="Calibri"/>
        <family val="2"/>
        <scheme val="minor"/>
      </rPr>
      <t>55039</t>
    </r>
    <r>
      <rPr>
        <sz val="11"/>
        <color theme="1"/>
        <rFont val="Calibri"/>
        <family val="2"/>
        <scheme val="minor"/>
      </rPr>
      <t xml:space="preserve"> - Dance
</t>
    </r>
    <r>
      <rPr>
        <b/>
        <sz val="11"/>
        <color theme="1"/>
        <rFont val="Calibri"/>
        <family val="2"/>
        <scheme val="minor"/>
      </rPr>
      <t>55004</t>
    </r>
    <r>
      <rPr>
        <sz val="11"/>
        <color theme="1"/>
        <rFont val="Calibri"/>
        <family val="2"/>
        <scheme val="minor"/>
      </rPr>
      <t xml:space="preserve"> - Dance Appreciation
</t>
    </r>
    <r>
      <rPr>
        <b/>
        <sz val="11"/>
        <color theme="1"/>
        <rFont val="Calibri"/>
        <family val="2"/>
        <scheme val="minor"/>
      </rPr>
      <t>55002</t>
    </r>
    <r>
      <rPr>
        <sz val="11"/>
        <color theme="1"/>
        <rFont val="Calibri"/>
        <family val="2"/>
        <scheme val="minor"/>
      </rPr>
      <t xml:space="preserve"> - Dance Repertory
</t>
    </r>
    <r>
      <rPr>
        <b/>
        <sz val="11"/>
        <color theme="1"/>
        <rFont val="Calibri"/>
        <family val="2"/>
        <scheme val="minor"/>
      </rPr>
      <t>55001</t>
    </r>
    <r>
      <rPr>
        <sz val="11"/>
        <color theme="1"/>
        <rFont val="Calibri"/>
        <family val="2"/>
        <scheme val="minor"/>
      </rPr>
      <t xml:space="preserve"> - Dance Technique
</t>
    </r>
    <r>
      <rPr>
        <b/>
        <sz val="11"/>
        <color theme="1"/>
        <rFont val="Calibri"/>
        <family val="2"/>
        <scheme val="minor"/>
      </rPr>
      <t>55047</t>
    </r>
    <r>
      <rPr>
        <sz val="11"/>
        <color theme="1"/>
        <rFont val="Calibri"/>
        <family val="2"/>
        <scheme val="minor"/>
      </rPr>
      <t xml:space="preserve"> - Dance-Independent Study
</t>
    </r>
    <r>
      <rPr>
        <b/>
        <sz val="11"/>
        <color theme="1"/>
        <rFont val="Calibri"/>
        <family val="2"/>
        <scheme val="minor"/>
      </rPr>
      <t>55049</t>
    </r>
    <r>
      <rPr>
        <sz val="11"/>
        <color theme="1"/>
        <rFont val="Calibri"/>
        <family val="2"/>
        <scheme val="minor"/>
      </rPr>
      <t xml:space="preserve"> - Dance-Other
</t>
    </r>
    <r>
      <rPr>
        <b/>
        <sz val="11"/>
        <color theme="1"/>
        <rFont val="Calibri"/>
        <family val="2"/>
        <scheme val="minor"/>
      </rPr>
      <t>61152</t>
    </r>
    <r>
      <rPr>
        <sz val="11"/>
        <color theme="1"/>
        <rFont val="Calibri"/>
        <family val="2"/>
        <scheme val="minor"/>
      </rPr>
      <t xml:space="preserve"> - Desktop Publishing
</t>
    </r>
    <r>
      <rPr>
        <b/>
        <sz val="11"/>
        <color theme="1"/>
        <rFont val="Calibri"/>
        <family val="2"/>
        <scheme val="minor"/>
      </rPr>
      <t>61151</t>
    </r>
    <r>
      <rPr>
        <sz val="11"/>
        <color theme="1"/>
        <rFont val="Calibri"/>
        <family val="2"/>
        <scheme val="minor"/>
      </rPr>
      <t xml:space="preserve"> - Digital Media Technology
</t>
    </r>
    <r>
      <rPr>
        <b/>
        <sz val="11"/>
        <color theme="1"/>
        <rFont val="Calibri"/>
        <family val="2"/>
        <scheme val="minor"/>
      </rPr>
      <t>71102</t>
    </r>
    <r>
      <rPr>
        <sz val="11"/>
        <color theme="1"/>
        <rFont val="Calibri"/>
        <family val="2"/>
        <scheme val="minor"/>
      </rPr>
      <t xml:space="preserve"> - Drafting-General
</t>
    </r>
    <r>
      <rPr>
        <b/>
        <sz val="11"/>
        <color theme="1"/>
        <rFont val="Calibri"/>
        <family val="2"/>
        <scheme val="minor"/>
      </rPr>
      <t>71147</t>
    </r>
    <r>
      <rPr>
        <sz val="11"/>
        <color theme="1"/>
        <rFont val="Calibri"/>
        <family val="2"/>
        <scheme val="minor"/>
      </rPr>
      <t xml:space="preserve"> - Drafting-Independent Study
</t>
    </r>
    <r>
      <rPr>
        <b/>
        <sz val="11"/>
        <color theme="1"/>
        <rFont val="Calibri"/>
        <family val="2"/>
        <scheme val="minor"/>
      </rPr>
      <t>55068</t>
    </r>
    <r>
      <rPr>
        <sz val="11"/>
        <color theme="1"/>
        <rFont val="Calibri"/>
        <family val="2"/>
        <scheme val="minor"/>
      </rPr>
      <t xml:space="preserve"> - Drama (early childhood education)
</t>
    </r>
    <r>
      <rPr>
        <b/>
        <sz val="11"/>
        <color theme="1"/>
        <rFont val="Calibri"/>
        <family val="2"/>
        <scheme val="minor"/>
      </rPr>
      <t>55071</t>
    </r>
    <r>
      <rPr>
        <sz val="11"/>
        <color theme="1"/>
        <rFont val="Calibri"/>
        <family val="2"/>
        <scheme val="minor"/>
      </rPr>
      <t xml:space="preserve"> - Drama (grade 1)
</t>
    </r>
    <r>
      <rPr>
        <b/>
        <sz val="11"/>
        <color theme="1"/>
        <rFont val="Calibri"/>
        <family val="2"/>
        <scheme val="minor"/>
      </rPr>
      <t>55072</t>
    </r>
    <r>
      <rPr>
        <sz val="11"/>
        <color theme="1"/>
        <rFont val="Calibri"/>
        <family val="2"/>
        <scheme val="minor"/>
      </rPr>
      <t xml:space="preserve"> - Drama (grade 2)
</t>
    </r>
    <r>
      <rPr>
        <b/>
        <sz val="11"/>
        <color theme="1"/>
        <rFont val="Calibri"/>
        <family val="2"/>
        <scheme val="minor"/>
      </rPr>
      <t>55073</t>
    </r>
    <r>
      <rPr>
        <sz val="11"/>
        <color theme="1"/>
        <rFont val="Calibri"/>
        <family val="2"/>
        <scheme val="minor"/>
      </rPr>
      <t xml:space="preserve"> - Drama (grade 3)
</t>
    </r>
    <r>
      <rPr>
        <b/>
        <sz val="11"/>
        <color theme="1"/>
        <rFont val="Calibri"/>
        <family val="2"/>
        <scheme val="minor"/>
      </rPr>
      <t>55074</t>
    </r>
    <r>
      <rPr>
        <sz val="11"/>
        <color theme="1"/>
        <rFont val="Calibri"/>
        <family val="2"/>
        <scheme val="minor"/>
      </rPr>
      <t xml:space="preserve"> - Drama (grade 4)
</t>
    </r>
    <r>
      <rPr>
        <b/>
        <sz val="11"/>
        <color theme="1"/>
        <rFont val="Calibri"/>
        <family val="2"/>
        <scheme val="minor"/>
      </rPr>
      <t>55075</t>
    </r>
    <r>
      <rPr>
        <sz val="11"/>
        <color theme="1"/>
        <rFont val="Calibri"/>
        <family val="2"/>
        <scheme val="minor"/>
      </rPr>
      <t xml:space="preserve"> - Drama (grade 5)
</t>
    </r>
    <r>
      <rPr>
        <b/>
        <sz val="11"/>
        <color theme="1"/>
        <rFont val="Calibri"/>
        <family val="2"/>
        <scheme val="minor"/>
      </rPr>
      <t>55076</t>
    </r>
    <r>
      <rPr>
        <sz val="11"/>
        <color theme="1"/>
        <rFont val="Calibri"/>
        <family val="2"/>
        <scheme val="minor"/>
      </rPr>
      <t xml:space="preserve"> - Drama (grade 6)
</t>
    </r>
    <r>
      <rPr>
        <b/>
        <sz val="11"/>
        <color theme="1"/>
        <rFont val="Calibri"/>
        <family val="2"/>
        <scheme val="minor"/>
      </rPr>
      <t>55077</t>
    </r>
    <r>
      <rPr>
        <sz val="11"/>
        <color theme="1"/>
        <rFont val="Calibri"/>
        <family val="2"/>
        <scheme val="minor"/>
      </rPr>
      <t xml:space="preserve"> - Drama (grade 7)
</t>
    </r>
    <r>
      <rPr>
        <b/>
        <sz val="11"/>
        <color theme="1"/>
        <rFont val="Calibri"/>
        <family val="2"/>
        <scheme val="minor"/>
      </rPr>
      <t>55078</t>
    </r>
    <r>
      <rPr>
        <sz val="11"/>
        <color theme="1"/>
        <rFont val="Calibri"/>
        <family val="2"/>
        <scheme val="minor"/>
      </rPr>
      <t xml:space="preserve"> - Drama (grade 8)
</t>
    </r>
    <r>
      <rPr>
        <b/>
        <sz val="11"/>
        <color theme="1"/>
        <rFont val="Calibri"/>
        <family val="2"/>
        <scheme val="minor"/>
      </rPr>
      <t>55070</t>
    </r>
    <r>
      <rPr>
        <sz val="11"/>
        <color theme="1"/>
        <rFont val="Calibri"/>
        <family val="2"/>
        <scheme val="minor"/>
      </rPr>
      <t xml:space="preserve"> - Drama (kindergarten)
</t>
    </r>
    <r>
      <rPr>
        <b/>
        <sz val="11"/>
        <color theme="1"/>
        <rFont val="Calibri"/>
        <family val="2"/>
        <scheme val="minor"/>
      </rPr>
      <t>55069</t>
    </r>
    <r>
      <rPr>
        <sz val="11"/>
        <color theme="1"/>
        <rFont val="Calibri"/>
        <family val="2"/>
        <scheme val="minor"/>
      </rPr>
      <t xml:space="preserve"> - Drama (pre-kindergarten)
</t>
    </r>
    <r>
      <rPr>
        <b/>
        <sz val="11"/>
        <color theme="1"/>
        <rFont val="Calibri"/>
        <family val="2"/>
        <scheme val="minor"/>
      </rPr>
      <t>55079</t>
    </r>
    <r>
      <rPr>
        <sz val="11"/>
        <color theme="1"/>
        <rFont val="Calibri"/>
        <family val="2"/>
        <scheme val="minor"/>
      </rPr>
      <t xml:space="preserve"> - Drama
</t>
    </r>
    <r>
      <rPr>
        <b/>
        <sz val="11"/>
        <color theme="1"/>
        <rFont val="Calibri"/>
        <family val="2"/>
        <scheme val="minor"/>
      </rPr>
      <t>55053</t>
    </r>
    <r>
      <rPr>
        <sz val="11"/>
        <color theme="1"/>
        <rFont val="Calibri"/>
        <family val="2"/>
        <scheme val="minor"/>
      </rPr>
      <t xml:space="preserve"> - Drama-Comprehensive
</t>
    </r>
    <r>
      <rPr>
        <b/>
        <sz val="11"/>
        <color theme="1"/>
        <rFont val="Calibri"/>
        <family val="2"/>
        <scheme val="minor"/>
      </rPr>
      <t>55097</t>
    </r>
    <r>
      <rPr>
        <sz val="11"/>
        <color theme="1"/>
        <rFont val="Calibri"/>
        <family val="2"/>
        <scheme val="minor"/>
      </rPr>
      <t xml:space="preserve"> - Drama-Independent Study
</t>
    </r>
    <r>
      <rPr>
        <b/>
        <sz val="11"/>
        <color theme="1"/>
        <rFont val="Calibri"/>
        <family val="2"/>
        <scheme val="minor"/>
      </rPr>
      <t>55099</t>
    </r>
    <r>
      <rPr>
        <sz val="11"/>
        <color theme="1"/>
        <rFont val="Calibri"/>
        <family val="2"/>
        <scheme val="minor"/>
      </rPr>
      <t xml:space="preserve"> - Drama-Other
</t>
    </r>
    <r>
      <rPr>
        <b/>
        <sz val="11"/>
        <color theme="1"/>
        <rFont val="Calibri"/>
        <family val="2"/>
        <scheme val="minor"/>
      </rPr>
      <t>72004</t>
    </r>
    <r>
      <rPr>
        <sz val="11"/>
        <color theme="1"/>
        <rFont val="Calibri"/>
        <family val="2"/>
        <scheme val="minor"/>
      </rPr>
      <t xml:space="preserve"> - Dropout Prevention Program
</t>
    </r>
    <r>
      <rPr>
        <b/>
        <sz val="11"/>
        <color theme="1"/>
        <rFont val="Calibri"/>
        <family val="2"/>
        <scheme val="minor"/>
      </rPr>
      <t>73028</t>
    </r>
    <r>
      <rPr>
        <sz val="11"/>
        <color theme="1"/>
        <rFont val="Calibri"/>
        <family val="2"/>
        <scheme val="minor"/>
      </rPr>
      <t xml:space="preserve"> - Early Childhood Education
</t>
    </r>
    <r>
      <rPr>
        <b/>
        <sz val="11"/>
        <color theme="1"/>
        <rFont val="Calibri"/>
        <family val="2"/>
        <scheme val="minor"/>
      </rPr>
      <t>53047</t>
    </r>
    <r>
      <rPr>
        <sz val="11"/>
        <color theme="1"/>
        <rFont val="Calibri"/>
        <family val="2"/>
        <scheme val="minor"/>
      </rPr>
      <t xml:space="preserve"> - Earth Science-Independent Study
</t>
    </r>
    <r>
      <rPr>
        <b/>
        <sz val="11"/>
        <color theme="1"/>
        <rFont val="Calibri"/>
        <family val="2"/>
        <scheme val="minor"/>
      </rPr>
      <t>53049</t>
    </r>
    <r>
      <rPr>
        <sz val="11"/>
        <color theme="1"/>
        <rFont val="Calibri"/>
        <family val="2"/>
        <scheme val="minor"/>
      </rPr>
      <t xml:space="preserve"> - Earth Science-Other
</t>
    </r>
    <r>
      <rPr>
        <b/>
        <sz val="11"/>
        <color theme="1"/>
        <rFont val="Calibri"/>
        <family val="2"/>
        <scheme val="minor"/>
      </rPr>
      <t>53008</t>
    </r>
    <r>
      <rPr>
        <sz val="11"/>
        <color theme="1"/>
        <rFont val="Calibri"/>
        <family val="2"/>
        <scheme val="minor"/>
      </rPr>
      <t xml:space="preserve"> - Earth/Space Science
</t>
    </r>
    <r>
      <rPr>
        <b/>
        <sz val="11"/>
        <color theme="1"/>
        <rFont val="Calibri"/>
        <family val="2"/>
        <scheme val="minor"/>
      </rPr>
      <t>72152</t>
    </r>
    <r>
      <rPr>
        <sz val="11"/>
        <color theme="1"/>
        <rFont val="Calibri"/>
        <family val="2"/>
        <scheme val="minor"/>
      </rPr>
      <t xml:space="preserve"> - Employability Skills
</t>
    </r>
    <r>
      <rPr>
        <b/>
        <sz val="11"/>
        <color theme="1"/>
        <rFont val="Calibri"/>
        <family val="2"/>
        <scheme val="minor"/>
      </rPr>
      <t>71997</t>
    </r>
    <r>
      <rPr>
        <sz val="11"/>
        <color theme="1"/>
        <rFont val="Calibri"/>
        <family val="2"/>
        <scheme val="minor"/>
      </rPr>
      <t xml:space="preserve"> - Engineering and Technology-Independent Study
</t>
    </r>
    <r>
      <rPr>
        <b/>
        <sz val="11"/>
        <color theme="1"/>
        <rFont val="Calibri"/>
        <family val="2"/>
        <scheme val="minor"/>
      </rPr>
      <t>71999</t>
    </r>
    <r>
      <rPr>
        <sz val="11"/>
        <color theme="1"/>
        <rFont val="Calibri"/>
        <family val="2"/>
        <scheme val="minor"/>
      </rPr>
      <t xml:space="preserve"> - Engineering and Technology-Other
</t>
    </r>
    <r>
      <rPr>
        <b/>
        <sz val="11"/>
        <color theme="1"/>
        <rFont val="Calibri"/>
        <family val="2"/>
        <scheme val="minor"/>
      </rPr>
      <t>71002</t>
    </r>
    <r>
      <rPr>
        <sz val="11"/>
        <color theme="1"/>
        <rFont val="Calibri"/>
        <family val="2"/>
        <scheme val="minor"/>
      </rPr>
      <t xml:space="preserve"> - Engineering Applications
</t>
    </r>
    <r>
      <rPr>
        <b/>
        <sz val="11"/>
        <color theme="1"/>
        <rFont val="Calibri"/>
        <family val="2"/>
        <scheme val="minor"/>
      </rPr>
      <t>71006</t>
    </r>
    <r>
      <rPr>
        <sz val="11"/>
        <color theme="1"/>
        <rFont val="Calibri"/>
        <family val="2"/>
        <scheme val="minor"/>
      </rPr>
      <t xml:space="preserve"> - Engineering Design
</t>
    </r>
    <r>
      <rPr>
        <b/>
        <sz val="11"/>
        <color theme="1"/>
        <rFont val="Calibri"/>
        <family val="2"/>
        <scheme val="minor"/>
      </rPr>
      <t>71003</t>
    </r>
    <r>
      <rPr>
        <sz val="11"/>
        <color theme="1"/>
        <rFont val="Calibri"/>
        <family val="2"/>
        <scheme val="minor"/>
      </rPr>
      <t xml:space="preserve"> - Engineering Technology
</t>
    </r>
    <r>
      <rPr>
        <b/>
        <sz val="11"/>
        <color theme="1"/>
        <rFont val="Calibri"/>
        <family val="2"/>
        <scheme val="minor"/>
      </rPr>
      <t>71005</t>
    </r>
    <r>
      <rPr>
        <sz val="11"/>
        <color theme="1"/>
        <rFont val="Calibri"/>
        <family val="2"/>
        <scheme val="minor"/>
      </rPr>
      <t xml:space="preserve"> - Engineering-Comprehensive
</t>
    </r>
    <r>
      <rPr>
        <b/>
        <sz val="11"/>
        <color theme="1"/>
        <rFont val="Calibri"/>
        <family val="2"/>
        <scheme val="minor"/>
      </rPr>
      <t>71047</t>
    </r>
    <r>
      <rPr>
        <sz val="11"/>
        <color theme="1"/>
        <rFont val="Calibri"/>
        <family val="2"/>
        <scheme val="minor"/>
      </rPr>
      <t xml:space="preserve"> - Engineering-Independent Study
</t>
    </r>
    <r>
      <rPr>
        <b/>
        <sz val="11"/>
        <color theme="1"/>
        <rFont val="Calibri"/>
        <family val="2"/>
        <scheme val="minor"/>
      </rPr>
      <t>51008</t>
    </r>
    <r>
      <rPr>
        <sz val="11"/>
        <color theme="1"/>
        <rFont val="Calibri"/>
        <family val="2"/>
        <scheme val="minor"/>
      </rPr>
      <t xml:space="preserve"> - English as a Second Language
</t>
    </r>
    <r>
      <rPr>
        <b/>
        <sz val="11"/>
        <color theme="1"/>
        <rFont val="Calibri"/>
        <family val="2"/>
        <scheme val="minor"/>
      </rPr>
      <t>51997</t>
    </r>
    <r>
      <rPr>
        <sz val="11"/>
        <color theme="1"/>
        <rFont val="Calibri"/>
        <family val="2"/>
        <scheme val="minor"/>
      </rPr>
      <t xml:space="preserve"> - English Language and Literature-Independent Study
</t>
    </r>
    <r>
      <rPr>
        <b/>
        <sz val="11"/>
        <color theme="1"/>
        <rFont val="Calibri"/>
        <family val="2"/>
        <scheme val="minor"/>
      </rPr>
      <t>51999</t>
    </r>
    <r>
      <rPr>
        <sz val="11"/>
        <color theme="1"/>
        <rFont val="Calibri"/>
        <family val="2"/>
        <scheme val="minor"/>
      </rPr>
      <t xml:space="preserve"> - English Language and Literature-Other
</t>
    </r>
    <r>
      <rPr>
        <b/>
        <sz val="11"/>
        <color theme="1"/>
        <rFont val="Calibri"/>
        <family val="2"/>
        <scheme val="minor"/>
      </rPr>
      <t>51996</t>
    </r>
    <r>
      <rPr>
        <sz val="11"/>
        <color theme="1"/>
        <rFont val="Calibri"/>
        <family val="2"/>
        <scheme val="minor"/>
      </rPr>
      <t xml:space="preserve"> - English Language and Literature-Supplemental
</t>
    </r>
    <r>
      <rPr>
        <b/>
        <sz val="11"/>
        <color theme="1"/>
        <rFont val="Calibri"/>
        <family val="2"/>
        <scheme val="minor"/>
      </rPr>
      <t>51992</t>
    </r>
    <r>
      <rPr>
        <sz val="11"/>
        <color theme="1"/>
        <rFont val="Calibri"/>
        <family val="2"/>
        <scheme val="minor"/>
      </rPr>
      <t xml:space="preserve"> - English Proficiency Development
</t>
    </r>
    <r>
      <rPr>
        <b/>
        <sz val="11"/>
        <color theme="1"/>
        <rFont val="Calibri"/>
        <family val="2"/>
        <scheme val="minor"/>
      </rPr>
      <t>51203</t>
    </r>
    <r>
      <rPr>
        <sz val="11"/>
        <color theme="1"/>
        <rFont val="Calibri"/>
        <family val="2"/>
        <scheme val="minor"/>
      </rPr>
      <t xml:space="preserve"> - English-Test Preparation
</t>
    </r>
    <r>
      <rPr>
        <b/>
        <sz val="11"/>
        <color theme="1"/>
        <rFont val="Calibri"/>
        <family val="2"/>
        <scheme val="minor"/>
      </rPr>
      <t>55054</t>
    </r>
    <r>
      <rPr>
        <sz val="11"/>
        <color theme="1"/>
        <rFont val="Calibri"/>
        <family val="2"/>
        <scheme val="minor"/>
      </rPr>
      <t xml:space="preserve"> - Exploration in Drama
</t>
    </r>
    <r>
      <rPr>
        <b/>
        <sz val="11"/>
        <color theme="1"/>
        <rFont val="Calibri"/>
        <family val="2"/>
        <scheme val="minor"/>
      </rPr>
      <t>64001</t>
    </r>
    <r>
      <rPr>
        <sz val="11"/>
        <color theme="1"/>
        <rFont val="Calibri"/>
        <family val="2"/>
        <scheme val="minor"/>
      </rPr>
      <t xml:space="preserve"> - Exploration of Health Care Occupations
</t>
    </r>
    <r>
      <rPr>
        <b/>
        <sz val="11"/>
        <color theme="1"/>
        <rFont val="Calibri"/>
        <family val="2"/>
        <scheme val="minor"/>
      </rPr>
      <t>66001</t>
    </r>
    <r>
      <rPr>
        <sz val="11"/>
        <color theme="1"/>
        <rFont val="Calibri"/>
        <family val="2"/>
        <scheme val="minor"/>
      </rPr>
      <t xml:space="preserve"> - Exploration of Hospitality Careers
</t>
    </r>
    <r>
      <rPr>
        <b/>
        <sz val="11"/>
        <color theme="1"/>
        <rFont val="Calibri"/>
        <family val="2"/>
        <scheme val="minor"/>
      </rPr>
      <t>63001</t>
    </r>
    <r>
      <rPr>
        <sz val="11"/>
        <color theme="1"/>
        <rFont val="Calibri"/>
        <family val="2"/>
        <scheme val="minor"/>
      </rPr>
      <t xml:space="preserve"> - Exploration of Manufacturing Occupations
</t>
    </r>
    <r>
      <rPr>
        <b/>
        <sz val="11"/>
        <color theme="1"/>
        <rFont val="Calibri"/>
        <family val="2"/>
        <scheme val="minor"/>
      </rPr>
      <t>65001</t>
    </r>
    <r>
      <rPr>
        <sz val="11"/>
        <color theme="1"/>
        <rFont val="Calibri"/>
        <family val="2"/>
        <scheme val="minor"/>
      </rPr>
      <t xml:space="preserve"> - Exploration of Public Service Careers
</t>
    </r>
    <r>
      <rPr>
        <b/>
        <sz val="11"/>
        <color theme="1"/>
        <rFont val="Calibri"/>
        <family val="2"/>
        <scheme val="minor"/>
      </rPr>
      <t>70001</t>
    </r>
    <r>
      <rPr>
        <sz val="11"/>
        <color theme="1"/>
        <rFont val="Calibri"/>
        <family val="2"/>
        <scheme val="minor"/>
      </rPr>
      <t xml:space="preserve"> - Exploration of Transportation, Distribution, and Logistics
</t>
    </r>
    <r>
      <rPr>
        <b/>
        <sz val="11"/>
        <color theme="1"/>
        <rFont val="Calibri"/>
        <family val="2"/>
        <scheme val="minor"/>
      </rPr>
      <t>72250</t>
    </r>
    <r>
      <rPr>
        <sz val="11"/>
        <color theme="1"/>
        <rFont val="Calibri"/>
        <family val="2"/>
        <scheme val="minor"/>
      </rPr>
      <t xml:space="preserve"> - Exploratory
</t>
    </r>
    <r>
      <rPr>
        <b/>
        <sz val="11"/>
        <color theme="1"/>
        <rFont val="Calibri"/>
        <family val="2"/>
        <scheme val="minor"/>
      </rPr>
      <t>55003</t>
    </r>
    <r>
      <rPr>
        <sz val="11"/>
        <color theme="1"/>
        <rFont val="Calibri"/>
        <family val="2"/>
        <scheme val="minor"/>
      </rPr>
      <t xml:space="preserve"> - Expressive Movement
</t>
    </r>
    <r>
      <rPr>
        <b/>
        <sz val="11"/>
        <color theme="1"/>
        <rFont val="Calibri"/>
        <family val="2"/>
        <scheme val="minor"/>
      </rPr>
      <t>57015</t>
    </r>
    <r>
      <rPr>
        <sz val="11"/>
        <color theme="1"/>
        <rFont val="Calibri"/>
        <family val="2"/>
        <scheme val="minor"/>
      </rPr>
      <t xml:space="preserve"> - Faith and Lifestyle
</t>
    </r>
    <r>
      <rPr>
        <b/>
        <sz val="11"/>
        <color theme="1"/>
        <rFont val="Calibri"/>
        <family val="2"/>
        <scheme val="minor"/>
      </rPr>
      <t>72201</t>
    </r>
    <r>
      <rPr>
        <sz val="11"/>
        <color theme="1"/>
        <rFont val="Calibri"/>
        <family val="2"/>
        <scheme val="minor"/>
      </rPr>
      <t xml:space="preserve"> - Family and Consumer Science-Comprehensive
</t>
    </r>
    <r>
      <rPr>
        <b/>
        <sz val="11"/>
        <color theme="1"/>
        <rFont val="Calibri"/>
        <family val="2"/>
        <scheme val="minor"/>
      </rPr>
      <t>72249</t>
    </r>
    <r>
      <rPr>
        <sz val="11"/>
        <color theme="1"/>
        <rFont val="Calibri"/>
        <family val="2"/>
        <scheme val="minor"/>
      </rPr>
      <t xml:space="preserve"> - Family and Consumer Science-Other
</t>
    </r>
    <r>
      <rPr>
        <b/>
        <sz val="11"/>
        <color theme="1"/>
        <rFont val="Calibri"/>
        <family val="2"/>
        <scheme val="minor"/>
      </rPr>
      <t>72208</t>
    </r>
    <r>
      <rPr>
        <sz val="11"/>
        <color theme="1"/>
        <rFont val="Calibri"/>
        <family val="2"/>
        <scheme val="minor"/>
      </rPr>
      <t xml:space="preserve"> - Family Living
</t>
    </r>
    <r>
      <rPr>
        <b/>
        <sz val="11"/>
        <color theme="1"/>
        <rFont val="Calibri"/>
        <family val="2"/>
        <scheme val="minor"/>
      </rPr>
      <t>56520</t>
    </r>
    <r>
      <rPr>
        <sz val="11"/>
        <color theme="1"/>
        <rFont val="Calibri"/>
        <family val="2"/>
        <scheme val="minor"/>
      </rPr>
      <t xml:space="preserve"> - Filipino
</t>
    </r>
    <r>
      <rPr>
        <b/>
        <sz val="11"/>
        <color theme="1"/>
        <rFont val="Calibri"/>
        <family val="2"/>
        <scheme val="minor"/>
      </rPr>
      <t>55168</t>
    </r>
    <r>
      <rPr>
        <sz val="11"/>
        <color theme="1"/>
        <rFont val="Calibri"/>
        <family val="2"/>
        <scheme val="minor"/>
      </rPr>
      <t xml:space="preserve"> - Film/Videotape
</t>
    </r>
    <r>
      <rPr>
        <b/>
        <sz val="11"/>
        <color theme="1"/>
        <rFont val="Calibri"/>
        <family val="2"/>
        <scheme val="minor"/>
      </rPr>
      <t>62147</t>
    </r>
    <r>
      <rPr>
        <sz val="11"/>
        <color theme="1"/>
        <rFont val="Calibri"/>
        <family val="2"/>
        <scheme val="minor"/>
      </rPr>
      <t xml:space="preserve"> - Finance-Independent Study
</t>
    </r>
    <r>
      <rPr>
        <b/>
        <sz val="11"/>
        <color theme="1"/>
        <rFont val="Calibri"/>
        <family val="2"/>
        <scheme val="minor"/>
      </rPr>
      <t>55997</t>
    </r>
    <r>
      <rPr>
        <sz val="11"/>
        <color theme="1"/>
        <rFont val="Calibri"/>
        <family val="2"/>
        <scheme val="minor"/>
      </rPr>
      <t xml:space="preserve"> - Fine and Performing Arts-Independent Study
</t>
    </r>
    <r>
      <rPr>
        <b/>
        <sz val="11"/>
        <color theme="1"/>
        <rFont val="Calibri"/>
        <family val="2"/>
        <scheme val="minor"/>
      </rPr>
      <t>55999</t>
    </r>
    <r>
      <rPr>
        <sz val="11"/>
        <color theme="1"/>
        <rFont val="Calibri"/>
        <family val="2"/>
        <scheme val="minor"/>
      </rPr>
      <t xml:space="preserve"> - Fine and Performing Arts-Other
</t>
    </r>
    <r>
      <rPr>
        <b/>
        <sz val="11"/>
        <color theme="1"/>
        <rFont val="Calibri"/>
        <family val="2"/>
        <scheme val="minor"/>
      </rPr>
      <t>58005</t>
    </r>
    <r>
      <rPr>
        <sz val="11"/>
        <color theme="1"/>
        <rFont val="Calibri"/>
        <family val="2"/>
        <scheme val="minor"/>
      </rPr>
      <t xml:space="preserve"> - Fitness/Conditioning Activities
</t>
    </r>
    <r>
      <rPr>
        <b/>
        <sz val="11"/>
        <color theme="1"/>
        <rFont val="Calibri"/>
        <family val="2"/>
        <scheme val="minor"/>
      </rPr>
      <t>72202</t>
    </r>
    <r>
      <rPr>
        <sz val="11"/>
        <color theme="1"/>
        <rFont val="Calibri"/>
        <family val="2"/>
        <scheme val="minor"/>
      </rPr>
      <t xml:space="preserve"> - Food and Nutrition
</t>
    </r>
    <r>
      <rPr>
        <b/>
        <sz val="11"/>
        <color theme="1"/>
        <rFont val="Calibri"/>
        <family val="2"/>
        <scheme val="minor"/>
      </rPr>
      <t>72203</t>
    </r>
    <r>
      <rPr>
        <sz val="11"/>
        <color theme="1"/>
        <rFont val="Calibri"/>
        <family val="2"/>
        <scheme val="minor"/>
      </rPr>
      <t xml:space="preserve"> - Food Science
</t>
    </r>
    <r>
      <rPr>
        <b/>
        <sz val="11"/>
        <color theme="1"/>
        <rFont val="Calibri"/>
        <family val="2"/>
        <scheme val="minor"/>
      </rPr>
      <t>56028</t>
    </r>
    <r>
      <rPr>
        <sz val="11"/>
        <color theme="1"/>
        <rFont val="Calibri"/>
        <family val="2"/>
        <scheme val="minor"/>
      </rPr>
      <t xml:space="preserve"> - Foreign Language (early childhood education)
</t>
    </r>
    <r>
      <rPr>
        <b/>
        <sz val="11"/>
        <color theme="1"/>
        <rFont val="Calibri"/>
        <family val="2"/>
        <scheme val="minor"/>
      </rPr>
      <t>56031</t>
    </r>
    <r>
      <rPr>
        <sz val="11"/>
        <color theme="1"/>
        <rFont val="Calibri"/>
        <family val="2"/>
        <scheme val="minor"/>
      </rPr>
      <t xml:space="preserve"> - Foreign Language (grade 1)
</t>
    </r>
    <r>
      <rPr>
        <b/>
        <sz val="11"/>
        <color theme="1"/>
        <rFont val="Calibri"/>
        <family val="2"/>
        <scheme val="minor"/>
      </rPr>
      <t>56032</t>
    </r>
    <r>
      <rPr>
        <sz val="11"/>
        <color theme="1"/>
        <rFont val="Calibri"/>
        <family val="2"/>
        <scheme val="minor"/>
      </rPr>
      <t xml:space="preserve"> - Foreign Language (grade 2)
</t>
    </r>
    <r>
      <rPr>
        <b/>
        <sz val="11"/>
        <color theme="1"/>
        <rFont val="Calibri"/>
        <family val="2"/>
        <scheme val="minor"/>
      </rPr>
      <t>56033</t>
    </r>
    <r>
      <rPr>
        <sz val="11"/>
        <color theme="1"/>
        <rFont val="Calibri"/>
        <family val="2"/>
        <scheme val="minor"/>
      </rPr>
      <t xml:space="preserve"> - Foreign Language (grade 3)
</t>
    </r>
    <r>
      <rPr>
        <b/>
        <sz val="11"/>
        <color theme="1"/>
        <rFont val="Calibri"/>
        <family val="2"/>
        <scheme val="minor"/>
      </rPr>
      <t>56034</t>
    </r>
    <r>
      <rPr>
        <sz val="11"/>
        <color theme="1"/>
        <rFont val="Calibri"/>
        <family val="2"/>
        <scheme val="minor"/>
      </rPr>
      <t xml:space="preserve"> - Foreign Language (grade 4)
</t>
    </r>
    <r>
      <rPr>
        <b/>
        <sz val="11"/>
        <color theme="1"/>
        <rFont val="Calibri"/>
        <family val="2"/>
        <scheme val="minor"/>
      </rPr>
      <t>56035</t>
    </r>
    <r>
      <rPr>
        <sz val="11"/>
        <color theme="1"/>
        <rFont val="Calibri"/>
        <family val="2"/>
        <scheme val="minor"/>
      </rPr>
      <t xml:space="preserve"> - Foreign Language (grade 5)
</t>
    </r>
    <r>
      <rPr>
        <b/>
        <sz val="11"/>
        <color theme="1"/>
        <rFont val="Calibri"/>
        <family val="2"/>
        <scheme val="minor"/>
      </rPr>
      <t>56036</t>
    </r>
    <r>
      <rPr>
        <sz val="11"/>
        <color theme="1"/>
        <rFont val="Calibri"/>
        <family val="2"/>
        <scheme val="minor"/>
      </rPr>
      <t xml:space="preserve"> - Foreign Language (grade 6)
</t>
    </r>
    <r>
      <rPr>
        <b/>
        <sz val="11"/>
        <color theme="1"/>
        <rFont val="Calibri"/>
        <family val="2"/>
        <scheme val="minor"/>
      </rPr>
      <t>56037</t>
    </r>
    <r>
      <rPr>
        <sz val="11"/>
        <color theme="1"/>
        <rFont val="Calibri"/>
        <family val="2"/>
        <scheme val="minor"/>
      </rPr>
      <t xml:space="preserve"> - Foreign Language (grade 7)
</t>
    </r>
    <r>
      <rPr>
        <b/>
        <sz val="11"/>
        <color theme="1"/>
        <rFont val="Calibri"/>
        <family val="2"/>
        <scheme val="minor"/>
      </rPr>
      <t>56038</t>
    </r>
    <r>
      <rPr>
        <sz val="11"/>
        <color theme="1"/>
        <rFont val="Calibri"/>
        <family val="2"/>
        <scheme val="minor"/>
      </rPr>
      <t xml:space="preserve"> - Foreign Language (grade 8)
</t>
    </r>
    <r>
      <rPr>
        <b/>
        <sz val="11"/>
        <color theme="1"/>
        <rFont val="Calibri"/>
        <family val="2"/>
        <scheme val="minor"/>
      </rPr>
      <t>56030</t>
    </r>
    <r>
      <rPr>
        <sz val="11"/>
        <color theme="1"/>
        <rFont val="Calibri"/>
        <family val="2"/>
        <scheme val="minor"/>
      </rPr>
      <t xml:space="preserve"> - Foreign Language (kindergarten)
</t>
    </r>
    <r>
      <rPr>
        <b/>
        <sz val="11"/>
        <color theme="1"/>
        <rFont val="Calibri"/>
        <family val="2"/>
        <scheme val="minor"/>
      </rPr>
      <t>56029</t>
    </r>
    <r>
      <rPr>
        <sz val="11"/>
        <color theme="1"/>
        <rFont val="Calibri"/>
        <family val="2"/>
        <scheme val="minor"/>
      </rPr>
      <t xml:space="preserve"> - Foreign Language (pre-kindergarten)
</t>
    </r>
    <r>
      <rPr>
        <b/>
        <sz val="11"/>
        <color theme="1"/>
        <rFont val="Calibri"/>
        <family val="2"/>
        <scheme val="minor"/>
      </rPr>
      <t>56039</t>
    </r>
    <r>
      <rPr>
        <sz val="11"/>
        <color theme="1"/>
        <rFont val="Calibri"/>
        <family val="2"/>
        <scheme val="minor"/>
      </rPr>
      <t xml:space="preserve"> - Foreign Language
</t>
    </r>
    <r>
      <rPr>
        <b/>
        <sz val="11"/>
        <color theme="1"/>
        <rFont val="Calibri"/>
        <family val="2"/>
        <scheme val="minor"/>
      </rPr>
      <t>56997</t>
    </r>
    <r>
      <rPr>
        <sz val="11"/>
        <color theme="1"/>
        <rFont val="Calibri"/>
        <family val="2"/>
        <scheme val="minor"/>
      </rPr>
      <t xml:space="preserve"> - Foreign Language and Literature-Independent Study
</t>
    </r>
    <r>
      <rPr>
        <b/>
        <sz val="11"/>
        <color theme="1"/>
        <rFont val="Calibri"/>
        <family val="2"/>
        <scheme val="minor"/>
      </rPr>
      <t>56999</t>
    </r>
    <r>
      <rPr>
        <sz val="11"/>
        <color theme="1"/>
        <rFont val="Calibri"/>
        <family val="2"/>
        <scheme val="minor"/>
      </rPr>
      <t xml:space="preserve"> - Foreign Language and Literature-Other
</t>
    </r>
    <r>
      <rPr>
        <b/>
        <sz val="11"/>
        <color theme="1"/>
        <rFont val="Calibri"/>
        <family val="2"/>
        <scheme val="minor"/>
      </rPr>
      <t>52047</t>
    </r>
    <r>
      <rPr>
        <sz val="11"/>
        <color theme="1"/>
        <rFont val="Calibri"/>
        <family val="2"/>
        <scheme val="minor"/>
      </rPr>
      <t xml:space="preserve"> - Foundation Math-Independent Study
</t>
    </r>
    <r>
      <rPr>
        <b/>
        <sz val="11"/>
        <color theme="1"/>
        <rFont val="Calibri"/>
        <family val="2"/>
        <scheme val="minor"/>
      </rPr>
      <t>52049</t>
    </r>
    <r>
      <rPr>
        <sz val="11"/>
        <color theme="1"/>
        <rFont val="Calibri"/>
        <family val="2"/>
        <scheme val="minor"/>
      </rPr>
      <t xml:space="preserve"> - Foundation Math-Other
</t>
    </r>
    <r>
      <rPr>
        <b/>
        <sz val="11"/>
        <color theme="1"/>
        <rFont val="Calibri"/>
        <family val="2"/>
        <scheme val="minor"/>
      </rPr>
      <t>56120</t>
    </r>
    <r>
      <rPr>
        <sz val="11"/>
        <color theme="1"/>
        <rFont val="Calibri"/>
        <family val="2"/>
        <scheme val="minor"/>
      </rPr>
      <t xml:space="preserve"> - French
</t>
    </r>
    <r>
      <rPr>
        <b/>
        <sz val="11"/>
        <color theme="1"/>
        <rFont val="Calibri"/>
        <family val="2"/>
        <scheme val="minor"/>
      </rPr>
      <t>55101</t>
    </r>
    <r>
      <rPr>
        <sz val="11"/>
        <color theme="1"/>
        <rFont val="Calibri"/>
        <family val="2"/>
        <scheme val="minor"/>
      </rPr>
      <t xml:space="preserve"> - General Band
</t>
    </r>
    <r>
      <rPr>
        <b/>
        <sz val="11"/>
        <color theme="1"/>
        <rFont val="Calibri"/>
        <family val="2"/>
        <scheme val="minor"/>
      </rPr>
      <t>52002</t>
    </r>
    <r>
      <rPr>
        <sz val="11"/>
        <color theme="1"/>
        <rFont val="Calibri"/>
        <family val="2"/>
        <scheme val="minor"/>
      </rPr>
      <t xml:space="preserve"> - General Math
</t>
    </r>
    <r>
      <rPr>
        <b/>
        <sz val="11"/>
        <color theme="1"/>
        <rFont val="Calibri"/>
        <family val="2"/>
        <scheme val="minor"/>
      </rPr>
      <t>54047</t>
    </r>
    <r>
      <rPr>
        <sz val="11"/>
        <color theme="1"/>
        <rFont val="Calibri"/>
        <family val="2"/>
        <scheme val="minor"/>
      </rPr>
      <t xml:space="preserve"> - Geography-Independent Study
</t>
    </r>
    <r>
      <rPr>
        <b/>
        <sz val="11"/>
        <color theme="1"/>
        <rFont val="Calibri"/>
        <family val="2"/>
        <scheme val="minor"/>
      </rPr>
      <t>52072</t>
    </r>
    <r>
      <rPr>
        <sz val="11"/>
        <color theme="1"/>
        <rFont val="Calibri"/>
        <family val="2"/>
        <scheme val="minor"/>
      </rPr>
      <t xml:space="preserve"> - Geometry
</t>
    </r>
    <r>
      <rPr>
        <b/>
        <sz val="11"/>
        <color theme="1"/>
        <rFont val="Calibri"/>
        <family val="2"/>
        <scheme val="minor"/>
      </rPr>
      <t>52079</t>
    </r>
    <r>
      <rPr>
        <sz val="11"/>
        <color theme="1"/>
        <rFont val="Calibri"/>
        <family val="2"/>
        <scheme val="minor"/>
      </rPr>
      <t xml:space="preserve"> - Geometry-Other
</t>
    </r>
    <r>
      <rPr>
        <b/>
        <sz val="11"/>
        <color theme="1"/>
        <rFont val="Calibri"/>
        <family val="2"/>
        <scheme val="minor"/>
      </rPr>
      <t>56200</t>
    </r>
    <r>
      <rPr>
        <sz val="11"/>
        <color theme="1"/>
        <rFont val="Calibri"/>
        <family val="2"/>
        <scheme val="minor"/>
      </rPr>
      <t xml:space="preserve"> - German
</t>
    </r>
    <r>
      <rPr>
        <b/>
        <sz val="11"/>
        <color theme="1"/>
        <rFont val="Calibri"/>
        <family val="2"/>
        <scheme val="minor"/>
      </rPr>
      <t>54197</t>
    </r>
    <r>
      <rPr>
        <sz val="11"/>
        <color theme="1"/>
        <rFont val="Calibri"/>
        <family val="2"/>
        <scheme val="minor"/>
      </rPr>
      <t xml:space="preserve"> - Government, Politics, and Law-Independent Study
</t>
    </r>
    <r>
      <rPr>
        <b/>
        <sz val="11"/>
        <color theme="1"/>
        <rFont val="Calibri"/>
        <family val="2"/>
        <scheme val="minor"/>
      </rPr>
      <t>54199</t>
    </r>
    <r>
      <rPr>
        <sz val="11"/>
        <color theme="1"/>
        <rFont val="Calibri"/>
        <family val="2"/>
        <scheme val="minor"/>
      </rPr>
      <t xml:space="preserve"> - Government, Politics, and Law-Other
</t>
    </r>
    <r>
      <rPr>
        <b/>
        <sz val="11"/>
        <color theme="1"/>
        <rFont val="Calibri"/>
        <family val="2"/>
        <scheme val="minor"/>
      </rPr>
      <t>73031</t>
    </r>
    <r>
      <rPr>
        <sz val="11"/>
        <color theme="1"/>
        <rFont val="Calibri"/>
        <family val="2"/>
        <scheme val="minor"/>
      </rPr>
      <t xml:space="preserve"> - Grade 1
</t>
    </r>
    <r>
      <rPr>
        <b/>
        <sz val="11"/>
        <color theme="1"/>
        <rFont val="Calibri"/>
        <family val="2"/>
        <scheme val="minor"/>
      </rPr>
      <t>73032</t>
    </r>
    <r>
      <rPr>
        <sz val="11"/>
        <color theme="1"/>
        <rFont val="Calibri"/>
        <family val="2"/>
        <scheme val="minor"/>
      </rPr>
      <t xml:space="preserve"> - Grade 2
</t>
    </r>
    <r>
      <rPr>
        <b/>
        <sz val="11"/>
        <color theme="1"/>
        <rFont val="Calibri"/>
        <family val="2"/>
        <scheme val="minor"/>
      </rPr>
      <t>73033</t>
    </r>
    <r>
      <rPr>
        <sz val="11"/>
        <color theme="1"/>
        <rFont val="Calibri"/>
        <family val="2"/>
        <scheme val="minor"/>
      </rPr>
      <t xml:space="preserve"> - Grade 3
</t>
    </r>
    <r>
      <rPr>
        <b/>
        <sz val="11"/>
        <color theme="1"/>
        <rFont val="Calibri"/>
        <family val="2"/>
        <scheme val="minor"/>
      </rPr>
      <t>73034</t>
    </r>
    <r>
      <rPr>
        <sz val="11"/>
        <color theme="1"/>
        <rFont val="Calibri"/>
        <family val="2"/>
        <scheme val="minor"/>
      </rPr>
      <t xml:space="preserve"> - Grade 4
</t>
    </r>
    <r>
      <rPr>
        <b/>
        <sz val="11"/>
        <color theme="1"/>
        <rFont val="Calibri"/>
        <family val="2"/>
        <scheme val="minor"/>
      </rPr>
      <t>73035</t>
    </r>
    <r>
      <rPr>
        <sz val="11"/>
        <color theme="1"/>
        <rFont val="Calibri"/>
        <family val="2"/>
        <scheme val="minor"/>
      </rPr>
      <t xml:space="preserve"> - Grade 5
</t>
    </r>
    <r>
      <rPr>
        <b/>
        <sz val="11"/>
        <color theme="1"/>
        <rFont val="Calibri"/>
        <family val="2"/>
        <scheme val="minor"/>
      </rPr>
      <t>73036</t>
    </r>
    <r>
      <rPr>
        <sz val="11"/>
        <color theme="1"/>
        <rFont val="Calibri"/>
        <family val="2"/>
        <scheme val="minor"/>
      </rPr>
      <t xml:space="preserve"> - Grade 6
</t>
    </r>
    <r>
      <rPr>
        <b/>
        <sz val="11"/>
        <color theme="1"/>
        <rFont val="Calibri"/>
        <family val="2"/>
        <scheme val="minor"/>
      </rPr>
      <t>73037</t>
    </r>
    <r>
      <rPr>
        <sz val="11"/>
        <color theme="1"/>
        <rFont val="Calibri"/>
        <family val="2"/>
        <scheme val="minor"/>
      </rPr>
      <t xml:space="preserve"> - Grade 7
</t>
    </r>
    <r>
      <rPr>
        <b/>
        <sz val="11"/>
        <color theme="1"/>
        <rFont val="Calibri"/>
        <family val="2"/>
        <scheme val="minor"/>
      </rPr>
      <t>73038</t>
    </r>
    <r>
      <rPr>
        <sz val="11"/>
        <color theme="1"/>
        <rFont val="Calibri"/>
        <family val="2"/>
        <scheme val="minor"/>
      </rPr>
      <t xml:space="preserve"> - Grade 8
</t>
    </r>
    <r>
      <rPr>
        <b/>
        <sz val="11"/>
        <color theme="1"/>
        <rFont val="Calibri"/>
        <family val="2"/>
        <scheme val="minor"/>
      </rPr>
      <t>56280</t>
    </r>
    <r>
      <rPr>
        <sz val="11"/>
        <color theme="1"/>
        <rFont val="Calibri"/>
        <family val="2"/>
        <scheme val="minor"/>
      </rPr>
      <t xml:space="preserve"> - Greek
</t>
    </r>
    <r>
      <rPr>
        <b/>
        <sz val="11"/>
        <color theme="1"/>
        <rFont val="Calibri"/>
        <family val="2"/>
        <scheme val="minor"/>
      </rPr>
      <t>58008</t>
    </r>
    <r>
      <rPr>
        <sz val="11"/>
        <color theme="1"/>
        <rFont val="Calibri"/>
        <family val="2"/>
        <scheme val="minor"/>
      </rPr>
      <t xml:space="preserve"> - Gymnastics
</t>
    </r>
    <r>
      <rPr>
        <b/>
        <sz val="11"/>
        <color theme="1"/>
        <rFont val="Calibri"/>
        <family val="2"/>
        <scheme val="minor"/>
      </rPr>
      <t>58052</t>
    </r>
    <r>
      <rPr>
        <sz val="11"/>
        <color theme="1"/>
        <rFont val="Calibri"/>
        <family val="2"/>
        <scheme val="minor"/>
      </rPr>
      <t xml:space="preserve"> - Health and Fitness
</t>
    </r>
    <r>
      <rPr>
        <b/>
        <sz val="11"/>
        <color theme="1"/>
        <rFont val="Calibri"/>
        <family val="2"/>
        <scheme val="minor"/>
      </rPr>
      <t>58057</t>
    </r>
    <r>
      <rPr>
        <sz val="11"/>
        <color theme="1"/>
        <rFont val="Calibri"/>
        <family val="2"/>
        <scheme val="minor"/>
      </rPr>
      <t xml:space="preserve"> - Health and Life Management
</t>
    </r>
    <r>
      <rPr>
        <b/>
        <sz val="11"/>
        <color theme="1"/>
        <rFont val="Calibri"/>
        <family val="2"/>
        <scheme val="minor"/>
      </rPr>
      <t>64002</t>
    </r>
    <r>
      <rPr>
        <sz val="11"/>
        <color theme="1"/>
        <rFont val="Calibri"/>
        <family val="2"/>
        <scheme val="minor"/>
      </rPr>
      <t xml:space="preserve"> - Health Care Occupations-Comprehensive
</t>
    </r>
    <r>
      <rPr>
        <b/>
        <sz val="11"/>
        <color theme="1"/>
        <rFont val="Calibri"/>
        <family val="2"/>
        <scheme val="minor"/>
      </rPr>
      <t>64997</t>
    </r>
    <r>
      <rPr>
        <sz val="11"/>
        <color theme="1"/>
        <rFont val="Calibri"/>
        <family val="2"/>
        <scheme val="minor"/>
      </rPr>
      <t xml:space="preserve"> - Health Care Sciences-Independent Study
</t>
    </r>
    <r>
      <rPr>
        <b/>
        <sz val="11"/>
        <color theme="1"/>
        <rFont val="Calibri"/>
        <family val="2"/>
        <scheme val="minor"/>
      </rPr>
      <t>64999</t>
    </r>
    <r>
      <rPr>
        <sz val="11"/>
        <color theme="1"/>
        <rFont val="Calibri"/>
        <family val="2"/>
        <scheme val="minor"/>
      </rPr>
      <t xml:space="preserve"> - Health Care Sciences-Other
</t>
    </r>
    <r>
      <rPr>
        <b/>
        <sz val="11"/>
        <color theme="1"/>
        <rFont val="Calibri"/>
        <family val="2"/>
        <scheme val="minor"/>
      </rPr>
      <t>58051</t>
    </r>
    <r>
      <rPr>
        <sz val="11"/>
        <color theme="1"/>
        <rFont val="Calibri"/>
        <family val="2"/>
        <scheme val="minor"/>
      </rPr>
      <t xml:space="preserve"> - Health Education
</t>
    </r>
    <r>
      <rPr>
        <b/>
        <sz val="11"/>
        <color theme="1"/>
        <rFont val="Calibri"/>
        <family val="2"/>
        <scheme val="minor"/>
      </rPr>
      <t>58097</t>
    </r>
    <r>
      <rPr>
        <sz val="11"/>
        <color theme="1"/>
        <rFont val="Calibri"/>
        <family val="2"/>
        <scheme val="minor"/>
      </rPr>
      <t xml:space="preserve"> - Health Education-Independent Study
</t>
    </r>
    <r>
      <rPr>
        <b/>
        <sz val="11"/>
        <color theme="1"/>
        <rFont val="Calibri"/>
        <family val="2"/>
        <scheme val="minor"/>
      </rPr>
      <t>56700</t>
    </r>
    <r>
      <rPr>
        <sz val="11"/>
        <color theme="1"/>
        <rFont val="Calibri"/>
        <family val="2"/>
        <scheme val="minor"/>
      </rPr>
      <t xml:space="preserve"> - Hebrew
</t>
    </r>
    <r>
      <rPr>
        <b/>
        <sz val="11"/>
        <color theme="1"/>
        <rFont val="Calibri"/>
        <family val="2"/>
        <scheme val="minor"/>
      </rPr>
      <t>52991</t>
    </r>
    <r>
      <rPr>
        <sz val="11"/>
        <color theme="1"/>
        <rFont val="Calibri"/>
        <family val="2"/>
        <scheme val="minor"/>
      </rPr>
      <t xml:space="preserve"> - History of Math
</t>
    </r>
    <r>
      <rPr>
        <b/>
        <sz val="11"/>
        <color theme="1"/>
        <rFont val="Calibri"/>
        <family val="2"/>
        <scheme val="minor"/>
      </rPr>
      <t>66997</t>
    </r>
    <r>
      <rPr>
        <sz val="11"/>
        <color theme="1"/>
        <rFont val="Calibri"/>
        <family val="2"/>
        <scheme val="minor"/>
      </rPr>
      <t xml:space="preserve"> - Hospitality and Tourism-Independent Study
</t>
    </r>
    <r>
      <rPr>
        <b/>
        <sz val="11"/>
        <color theme="1"/>
        <rFont val="Calibri"/>
        <family val="2"/>
        <scheme val="minor"/>
      </rPr>
      <t>66999</t>
    </r>
    <r>
      <rPr>
        <sz val="11"/>
        <color theme="1"/>
        <rFont val="Calibri"/>
        <family val="2"/>
        <scheme val="minor"/>
      </rPr>
      <t xml:space="preserve"> - Hospitality and Tourism-Other
</t>
    </r>
    <r>
      <rPr>
        <b/>
        <sz val="11"/>
        <color theme="1"/>
        <rFont val="Calibri"/>
        <family val="2"/>
        <scheme val="minor"/>
      </rPr>
      <t>69001</t>
    </r>
    <r>
      <rPr>
        <sz val="11"/>
        <color theme="1"/>
        <rFont val="Calibri"/>
        <family val="2"/>
        <scheme val="minor"/>
      </rPr>
      <t xml:space="preserve"> - Human Services Career Exploration
</t>
    </r>
    <r>
      <rPr>
        <b/>
        <sz val="11"/>
        <color theme="1"/>
        <rFont val="Calibri"/>
        <family val="2"/>
        <scheme val="minor"/>
      </rPr>
      <t>69997</t>
    </r>
    <r>
      <rPr>
        <sz val="11"/>
        <color theme="1"/>
        <rFont val="Calibri"/>
        <family val="2"/>
        <scheme val="minor"/>
      </rPr>
      <t xml:space="preserve"> - Human Services-Independent Study
</t>
    </r>
    <r>
      <rPr>
        <b/>
        <sz val="11"/>
        <color theme="1"/>
        <rFont val="Calibri"/>
        <family val="2"/>
        <scheme val="minor"/>
      </rPr>
      <t>69999</t>
    </r>
    <r>
      <rPr>
        <sz val="11"/>
        <color theme="1"/>
        <rFont val="Calibri"/>
        <family val="2"/>
        <scheme val="minor"/>
      </rPr>
      <t xml:space="preserve"> - Human Services-Other
</t>
    </r>
    <r>
      <rPr>
        <b/>
        <sz val="11"/>
        <color theme="1"/>
        <rFont val="Calibri"/>
        <family val="2"/>
        <scheme val="minor"/>
      </rPr>
      <t>55202</t>
    </r>
    <r>
      <rPr>
        <sz val="11"/>
        <color theme="1"/>
        <rFont val="Calibri"/>
        <family val="2"/>
        <scheme val="minor"/>
      </rPr>
      <t xml:space="preserve"> - IB Arts, Middle Years Program
</t>
    </r>
    <r>
      <rPr>
        <b/>
        <sz val="11"/>
        <color theme="1"/>
        <rFont val="Calibri"/>
        <family val="2"/>
        <scheme val="minor"/>
      </rPr>
      <t>54171</t>
    </r>
    <r>
      <rPr>
        <sz val="11"/>
        <color theme="1"/>
        <rFont val="Calibri"/>
        <family val="2"/>
        <scheme val="minor"/>
      </rPr>
      <t xml:space="preserve"> - IB Humanities, Middle Years Program
</t>
    </r>
    <r>
      <rPr>
        <b/>
        <sz val="11"/>
        <color theme="1"/>
        <rFont val="Calibri"/>
        <family val="2"/>
        <scheme val="minor"/>
      </rPr>
      <t>51007</t>
    </r>
    <r>
      <rPr>
        <sz val="11"/>
        <color theme="1"/>
        <rFont val="Calibri"/>
        <family val="2"/>
        <scheme val="minor"/>
      </rPr>
      <t xml:space="preserve"> - IB Language A (English), Middle Years Program
</t>
    </r>
    <r>
      <rPr>
        <b/>
        <sz val="11"/>
        <color theme="1"/>
        <rFont val="Calibri"/>
        <family val="2"/>
        <scheme val="minor"/>
      </rPr>
      <t>56821</t>
    </r>
    <r>
      <rPr>
        <sz val="11"/>
        <color theme="1"/>
        <rFont val="Calibri"/>
        <family val="2"/>
        <scheme val="minor"/>
      </rPr>
      <t xml:space="preserve"> - IB Language B (American Indian Language), Middle Years Program
</t>
    </r>
    <r>
      <rPr>
        <b/>
        <sz val="11"/>
        <color theme="1"/>
        <rFont val="Calibri"/>
        <family val="2"/>
        <scheme val="minor"/>
      </rPr>
      <t>56801</t>
    </r>
    <r>
      <rPr>
        <sz val="11"/>
        <color theme="1"/>
        <rFont val="Calibri"/>
        <family val="2"/>
        <scheme val="minor"/>
      </rPr>
      <t xml:space="preserve"> - IB Language B (American Sign Language), Middle Years Program
</t>
    </r>
    <r>
      <rPr>
        <b/>
        <sz val="11"/>
        <color theme="1"/>
        <rFont val="Calibri"/>
        <family val="2"/>
        <scheme val="minor"/>
      </rPr>
      <t>56721</t>
    </r>
    <r>
      <rPr>
        <sz val="11"/>
        <color theme="1"/>
        <rFont val="Calibri"/>
        <family val="2"/>
        <scheme val="minor"/>
      </rPr>
      <t xml:space="preserve"> - IB Language B (Arabic), Middle Years Program
</t>
    </r>
    <r>
      <rPr>
        <b/>
        <sz val="11"/>
        <color theme="1"/>
        <rFont val="Calibri"/>
        <family val="2"/>
        <scheme val="minor"/>
      </rPr>
      <t>56401</t>
    </r>
    <r>
      <rPr>
        <sz val="11"/>
        <color theme="1"/>
        <rFont val="Calibri"/>
        <family val="2"/>
        <scheme val="minor"/>
      </rPr>
      <t xml:space="preserve"> - IB Language B (Chinese), Middle Years Program
</t>
    </r>
    <r>
      <rPr>
        <b/>
        <sz val="11"/>
        <color theme="1"/>
        <rFont val="Calibri"/>
        <family val="2"/>
        <scheme val="minor"/>
      </rPr>
      <t>56521</t>
    </r>
    <r>
      <rPr>
        <sz val="11"/>
        <color theme="1"/>
        <rFont val="Calibri"/>
        <family val="2"/>
        <scheme val="minor"/>
      </rPr>
      <t xml:space="preserve"> - IB Language B (Filipino), Middle Years Program
</t>
    </r>
    <r>
      <rPr>
        <b/>
        <sz val="11"/>
        <color theme="1"/>
        <rFont val="Calibri"/>
        <family val="2"/>
        <scheme val="minor"/>
      </rPr>
      <t>56121</t>
    </r>
    <r>
      <rPr>
        <sz val="11"/>
        <color theme="1"/>
        <rFont val="Calibri"/>
        <family val="2"/>
        <scheme val="minor"/>
      </rPr>
      <t xml:space="preserve"> - IB Language B (French), Middle Years Program
</t>
    </r>
    <r>
      <rPr>
        <b/>
        <sz val="11"/>
        <color theme="1"/>
        <rFont val="Calibri"/>
        <family val="2"/>
        <scheme val="minor"/>
      </rPr>
      <t>56201</t>
    </r>
    <r>
      <rPr>
        <sz val="11"/>
        <color theme="1"/>
        <rFont val="Calibri"/>
        <family val="2"/>
        <scheme val="minor"/>
      </rPr>
      <t xml:space="preserve"> - IB Language B (German), Middle Years Program
</t>
    </r>
    <r>
      <rPr>
        <b/>
        <sz val="11"/>
        <color theme="1"/>
        <rFont val="Calibri"/>
        <family val="2"/>
        <scheme val="minor"/>
      </rPr>
      <t>56281</t>
    </r>
    <r>
      <rPr>
        <sz val="11"/>
        <color theme="1"/>
        <rFont val="Calibri"/>
        <family val="2"/>
        <scheme val="minor"/>
      </rPr>
      <t xml:space="preserve"> - IB Language B (Greek), Middle Years Program
</t>
    </r>
    <r>
      <rPr>
        <b/>
        <sz val="11"/>
        <color theme="1"/>
        <rFont val="Calibri"/>
        <family val="2"/>
        <scheme val="minor"/>
      </rPr>
      <t>56701</t>
    </r>
    <r>
      <rPr>
        <sz val="11"/>
        <color theme="1"/>
        <rFont val="Calibri"/>
        <family val="2"/>
        <scheme val="minor"/>
      </rPr>
      <t xml:space="preserve"> - IB Language B (Hebrew), Middle Years Program
</t>
    </r>
    <r>
      <rPr>
        <b/>
        <sz val="11"/>
        <color theme="1"/>
        <rFont val="Calibri"/>
        <family val="2"/>
        <scheme val="minor"/>
      </rPr>
      <t>56141</t>
    </r>
    <r>
      <rPr>
        <sz val="11"/>
        <color theme="1"/>
        <rFont val="Calibri"/>
        <family val="2"/>
        <scheme val="minor"/>
      </rPr>
      <t xml:space="preserve"> - IB Language B (Italian), Middle Years Program
</t>
    </r>
    <r>
      <rPr>
        <b/>
        <sz val="11"/>
        <color theme="1"/>
        <rFont val="Calibri"/>
        <family val="2"/>
        <scheme val="minor"/>
      </rPr>
      <t>56421</t>
    </r>
    <r>
      <rPr>
        <sz val="11"/>
        <color theme="1"/>
        <rFont val="Calibri"/>
        <family val="2"/>
        <scheme val="minor"/>
      </rPr>
      <t xml:space="preserve"> - IB Language B (Japanese), Middle Years Program
</t>
    </r>
    <r>
      <rPr>
        <b/>
        <sz val="11"/>
        <color theme="1"/>
        <rFont val="Calibri"/>
        <family val="2"/>
        <scheme val="minor"/>
      </rPr>
      <t>56441</t>
    </r>
    <r>
      <rPr>
        <sz val="11"/>
        <color theme="1"/>
        <rFont val="Calibri"/>
        <family val="2"/>
        <scheme val="minor"/>
      </rPr>
      <t xml:space="preserve"> - IB Language B (Korean), Middle Years Program
</t>
    </r>
    <r>
      <rPr>
        <b/>
        <sz val="11"/>
        <color theme="1"/>
        <rFont val="Calibri"/>
        <family val="2"/>
        <scheme val="minor"/>
      </rPr>
      <t>56161</t>
    </r>
    <r>
      <rPr>
        <sz val="11"/>
        <color theme="1"/>
        <rFont val="Calibri"/>
        <family val="2"/>
        <scheme val="minor"/>
      </rPr>
      <t xml:space="preserve"> - IB Language B (Portuguese), Middle Years Program
</t>
    </r>
    <r>
      <rPr>
        <b/>
        <sz val="11"/>
        <color theme="1"/>
        <rFont val="Calibri"/>
        <family val="2"/>
        <scheme val="minor"/>
      </rPr>
      <t>56601</t>
    </r>
    <r>
      <rPr>
        <sz val="11"/>
        <color theme="1"/>
        <rFont val="Calibri"/>
        <family val="2"/>
        <scheme val="minor"/>
      </rPr>
      <t xml:space="preserve"> - IB Language B (Russian), Middle Years Program
</t>
    </r>
    <r>
      <rPr>
        <b/>
        <sz val="11"/>
        <color theme="1"/>
        <rFont val="Calibri"/>
        <family val="2"/>
        <scheme val="minor"/>
      </rPr>
      <t>56101</t>
    </r>
    <r>
      <rPr>
        <sz val="11"/>
        <color theme="1"/>
        <rFont val="Calibri"/>
        <family val="2"/>
        <scheme val="minor"/>
      </rPr>
      <t xml:space="preserve"> - IB Language B (Spanish), Middle Years Program
</t>
    </r>
    <r>
      <rPr>
        <b/>
        <sz val="11"/>
        <color theme="1"/>
        <rFont val="Calibri"/>
        <family val="2"/>
        <scheme val="minor"/>
      </rPr>
      <t>56761</t>
    </r>
    <r>
      <rPr>
        <sz val="11"/>
        <color theme="1"/>
        <rFont val="Calibri"/>
        <family val="2"/>
        <scheme val="minor"/>
      </rPr>
      <t xml:space="preserve"> - IB Language B (Swahili), Middle Years Program
</t>
    </r>
    <r>
      <rPr>
        <b/>
        <sz val="11"/>
        <color theme="1"/>
        <rFont val="Calibri"/>
        <family val="2"/>
        <scheme val="minor"/>
      </rPr>
      <t>56501</t>
    </r>
    <r>
      <rPr>
        <sz val="11"/>
        <color theme="1"/>
        <rFont val="Calibri"/>
        <family val="2"/>
        <scheme val="minor"/>
      </rPr>
      <t xml:space="preserve"> - IB Language B (Vietnamese), Middle Years Program
</t>
    </r>
    <r>
      <rPr>
        <b/>
        <sz val="11"/>
        <color theme="1"/>
        <rFont val="Calibri"/>
        <family val="2"/>
        <scheme val="minor"/>
      </rPr>
      <t>52132</t>
    </r>
    <r>
      <rPr>
        <sz val="11"/>
        <color theme="1"/>
        <rFont val="Calibri"/>
        <family val="2"/>
        <scheme val="minor"/>
      </rPr>
      <t xml:space="preserve"> - IB Mathematics, Middle Years Program
</t>
    </r>
    <r>
      <rPr>
        <b/>
        <sz val="11"/>
        <color theme="1"/>
        <rFont val="Calibri"/>
        <family val="2"/>
        <scheme val="minor"/>
      </rPr>
      <t>72260</t>
    </r>
    <r>
      <rPr>
        <sz val="11"/>
        <color theme="1"/>
        <rFont val="Calibri"/>
        <family val="2"/>
        <scheme val="minor"/>
      </rPr>
      <t xml:space="preserve"> - IB Personal Project, Middle Years Program
</t>
    </r>
    <r>
      <rPr>
        <b/>
        <sz val="11"/>
        <color theme="1"/>
        <rFont val="Calibri"/>
        <family val="2"/>
        <scheme val="minor"/>
      </rPr>
      <t>58040</t>
    </r>
    <r>
      <rPr>
        <sz val="11"/>
        <color theme="1"/>
        <rFont val="Calibri"/>
        <family val="2"/>
        <scheme val="minor"/>
      </rPr>
      <t xml:space="preserve"> - IB Physical Education, Middle Years Program
</t>
    </r>
    <r>
      <rPr>
        <b/>
        <sz val="11"/>
        <color theme="1"/>
        <rFont val="Calibri"/>
        <family val="2"/>
        <scheme val="minor"/>
      </rPr>
      <t>73041</t>
    </r>
    <r>
      <rPr>
        <sz val="11"/>
        <color theme="1"/>
        <rFont val="Calibri"/>
        <family val="2"/>
        <scheme val="minor"/>
      </rPr>
      <t xml:space="preserve"> - IB Primary Years Program
</t>
    </r>
    <r>
      <rPr>
        <b/>
        <sz val="11"/>
        <color theme="1"/>
        <rFont val="Calibri"/>
        <family val="2"/>
        <scheme val="minor"/>
      </rPr>
      <t>53203</t>
    </r>
    <r>
      <rPr>
        <sz val="11"/>
        <color theme="1"/>
        <rFont val="Calibri"/>
        <family val="2"/>
        <scheme val="minor"/>
      </rPr>
      <t xml:space="preserve"> - IB Sciences, Middle Years Program
</t>
    </r>
    <r>
      <rPr>
        <b/>
        <sz val="11"/>
        <color theme="1"/>
        <rFont val="Calibri"/>
        <family val="2"/>
        <scheme val="minor"/>
      </rPr>
      <t>71052</t>
    </r>
    <r>
      <rPr>
        <sz val="11"/>
        <color theme="1"/>
        <rFont val="Calibri"/>
        <family val="2"/>
        <scheme val="minor"/>
      </rPr>
      <t xml:space="preserve"> - IB Technology, Middle Years Program
</t>
    </r>
    <r>
      <rPr>
        <b/>
        <sz val="11"/>
        <color theme="1"/>
        <rFont val="Calibri"/>
        <family val="2"/>
        <scheme val="minor"/>
      </rPr>
      <t>58003</t>
    </r>
    <r>
      <rPr>
        <sz val="11"/>
        <color theme="1"/>
        <rFont val="Calibri"/>
        <family val="2"/>
        <scheme val="minor"/>
      </rPr>
      <t xml:space="preserve"> - Individual/Dual Sports
</t>
    </r>
    <r>
      <rPr>
        <b/>
        <sz val="11"/>
        <color theme="1"/>
        <rFont val="Calibri"/>
        <family val="2"/>
        <scheme val="minor"/>
      </rPr>
      <t>63003</t>
    </r>
    <r>
      <rPr>
        <sz val="11"/>
        <color theme="1"/>
        <rFont val="Calibri"/>
        <family val="2"/>
        <scheme val="minor"/>
      </rPr>
      <t xml:space="preserve"> - Industrial Arts
</t>
    </r>
    <r>
      <rPr>
        <b/>
        <sz val="11"/>
        <color theme="1"/>
        <rFont val="Calibri"/>
        <family val="2"/>
        <scheme val="minor"/>
      </rPr>
      <t>52071</t>
    </r>
    <r>
      <rPr>
        <sz val="11"/>
        <color theme="1"/>
        <rFont val="Calibri"/>
        <family val="2"/>
        <scheme val="minor"/>
      </rPr>
      <t xml:space="preserve"> - Informal Geometry
</t>
    </r>
    <r>
      <rPr>
        <b/>
        <sz val="11"/>
        <color theme="1"/>
        <rFont val="Calibri"/>
        <family val="2"/>
        <scheme val="minor"/>
      </rPr>
      <t>52001</t>
    </r>
    <r>
      <rPr>
        <sz val="11"/>
        <color theme="1"/>
        <rFont val="Calibri"/>
        <family val="2"/>
        <scheme val="minor"/>
      </rPr>
      <t xml:space="preserve"> - Informal Mathematics
</t>
    </r>
    <r>
      <rPr>
        <b/>
        <sz val="11"/>
        <color theme="1"/>
        <rFont val="Calibri"/>
        <family val="2"/>
        <scheme val="minor"/>
      </rPr>
      <t>55106</t>
    </r>
    <r>
      <rPr>
        <sz val="11"/>
        <color theme="1"/>
        <rFont val="Calibri"/>
        <family val="2"/>
        <scheme val="minor"/>
      </rPr>
      <t xml:space="preserve"> - Instrumental Ensembles
</t>
    </r>
    <r>
      <rPr>
        <b/>
        <sz val="11"/>
        <color theme="1"/>
        <rFont val="Calibri"/>
        <family val="2"/>
        <scheme val="minor"/>
      </rPr>
      <t>55201</t>
    </r>
    <r>
      <rPr>
        <sz val="11"/>
        <color theme="1"/>
        <rFont val="Calibri"/>
        <family val="2"/>
        <scheme val="minor"/>
      </rPr>
      <t xml:space="preserve"> - Integrated Fine Arts
</t>
    </r>
    <r>
      <rPr>
        <b/>
        <sz val="11"/>
        <color theme="1"/>
        <rFont val="Calibri"/>
        <family val="2"/>
        <scheme val="minor"/>
      </rPr>
      <t>52061</t>
    </r>
    <r>
      <rPr>
        <sz val="11"/>
        <color theme="1"/>
        <rFont val="Calibri"/>
        <family val="2"/>
        <scheme val="minor"/>
      </rPr>
      <t xml:space="preserve"> - Integrated Math-Multiyear Equivalent
</t>
    </r>
    <r>
      <rPr>
        <b/>
        <sz val="11"/>
        <color theme="1"/>
        <rFont val="Calibri"/>
        <family val="2"/>
        <scheme val="minor"/>
      </rPr>
      <t>53201</t>
    </r>
    <r>
      <rPr>
        <sz val="11"/>
        <color theme="1"/>
        <rFont val="Calibri"/>
        <family val="2"/>
        <scheme val="minor"/>
      </rPr>
      <t xml:space="preserve"> - Integrated Science
</t>
    </r>
    <r>
      <rPr>
        <b/>
        <sz val="11"/>
        <color theme="1"/>
        <rFont val="Calibri"/>
        <family val="2"/>
        <scheme val="minor"/>
      </rPr>
      <t>60203</t>
    </r>
    <r>
      <rPr>
        <sz val="11"/>
        <color theme="1"/>
        <rFont val="Calibri"/>
        <family val="2"/>
        <scheme val="minor"/>
      </rPr>
      <t xml:space="preserve"> - Interactive Media
</t>
    </r>
    <r>
      <rPr>
        <b/>
        <sz val="11"/>
        <color theme="1"/>
        <rFont val="Calibri"/>
        <family val="2"/>
        <scheme val="minor"/>
      </rPr>
      <t>68001</t>
    </r>
    <r>
      <rPr>
        <sz val="11"/>
        <color theme="1"/>
        <rFont val="Calibri"/>
        <family val="2"/>
        <scheme val="minor"/>
      </rPr>
      <t xml:space="preserve"> - Introduction to Agriculture and Natural Resources
</t>
    </r>
    <r>
      <rPr>
        <b/>
        <sz val="11"/>
        <color theme="1"/>
        <rFont val="Calibri"/>
        <family val="2"/>
        <scheme val="minor"/>
      </rPr>
      <t>61001</t>
    </r>
    <r>
      <rPr>
        <sz val="11"/>
        <color theme="1"/>
        <rFont val="Calibri"/>
        <family val="2"/>
        <scheme val="minor"/>
      </rPr>
      <t xml:space="preserve"> - Introduction to Communication
</t>
    </r>
    <r>
      <rPr>
        <b/>
        <sz val="11"/>
        <color theme="1"/>
        <rFont val="Calibri"/>
        <family val="2"/>
        <scheme val="minor"/>
      </rPr>
      <t>60001</t>
    </r>
    <r>
      <rPr>
        <sz val="11"/>
        <color theme="1"/>
        <rFont val="Calibri"/>
        <family val="2"/>
        <scheme val="minor"/>
      </rPr>
      <t xml:space="preserve"> - Introduction to Computers
</t>
    </r>
    <r>
      <rPr>
        <b/>
        <sz val="11"/>
        <color theme="1"/>
        <rFont val="Calibri"/>
        <family val="2"/>
        <scheme val="minor"/>
      </rPr>
      <t>55051</t>
    </r>
    <r>
      <rPr>
        <sz val="11"/>
        <color theme="1"/>
        <rFont val="Calibri"/>
        <family val="2"/>
        <scheme val="minor"/>
      </rPr>
      <t xml:space="preserve"> - Introduction to the Theater
</t>
    </r>
    <r>
      <rPr>
        <b/>
        <sz val="11"/>
        <color theme="1"/>
        <rFont val="Calibri"/>
        <family val="2"/>
        <scheme val="minor"/>
      </rPr>
      <t>62051</t>
    </r>
    <r>
      <rPr>
        <sz val="11"/>
        <color theme="1"/>
        <rFont val="Calibri"/>
        <family val="2"/>
        <scheme val="minor"/>
      </rPr>
      <t xml:space="preserve"> - Introductory Business
</t>
    </r>
    <r>
      <rPr>
        <b/>
        <sz val="11"/>
        <color theme="1"/>
        <rFont val="Calibri"/>
        <family val="2"/>
        <scheme val="minor"/>
      </rPr>
      <t>56140</t>
    </r>
    <r>
      <rPr>
        <sz val="11"/>
        <color theme="1"/>
        <rFont val="Calibri"/>
        <family val="2"/>
        <scheme val="minor"/>
      </rPr>
      <t xml:space="preserve"> - Italian
</t>
    </r>
    <r>
      <rPr>
        <b/>
        <sz val="11"/>
        <color theme="1"/>
        <rFont val="Calibri"/>
        <family val="2"/>
        <scheme val="minor"/>
      </rPr>
      <t>56420</t>
    </r>
    <r>
      <rPr>
        <sz val="11"/>
        <color theme="1"/>
        <rFont val="Calibri"/>
        <family val="2"/>
        <scheme val="minor"/>
      </rPr>
      <t xml:space="preserve"> - Japanese
</t>
    </r>
    <r>
      <rPr>
        <b/>
        <sz val="11"/>
        <color theme="1"/>
        <rFont val="Calibri"/>
        <family val="2"/>
        <scheme val="minor"/>
      </rPr>
      <t>61101</t>
    </r>
    <r>
      <rPr>
        <sz val="11"/>
        <color theme="1"/>
        <rFont val="Calibri"/>
        <family val="2"/>
        <scheme val="minor"/>
      </rPr>
      <t xml:space="preserve"> - Journalism
</t>
    </r>
    <r>
      <rPr>
        <b/>
        <sz val="11"/>
        <color theme="1"/>
        <rFont val="Calibri"/>
        <family val="2"/>
        <scheme val="minor"/>
      </rPr>
      <t>61147</t>
    </r>
    <r>
      <rPr>
        <sz val="11"/>
        <color theme="1"/>
        <rFont val="Calibri"/>
        <family val="2"/>
        <scheme val="minor"/>
      </rPr>
      <t xml:space="preserve"> - Journalism and Broadcasting-Independent Study
</t>
    </r>
    <r>
      <rPr>
        <b/>
        <sz val="11"/>
        <color theme="1"/>
        <rFont val="Calibri"/>
        <family val="2"/>
        <scheme val="minor"/>
      </rPr>
      <t>61149</t>
    </r>
    <r>
      <rPr>
        <sz val="11"/>
        <color theme="1"/>
        <rFont val="Calibri"/>
        <family val="2"/>
        <scheme val="minor"/>
      </rPr>
      <t xml:space="preserve"> - Journalism and Broadcasting-Other
</t>
    </r>
    <r>
      <rPr>
        <b/>
        <sz val="11"/>
        <color theme="1"/>
        <rFont val="Calibri"/>
        <family val="2"/>
        <scheme val="minor"/>
      </rPr>
      <t>62005</t>
    </r>
    <r>
      <rPr>
        <sz val="11"/>
        <color theme="1"/>
        <rFont val="Calibri"/>
        <family val="2"/>
        <scheme val="minor"/>
      </rPr>
      <t xml:space="preserve"> - Keyboarding
</t>
    </r>
    <r>
      <rPr>
        <b/>
        <sz val="11"/>
        <color theme="1"/>
        <rFont val="Calibri"/>
        <family val="2"/>
        <scheme val="minor"/>
      </rPr>
      <t>73030</t>
    </r>
    <r>
      <rPr>
        <sz val="11"/>
        <color theme="1"/>
        <rFont val="Calibri"/>
        <family val="2"/>
        <scheme val="minor"/>
      </rPr>
      <t xml:space="preserve"> - Kindergarten
</t>
    </r>
    <r>
      <rPr>
        <b/>
        <sz val="11"/>
        <color theme="1"/>
        <rFont val="Calibri"/>
        <family val="2"/>
        <scheme val="minor"/>
      </rPr>
      <t>56440</t>
    </r>
    <r>
      <rPr>
        <sz val="11"/>
        <color theme="1"/>
        <rFont val="Calibri"/>
        <family val="2"/>
        <scheme val="minor"/>
      </rPr>
      <t xml:space="preserve"> - Korean
</t>
    </r>
    <r>
      <rPr>
        <b/>
        <sz val="11"/>
        <color theme="1"/>
        <rFont val="Calibri"/>
        <family val="2"/>
        <scheme val="minor"/>
      </rPr>
      <t>51026</t>
    </r>
    <r>
      <rPr>
        <sz val="11"/>
        <color theme="1"/>
        <rFont val="Calibri"/>
        <family val="2"/>
        <scheme val="minor"/>
      </rPr>
      <t xml:space="preserve"> - Language Arts (early childhood education)
</t>
    </r>
    <r>
      <rPr>
        <b/>
        <sz val="11"/>
        <color theme="1"/>
        <rFont val="Calibri"/>
        <family val="2"/>
        <scheme val="minor"/>
      </rPr>
      <t>51029</t>
    </r>
    <r>
      <rPr>
        <sz val="11"/>
        <color theme="1"/>
        <rFont val="Calibri"/>
        <family val="2"/>
        <scheme val="minor"/>
      </rPr>
      <t xml:space="preserve"> - Language Arts (grade 1)
</t>
    </r>
    <r>
      <rPr>
        <b/>
        <sz val="11"/>
        <color theme="1"/>
        <rFont val="Calibri"/>
        <family val="2"/>
        <scheme val="minor"/>
      </rPr>
      <t>51030</t>
    </r>
    <r>
      <rPr>
        <sz val="11"/>
        <color theme="1"/>
        <rFont val="Calibri"/>
        <family val="2"/>
        <scheme val="minor"/>
      </rPr>
      <t xml:space="preserve"> - Language Arts (grade 2)
</t>
    </r>
    <r>
      <rPr>
        <b/>
        <sz val="11"/>
        <color theme="1"/>
        <rFont val="Calibri"/>
        <family val="2"/>
        <scheme val="minor"/>
      </rPr>
      <t>51031</t>
    </r>
    <r>
      <rPr>
        <sz val="11"/>
        <color theme="1"/>
        <rFont val="Calibri"/>
        <family val="2"/>
        <scheme val="minor"/>
      </rPr>
      <t xml:space="preserve"> - Language Arts (grade 3)
</t>
    </r>
    <r>
      <rPr>
        <b/>
        <sz val="11"/>
        <color theme="1"/>
        <rFont val="Calibri"/>
        <family val="2"/>
        <scheme val="minor"/>
      </rPr>
      <t>51032</t>
    </r>
    <r>
      <rPr>
        <sz val="11"/>
        <color theme="1"/>
        <rFont val="Calibri"/>
        <family val="2"/>
        <scheme val="minor"/>
      </rPr>
      <t xml:space="preserve"> - Language Arts (grade 4)
</t>
    </r>
    <r>
      <rPr>
        <b/>
        <sz val="11"/>
        <color theme="1"/>
        <rFont val="Calibri"/>
        <family val="2"/>
        <scheme val="minor"/>
      </rPr>
      <t>51033</t>
    </r>
    <r>
      <rPr>
        <sz val="11"/>
        <color theme="1"/>
        <rFont val="Calibri"/>
        <family val="2"/>
        <scheme val="minor"/>
      </rPr>
      <t xml:space="preserve"> - Language Arts (grade 5)
</t>
    </r>
    <r>
      <rPr>
        <b/>
        <sz val="11"/>
        <color theme="1"/>
        <rFont val="Calibri"/>
        <family val="2"/>
        <scheme val="minor"/>
      </rPr>
      <t>51034</t>
    </r>
    <r>
      <rPr>
        <sz val="11"/>
        <color theme="1"/>
        <rFont val="Calibri"/>
        <family val="2"/>
        <scheme val="minor"/>
      </rPr>
      <t xml:space="preserve"> - Language Arts (grade 6)
</t>
    </r>
    <r>
      <rPr>
        <b/>
        <sz val="11"/>
        <color theme="1"/>
        <rFont val="Calibri"/>
        <family val="2"/>
        <scheme val="minor"/>
      </rPr>
      <t>51035</t>
    </r>
    <r>
      <rPr>
        <sz val="11"/>
        <color theme="1"/>
        <rFont val="Calibri"/>
        <family val="2"/>
        <scheme val="minor"/>
      </rPr>
      <t xml:space="preserve"> - Language Arts (grade 7)
</t>
    </r>
    <r>
      <rPr>
        <b/>
        <sz val="11"/>
        <color theme="1"/>
        <rFont val="Calibri"/>
        <family val="2"/>
        <scheme val="minor"/>
      </rPr>
      <t>51036</t>
    </r>
    <r>
      <rPr>
        <sz val="11"/>
        <color theme="1"/>
        <rFont val="Calibri"/>
        <family val="2"/>
        <scheme val="minor"/>
      </rPr>
      <t xml:space="preserve"> - Language Arts (grade 8)
</t>
    </r>
    <r>
      <rPr>
        <b/>
        <sz val="11"/>
        <color theme="1"/>
        <rFont val="Calibri"/>
        <family val="2"/>
        <scheme val="minor"/>
      </rPr>
      <t>51028</t>
    </r>
    <r>
      <rPr>
        <sz val="11"/>
        <color theme="1"/>
        <rFont val="Calibri"/>
        <family val="2"/>
        <scheme val="minor"/>
      </rPr>
      <t xml:space="preserve"> - Language Arts (kindergarten)
</t>
    </r>
    <r>
      <rPr>
        <b/>
        <sz val="11"/>
        <color theme="1"/>
        <rFont val="Calibri"/>
        <family val="2"/>
        <scheme val="minor"/>
      </rPr>
      <t>51027</t>
    </r>
    <r>
      <rPr>
        <sz val="11"/>
        <color theme="1"/>
        <rFont val="Calibri"/>
        <family val="2"/>
        <scheme val="minor"/>
      </rPr>
      <t xml:space="preserve"> - Language Arts (pre-kindergarten)
</t>
    </r>
    <r>
      <rPr>
        <b/>
        <sz val="11"/>
        <color theme="1"/>
        <rFont val="Calibri"/>
        <family val="2"/>
        <scheme val="minor"/>
      </rPr>
      <t>51037</t>
    </r>
    <r>
      <rPr>
        <sz val="11"/>
        <color theme="1"/>
        <rFont val="Calibri"/>
        <family val="2"/>
        <scheme val="minor"/>
      </rPr>
      <t xml:space="preserve"> - Language Arts
</t>
    </r>
    <r>
      <rPr>
        <b/>
        <sz val="11"/>
        <color theme="1"/>
        <rFont val="Calibri"/>
        <family val="2"/>
        <scheme val="minor"/>
      </rPr>
      <t>51009</t>
    </r>
    <r>
      <rPr>
        <sz val="11"/>
        <color theme="1"/>
        <rFont val="Calibri"/>
        <family val="2"/>
        <scheme val="minor"/>
      </rPr>
      <t xml:space="preserve"> - Language Arts Laboratory
</t>
    </r>
    <r>
      <rPr>
        <b/>
        <sz val="11"/>
        <color theme="1"/>
        <rFont val="Calibri"/>
        <family val="2"/>
        <scheme val="minor"/>
      </rPr>
      <t>51991</t>
    </r>
    <r>
      <rPr>
        <sz val="11"/>
        <color theme="1"/>
        <rFont val="Calibri"/>
        <family val="2"/>
        <scheme val="minor"/>
      </rPr>
      <t xml:space="preserve"> - Language Arts Laboratory
</t>
    </r>
    <r>
      <rPr>
        <b/>
        <sz val="11"/>
        <color theme="1"/>
        <rFont val="Calibri"/>
        <family val="2"/>
        <scheme val="minor"/>
      </rPr>
      <t>56300</t>
    </r>
    <r>
      <rPr>
        <sz val="11"/>
        <color theme="1"/>
        <rFont val="Calibri"/>
        <family val="2"/>
        <scheme val="minor"/>
      </rPr>
      <t xml:space="preserve"> - Latin
</t>
    </r>
    <r>
      <rPr>
        <b/>
        <sz val="11"/>
        <color theme="1"/>
        <rFont val="Calibri"/>
        <family val="2"/>
        <scheme val="minor"/>
      </rPr>
      <t>72101</t>
    </r>
    <r>
      <rPr>
        <sz val="11"/>
        <color theme="1"/>
        <rFont val="Calibri"/>
        <family val="2"/>
        <scheme val="minor"/>
      </rPr>
      <t xml:space="preserve"> - Leadership
</t>
    </r>
    <r>
      <rPr>
        <b/>
        <sz val="11"/>
        <color theme="1"/>
        <rFont val="Calibri"/>
        <family val="2"/>
        <scheme val="minor"/>
      </rPr>
      <t>53997</t>
    </r>
    <r>
      <rPr>
        <sz val="11"/>
        <color theme="1"/>
        <rFont val="Calibri"/>
        <family val="2"/>
        <scheme val="minor"/>
      </rPr>
      <t xml:space="preserve"> - Life and Physical Sciences-Independent Study
</t>
    </r>
    <r>
      <rPr>
        <b/>
        <sz val="11"/>
        <color theme="1"/>
        <rFont val="Calibri"/>
        <family val="2"/>
        <scheme val="minor"/>
      </rPr>
      <t>53999</t>
    </r>
    <r>
      <rPr>
        <sz val="11"/>
        <color theme="1"/>
        <rFont val="Calibri"/>
        <family val="2"/>
        <scheme val="minor"/>
      </rPr>
      <t xml:space="preserve"> - Life and Physical Sciences-Other
</t>
    </r>
    <r>
      <rPr>
        <b/>
        <sz val="11"/>
        <color theme="1"/>
        <rFont val="Calibri"/>
        <family val="2"/>
        <scheme val="minor"/>
      </rPr>
      <t>53994</t>
    </r>
    <r>
      <rPr>
        <sz val="11"/>
        <color theme="1"/>
        <rFont val="Calibri"/>
        <family val="2"/>
        <scheme val="minor"/>
      </rPr>
      <t xml:space="preserve"> - Life and Physical Sciences-Proficiency Development
</t>
    </r>
    <r>
      <rPr>
        <b/>
        <sz val="11"/>
        <color theme="1"/>
        <rFont val="Calibri"/>
        <family val="2"/>
        <scheme val="minor"/>
      </rPr>
      <t>53996</t>
    </r>
    <r>
      <rPr>
        <sz val="11"/>
        <color theme="1"/>
        <rFont val="Calibri"/>
        <family val="2"/>
        <scheme val="minor"/>
      </rPr>
      <t xml:space="preserve"> - Life and Physical Sciences-Supplemental
</t>
    </r>
    <r>
      <rPr>
        <b/>
        <sz val="11"/>
        <color theme="1"/>
        <rFont val="Calibri"/>
        <family val="2"/>
        <scheme val="minor"/>
      </rPr>
      <t>53158</t>
    </r>
    <r>
      <rPr>
        <sz val="11"/>
        <color theme="1"/>
        <rFont val="Calibri"/>
        <family val="2"/>
        <scheme val="minor"/>
      </rPr>
      <t xml:space="preserve"> - Life Science
</t>
    </r>
    <r>
      <rPr>
        <b/>
        <sz val="11"/>
        <color theme="1"/>
        <rFont val="Calibri"/>
        <family val="2"/>
        <scheme val="minor"/>
      </rPr>
      <t>72206</t>
    </r>
    <r>
      <rPr>
        <sz val="11"/>
        <color theme="1"/>
        <rFont val="Calibri"/>
        <family val="2"/>
        <scheme val="minor"/>
      </rPr>
      <t xml:space="preserve"> - Life Skills
</t>
    </r>
    <r>
      <rPr>
        <b/>
        <sz val="11"/>
        <color theme="1"/>
        <rFont val="Calibri"/>
        <family val="2"/>
        <scheme val="minor"/>
      </rPr>
      <t>58016</t>
    </r>
    <r>
      <rPr>
        <sz val="11"/>
        <color theme="1"/>
        <rFont val="Calibri"/>
        <family val="2"/>
        <scheme val="minor"/>
      </rPr>
      <t xml:space="preserve"> - Lifetime Fitness Education
</t>
    </r>
    <r>
      <rPr>
        <b/>
        <sz val="11"/>
        <color theme="1"/>
        <rFont val="Calibri"/>
        <family val="2"/>
        <scheme val="minor"/>
      </rPr>
      <t>51053</t>
    </r>
    <r>
      <rPr>
        <sz val="11"/>
        <color theme="1"/>
        <rFont val="Calibri"/>
        <family val="2"/>
        <scheme val="minor"/>
      </rPr>
      <t xml:space="preserve"> - Literature
</t>
    </r>
    <r>
      <rPr>
        <b/>
        <sz val="11"/>
        <color theme="1"/>
        <rFont val="Calibri"/>
        <family val="2"/>
        <scheme val="minor"/>
      </rPr>
      <t>51097</t>
    </r>
    <r>
      <rPr>
        <sz val="11"/>
        <color theme="1"/>
        <rFont val="Calibri"/>
        <family val="2"/>
        <scheme val="minor"/>
      </rPr>
      <t xml:space="preserve"> - Literature-Independent Study
</t>
    </r>
    <r>
      <rPr>
        <b/>
        <sz val="11"/>
        <color theme="1"/>
        <rFont val="Calibri"/>
        <family val="2"/>
        <scheme val="minor"/>
      </rPr>
      <t>51099</t>
    </r>
    <r>
      <rPr>
        <sz val="11"/>
        <color theme="1"/>
        <rFont val="Calibri"/>
        <family val="2"/>
        <scheme val="minor"/>
      </rPr>
      <t xml:space="preserve"> - Literature-Other
</t>
    </r>
    <r>
      <rPr>
        <b/>
        <sz val="11"/>
        <color theme="1"/>
        <rFont val="Calibri"/>
        <family val="2"/>
        <scheme val="minor"/>
      </rPr>
      <t>62097</t>
    </r>
    <r>
      <rPr>
        <sz val="11"/>
        <color theme="1"/>
        <rFont val="Calibri"/>
        <family val="2"/>
        <scheme val="minor"/>
      </rPr>
      <t xml:space="preserve"> - Management-Independent Study
</t>
    </r>
    <r>
      <rPr>
        <b/>
        <sz val="11"/>
        <color theme="1"/>
        <rFont val="Calibri"/>
        <family val="2"/>
        <scheme val="minor"/>
      </rPr>
      <t>63997</t>
    </r>
    <r>
      <rPr>
        <sz val="11"/>
        <color theme="1"/>
        <rFont val="Calibri"/>
        <family val="2"/>
        <scheme val="minor"/>
      </rPr>
      <t xml:space="preserve"> - Manufacturing-Independent Study
</t>
    </r>
    <r>
      <rPr>
        <b/>
        <sz val="11"/>
        <color theme="1"/>
        <rFont val="Calibri"/>
        <family val="2"/>
        <scheme val="minor"/>
      </rPr>
      <t>63999</t>
    </r>
    <r>
      <rPr>
        <sz val="11"/>
        <color theme="1"/>
        <rFont val="Calibri"/>
        <family val="2"/>
        <scheme val="minor"/>
      </rPr>
      <t xml:space="preserve"> - Manufacturing-Other
</t>
    </r>
    <r>
      <rPr>
        <b/>
        <sz val="11"/>
        <color theme="1"/>
        <rFont val="Calibri"/>
        <family val="2"/>
        <scheme val="minor"/>
      </rPr>
      <t>55103</t>
    </r>
    <r>
      <rPr>
        <sz val="11"/>
        <color theme="1"/>
        <rFont val="Calibri"/>
        <family val="2"/>
        <scheme val="minor"/>
      </rPr>
      <t xml:space="preserve"> - Marching Band
</t>
    </r>
    <r>
      <rPr>
        <b/>
        <sz val="11"/>
        <color theme="1"/>
        <rFont val="Calibri"/>
        <family val="2"/>
        <scheme val="minor"/>
      </rPr>
      <t>62151</t>
    </r>
    <r>
      <rPr>
        <sz val="11"/>
        <color theme="1"/>
        <rFont val="Calibri"/>
        <family val="2"/>
        <scheme val="minor"/>
      </rPr>
      <t xml:space="preserve"> - Marketing Career Exploration
</t>
    </r>
    <r>
      <rPr>
        <b/>
        <sz val="11"/>
        <color theme="1"/>
        <rFont val="Calibri"/>
        <family val="2"/>
        <scheme val="minor"/>
      </rPr>
      <t>62152</t>
    </r>
    <r>
      <rPr>
        <sz val="11"/>
        <color theme="1"/>
        <rFont val="Calibri"/>
        <family val="2"/>
        <scheme val="minor"/>
      </rPr>
      <t xml:space="preserve"> - Marketing-Comprehensive
</t>
    </r>
    <r>
      <rPr>
        <b/>
        <sz val="11"/>
        <color theme="1"/>
        <rFont val="Calibri"/>
        <family val="2"/>
        <scheme val="minor"/>
      </rPr>
      <t>62197</t>
    </r>
    <r>
      <rPr>
        <sz val="11"/>
        <color theme="1"/>
        <rFont val="Calibri"/>
        <family val="2"/>
        <scheme val="minor"/>
      </rPr>
      <t xml:space="preserve"> - Marketing-Independent Study
</t>
    </r>
    <r>
      <rPr>
        <b/>
        <sz val="11"/>
        <color theme="1"/>
        <rFont val="Calibri"/>
        <family val="2"/>
        <scheme val="minor"/>
      </rPr>
      <t>63052</t>
    </r>
    <r>
      <rPr>
        <sz val="11"/>
        <color theme="1"/>
        <rFont val="Calibri"/>
        <family val="2"/>
        <scheme val="minor"/>
      </rPr>
      <t xml:space="preserve"> - Material and Processes
</t>
    </r>
    <r>
      <rPr>
        <b/>
        <sz val="11"/>
        <color theme="1"/>
        <rFont val="Calibri"/>
        <family val="2"/>
        <scheme val="minor"/>
      </rPr>
      <t>52028</t>
    </r>
    <r>
      <rPr>
        <sz val="11"/>
        <color theme="1"/>
        <rFont val="Calibri"/>
        <family val="2"/>
        <scheme val="minor"/>
      </rPr>
      <t xml:space="preserve"> - Mathematics (early childhood education)
</t>
    </r>
    <r>
      <rPr>
        <b/>
        <sz val="11"/>
        <color theme="1"/>
        <rFont val="Calibri"/>
        <family val="2"/>
        <scheme val="minor"/>
      </rPr>
      <t>52031</t>
    </r>
    <r>
      <rPr>
        <sz val="11"/>
        <color theme="1"/>
        <rFont val="Calibri"/>
        <family val="2"/>
        <scheme val="minor"/>
      </rPr>
      <t xml:space="preserve"> - Mathematics (grade 1)
</t>
    </r>
    <r>
      <rPr>
        <b/>
        <sz val="11"/>
        <color theme="1"/>
        <rFont val="Calibri"/>
        <family val="2"/>
        <scheme val="minor"/>
      </rPr>
      <t>52032</t>
    </r>
    <r>
      <rPr>
        <sz val="11"/>
        <color theme="1"/>
        <rFont val="Calibri"/>
        <family val="2"/>
        <scheme val="minor"/>
      </rPr>
      <t xml:space="preserve"> - Mathematics (grade 2)
</t>
    </r>
    <r>
      <rPr>
        <b/>
        <sz val="11"/>
        <color theme="1"/>
        <rFont val="Calibri"/>
        <family val="2"/>
        <scheme val="minor"/>
      </rPr>
      <t>52033</t>
    </r>
    <r>
      <rPr>
        <sz val="11"/>
        <color theme="1"/>
        <rFont val="Calibri"/>
        <family val="2"/>
        <scheme val="minor"/>
      </rPr>
      <t xml:space="preserve"> - Mathematics (grade 3)
</t>
    </r>
    <r>
      <rPr>
        <b/>
        <sz val="11"/>
        <color theme="1"/>
        <rFont val="Calibri"/>
        <family val="2"/>
        <scheme val="minor"/>
      </rPr>
      <t>52034</t>
    </r>
    <r>
      <rPr>
        <sz val="11"/>
        <color theme="1"/>
        <rFont val="Calibri"/>
        <family val="2"/>
        <scheme val="minor"/>
      </rPr>
      <t xml:space="preserve"> - Mathematics (grade 4)
</t>
    </r>
    <r>
      <rPr>
        <b/>
        <sz val="11"/>
        <color theme="1"/>
        <rFont val="Calibri"/>
        <family val="2"/>
        <scheme val="minor"/>
      </rPr>
      <t>52035</t>
    </r>
    <r>
      <rPr>
        <sz val="11"/>
        <color theme="1"/>
        <rFont val="Calibri"/>
        <family val="2"/>
        <scheme val="minor"/>
      </rPr>
      <t xml:space="preserve"> - Mathematics (grade 5)
</t>
    </r>
    <r>
      <rPr>
        <b/>
        <sz val="11"/>
        <color theme="1"/>
        <rFont val="Calibri"/>
        <family val="2"/>
        <scheme val="minor"/>
      </rPr>
      <t>52036</t>
    </r>
    <r>
      <rPr>
        <sz val="11"/>
        <color theme="1"/>
        <rFont val="Calibri"/>
        <family val="2"/>
        <scheme val="minor"/>
      </rPr>
      <t xml:space="preserve"> - Mathematics (grade 6)
</t>
    </r>
    <r>
      <rPr>
        <b/>
        <sz val="11"/>
        <color theme="1"/>
        <rFont val="Calibri"/>
        <family val="2"/>
        <scheme val="minor"/>
      </rPr>
      <t>52037</t>
    </r>
    <r>
      <rPr>
        <sz val="11"/>
        <color theme="1"/>
        <rFont val="Calibri"/>
        <family val="2"/>
        <scheme val="minor"/>
      </rPr>
      <t xml:space="preserve"> - Mathematics (grade 7)
</t>
    </r>
    <r>
      <rPr>
        <b/>
        <sz val="11"/>
        <color theme="1"/>
        <rFont val="Calibri"/>
        <family val="2"/>
        <scheme val="minor"/>
      </rPr>
      <t>52038</t>
    </r>
    <r>
      <rPr>
        <sz val="11"/>
        <color theme="1"/>
        <rFont val="Calibri"/>
        <family val="2"/>
        <scheme val="minor"/>
      </rPr>
      <t xml:space="preserve"> - Mathematics (grade 8)
</t>
    </r>
    <r>
      <rPr>
        <b/>
        <sz val="11"/>
        <color theme="1"/>
        <rFont val="Calibri"/>
        <family val="2"/>
        <scheme val="minor"/>
      </rPr>
      <t>52030</t>
    </r>
    <r>
      <rPr>
        <sz val="11"/>
        <color theme="1"/>
        <rFont val="Calibri"/>
        <family val="2"/>
        <scheme val="minor"/>
      </rPr>
      <t xml:space="preserve"> - Mathematics (kindergarten)
</t>
    </r>
    <r>
      <rPr>
        <b/>
        <sz val="11"/>
        <color theme="1"/>
        <rFont val="Calibri"/>
        <family val="2"/>
        <scheme val="minor"/>
      </rPr>
      <t>52029</t>
    </r>
    <r>
      <rPr>
        <sz val="11"/>
        <color theme="1"/>
        <rFont val="Calibri"/>
        <family val="2"/>
        <scheme val="minor"/>
      </rPr>
      <t xml:space="preserve"> - Mathematics (pre-kindergarten)
</t>
    </r>
    <r>
      <rPr>
        <b/>
        <sz val="11"/>
        <color theme="1"/>
        <rFont val="Calibri"/>
        <family val="2"/>
        <scheme val="minor"/>
      </rPr>
      <t>52039</t>
    </r>
    <r>
      <rPr>
        <sz val="11"/>
        <color theme="1"/>
        <rFont val="Calibri"/>
        <family val="2"/>
        <scheme val="minor"/>
      </rPr>
      <t xml:space="preserve"> - Mathematics
</t>
    </r>
    <r>
      <rPr>
        <b/>
        <sz val="11"/>
        <color theme="1"/>
        <rFont val="Calibri"/>
        <family val="2"/>
        <scheme val="minor"/>
      </rPr>
      <t>52994</t>
    </r>
    <r>
      <rPr>
        <sz val="11"/>
        <color theme="1"/>
        <rFont val="Calibri"/>
        <family val="2"/>
        <scheme val="minor"/>
      </rPr>
      <t xml:space="preserve"> - Mathematics Proficiency Development
</t>
    </r>
    <r>
      <rPr>
        <b/>
        <sz val="11"/>
        <color theme="1"/>
        <rFont val="Calibri"/>
        <family val="2"/>
        <scheme val="minor"/>
      </rPr>
      <t>52997</t>
    </r>
    <r>
      <rPr>
        <sz val="11"/>
        <color theme="1"/>
        <rFont val="Calibri"/>
        <family val="2"/>
        <scheme val="minor"/>
      </rPr>
      <t xml:space="preserve"> - Mathematics-Independent Study
</t>
    </r>
    <r>
      <rPr>
        <b/>
        <sz val="11"/>
        <color theme="1"/>
        <rFont val="Calibri"/>
        <family val="2"/>
        <scheme val="minor"/>
      </rPr>
      <t>52999</t>
    </r>
    <r>
      <rPr>
        <sz val="11"/>
        <color theme="1"/>
        <rFont val="Calibri"/>
        <family val="2"/>
        <scheme val="minor"/>
      </rPr>
      <t xml:space="preserve"> - Mathematics-Other
</t>
    </r>
    <r>
      <rPr>
        <b/>
        <sz val="11"/>
        <color theme="1"/>
        <rFont val="Calibri"/>
        <family val="2"/>
        <scheme val="minor"/>
      </rPr>
      <t>52996</t>
    </r>
    <r>
      <rPr>
        <sz val="11"/>
        <color theme="1"/>
        <rFont val="Calibri"/>
        <family val="2"/>
        <scheme val="minor"/>
      </rPr>
      <t xml:space="preserve"> - Mathematics-Supplemental
</t>
    </r>
    <r>
      <rPr>
        <b/>
        <sz val="11"/>
        <color theme="1"/>
        <rFont val="Calibri"/>
        <family val="2"/>
        <scheme val="minor"/>
      </rPr>
      <t>52993</t>
    </r>
    <r>
      <rPr>
        <sz val="11"/>
        <color theme="1"/>
        <rFont val="Calibri"/>
        <family val="2"/>
        <scheme val="minor"/>
      </rPr>
      <t xml:space="preserve"> - Mathematics-Test Preparation
</t>
    </r>
    <r>
      <rPr>
        <b/>
        <sz val="11"/>
        <color theme="1"/>
        <rFont val="Calibri"/>
        <family val="2"/>
        <scheme val="minor"/>
      </rPr>
      <t>60247</t>
    </r>
    <r>
      <rPr>
        <sz val="11"/>
        <color theme="1"/>
        <rFont val="Calibri"/>
        <family val="2"/>
        <scheme val="minor"/>
      </rPr>
      <t xml:space="preserve"> - Media Technology-Independent Study
</t>
    </r>
    <r>
      <rPr>
        <b/>
        <sz val="11"/>
        <color theme="1"/>
        <rFont val="Calibri"/>
        <family val="2"/>
        <scheme val="minor"/>
      </rPr>
      <t>72995</t>
    </r>
    <r>
      <rPr>
        <sz val="11"/>
        <color theme="1"/>
        <rFont val="Calibri"/>
        <family val="2"/>
        <scheme val="minor"/>
      </rPr>
      <t xml:space="preserve"> - Miscellaneous-Aide
</t>
    </r>
    <r>
      <rPr>
        <b/>
        <sz val="11"/>
        <color theme="1"/>
        <rFont val="Calibri"/>
        <family val="2"/>
        <scheme val="minor"/>
      </rPr>
      <t>72999</t>
    </r>
    <r>
      <rPr>
        <sz val="11"/>
        <color theme="1"/>
        <rFont val="Calibri"/>
        <family val="2"/>
        <scheme val="minor"/>
      </rPr>
      <t xml:space="preserve"> - Miscellaneous-Other
</t>
    </r>
    <r>
      <rPr>
        <b/>
        <sz val="11"/>
        <color theme="1"/>
        <rFont val="Calibri"/>
        <family val="2"/>
        <scheme val="minor"/>
      </rPr>
      <t>55128</t>
    </r>
    <r>
      <rPr>
        <sz val="11"/>
        <color theme="1"/>
        <rFont val="Calibri"/>
        <family val="2"/>
        <scheme val="minor"/>
      </rPr>
      <t xml:space="preserve"> - Music (early childhood education)
</t>
    </r>
    <r>
      <rPr>
        <b/>
        <sz val="11"/>
        <color theme="1"/>
        <rFont val="Calibri"/>
        <family val="2"/>
        <scheme val="minor"/>
      </rPr>
      <t>55131</t>
    </r>
    <r>
      <rPr>
        <sz val="11"/>
        <color theme="1"/>
        <rFont val="Calibri"/>
        <family val="2"/>
        <scheme val="minor"/>
      </rPr>
      <t xml:space="preserve"> - Music (grade 1)
</t>
    </r>
    <r>
      <rPr>
        <b/>
        <sz val="11"/>
        <color theme="1"/>
        <rFont val="Calibri"/>
        <family val="2"/>
        <scheme val="minor"/>
      </rPr>
      <t>55132</t>
    </r>
    <r>
      <rPr>
        <sz val="11"/>
        <color theme="1"/>
        <rFont val="Calibri"/>
        <family val="2"/>
        <scheme val="minor"/>
      </rPr>
      <t xml:space="preserve"> - Music (grade 2)
</t>
    </r>
    <r>
      <rPr>
        <b/>
        <sz val="11"/>
        <color theme="1"/>
        <rFont val="Calibri"/>
        <family val="2"/>
        <scheme val="minor"/>
      </rPr>
      <t>55133</t>
    </r>
    <r>
      <rPr>
        <sz val="11"/>
        <color theme="1"/>
        <rFont val="Calibri"/>
        <family val="2"/>
        <scheme val="minor"/>
      </rPr>
      <t xml:space="preserve"> - Music (grade 3)
</t>
    </r>
    <r>
      <rPr>
        <b/>
        <sz val="11"/>
        <color theme="1"/>
        <rFont val="Calibri"/>
        <family val="2"/>
        <scheme val="minor"/>
      </rPr>
      <t>55134</t>
    </r>
    <r>
      <rPr>
        <sz val="11"/>
        <color theme="1"/>
        <rFont val="Calibri"/>
        <family val="2"/>
        <scheme val="minor"/>
      </rPr>
      <t xml:space="preserve"> - Music (grade 4)
</t>
    </r>
    <r>
      <rPr>
        <b/>
        <sz val="11"/>
        <color theme="1"/>
        <rFont val="Calibri"/>
        <family val="2"/>
        <scheme val="minor"/>
      </rPr>
      <t>55135</t>
    </r>
    <r>
      <rPr>
        <sz val="11"/>
        <color theme="1"/>
        <rFont val="Calibri"/>
        <family val="2"/>
        <scheme val="minor"/>
      </rPr>
      <t xml:space="preserve"> - Music (grade 5)
</t>
    </r>
    <r>
      <rPr>
        <b/>
        <sz val="11"/>
        <color theme="1"/>
        <rFont val="Calibri"/>
        <family val="2"/>
        <scheme val="minor"/>
      </rPr>
      <t>55136</t>
    </r>
    <r>
      <rPr>
        <sz val="11"/>
        <color theme="1"/>
        <rFont val="Calibri"/>
        <family val="2"/>
        <scheme val="minor"/>
      </rPr>
      <t xml:space="preserve"> - Music (grade 6)
</t>
    </r>
    <r>
      <rPr>
        <b/>
        <sz val="11"/>
        <color theme="1"/>
        <rFont val="Calibri"/>
        <family val="2"/>
        <scheme val="minor"/>
      </rPr>
      <t>55137</t>
    </r>
    <r>
      <rPr>
        <sz val="11"/>
        <color theme="1"/>
        <rFont val="Calibri"/>
        <family val="2"/>
        <scheme val="minor"/>
      </rPr>
      <t xml:space="preserve"> - Music (grade 7)
</t>
    </r>
    <r>
      <rPr>
        <b/>
        <sz val="11"/>
        <color theme="1"/>
        <rFont val="Calibri"/>
        <family val="2"/>
        <scheme val="minor"/>
      </rPr>
      <t>55138</t>
    </r>
    <r>
      <rPr>
        <sz val="11"/>
        <color theme="1"/>
        <rFont val="Calibri"/>
        <family val="2"/>
        <scheme val="minor"/>
      </rPr>
      <t xml:space="preserve"> - Music (grade 8)
</t>
    </r>
    <r>
      <rPr>
        <b/>
        <sz val="11"/>
        <color theme="1"/>
        <rFont val="Calibri"/>
        <family val="2"/>
        <scheme val="minor"/>
      </rPr>
      <t>55130</t>
    </r>
    <r>
      <rPr>
        <sz val="11"/>
        <color theme="1"/>
        <rFont val="Calibri"/>
        <family val="2"/>
        <scheme val="minor"/>
      </rPr>
      <t xml:space="preserve"> - Music (kindergarten)
</t>
    </r>
    <r>
      <rPr>
        <b/>
        <sz val="11"/>
        <color theme="1"/>
        <rFont val="Calibri"/>
        <family val="2"/>
        <scheme val="minor"/>
      </rPr>
      <t>55129</t>
    </r>
    <r>
      <rPr>
        <sz val="11"/>
        <color theme="1"/>
        <rFont val="Calibri"/>
        <family val="2"/>
        <scheme val="minor"/>
      </rPr>
      <t xml:space="preserve"> - Music (pre-kindergarten)
</t>
    </r>
    <r>
      <rPr>
        <b/>
        <sz val="11"/>
        <color theme="1"/>
        <rFont val="Calibri"/>
        <family val="2"/>
        <scheme val="minor"/>
      </rPr>
      <t>55139</t>
    </r>
    <r>
      <rPr>
        <sz val="11"/>
        <color theme="1"/>
        <rFont val="Calibri"/>
        <family val="2"/>
        <scheme val="minor"/>
      </rPr>
      <t xml:space="preserve"> - Music
</t>
    </r>
    <r>
      <rPr>
        <b/>
        <sz val="11"/>
        <color theme="1"/>
        <rFont val="Calibri"/>
        <family val="2"/>
        <scheme val="minor"/>
      </rPr>
      <t>55118</t>
    </r>
    <r>
      <rPr>
        <sz val="11"/>
        <color theme="1"/>
        <rFont val="Calibri"/>
        <family val="2"/>
        <scheme val="minor"/>
      </rPr>
      <t xml:space="preserve"> - Music Appreciation
</t>
    </r>
    <r>
      <rPr>
        <b/>
        <sz val="11"/>
        <color theme="1"/>
        <rFont val="Calibri"/>
        <family val="2"/>
        <scheme val="minor"/>
      </rPr>
      <t>55116</t>
    </r>
    <r>
      <rPr>
        <sz val="11"/>
        <color theme="1"/>
        <rFont val="Calibri"/>
        <family val="2"/>
        <scheme val="minor"/>
      </rPr>
      <t xml:space="preserve"> - Music History/Appreciation
</t>
    </r>
    <r>
      <rPr>
        <b/>
        <sz val="11"/>
        <color theme="1"/>
        <rFont val="Calibri"/>
        <family val="2"/>
        <scheme val="minor"/>
      </rPr>
      <t>55147</t>
    </r>
    <r>
      <rPr>
        <sz val="11"/>
        <color theme="1"/>
        <rFont val="Calibri"/>
        <family val="2"/>
        <scheme val="minor"/>
      </rPr>
      <t xml:space="preserve"> - Music-Independent Study
</t>
    </r>
    <r>
      <rPr>
        <b/>
        <sz val="11"/>
        <color theme="1"/>
        <rFont val="Calibri"/>
        <family val="2"/>
        <scheme val="minor"/>
      </rPr>
      <t>55149</t>
    </r>
    <r>
      <rPr>
        <sz val="11"/>
        <color theme="1"/>
        <rFont val="Calibri"/>
        <family val="2"/>
        <scheme val="minor"/>
      </rPr>
      <t xml:space="preserve"> - Music-Other
</t>
    </r>
    <r>
      <rPr>
        <b/>
        <sz val="11"/>
        <color theme="1"/>
        <rFont val="Calibri"/>
        <family val="2"/>
        <scheme val="minor"/>
      </rPr>
      <t>57007</t>
    </r>
    <r>
      <rPr>
        <sz val="11"/>
        <color theme="1"/>
        <rFont val="Calibri"/>
        <family val="2"/>
        <scheme val="minor"/>
      </rPr>
      <t xml:space="preserve"> - New Testament
</t>
    </r>
    <r>
      <rPr>
        <b/>
        <sz val="11"/>
        <color theme="1"/>
        <rFont val="Calibri"/>
        <family val="2"/>
        <scheme val="minor"/>
      </rPr>
      <t>58015</t>
    </r>
    <r>
      <rPr>
        <sz val="11"/>
        <color theme="1"/>
        <rFont val="Calibri"/>
        <family val="2"/>
        <scheme val="minor"/>
      </rPr>
      <t xml:space="preserve"> - Off-Campus Sports
</t>
    </r>
    <r>
      <rPr>
        <b/>
        <sz val="11"/>
        <color theme="1"/>
        <rFont val="Calibri"/>
        <family val="2"/>
        <scheme val="minor"/>
      </rPr>
      <t>57006</t>
    </r>
    <r>
      <rPr>
        <sz val="11"/>
        <color theme="1"/>
        <rFont val="Calibri"/>
        <family val="2"/>
        <scheme val="minor"/>
      </rPr>
      <t xml:space="preserve"> - Old Testament
</t>
    </r>
    <r>
      <rPr>
        <b/>
        <sz val="11"/>
        <color theme="1"/>
        <rFont val="Calibri"/>
        <family val="2"/>
        <scheme val="minor"/>
      </rPr>
      <t>55104</t>
    </r>
    <r>
      <rPr>
        <sz val="11"/>
        <color theme="1"/>
        <rFont val="Calibri"/>
        <family val="2"/>
        <scheme val="minor"/>
      </rPr>
      <t xml:space="preserve"> - Orchestra
</t>
    </r>
    <r>
      <rPr>
        <b/>
        <sz val="11"/>
        <color theme="1"/>
        <rFont val="Calibri"/>
        <family val="2"/>
        <scheme val="minor"/>
      </rPr>
      <t>62008</t>
    </r>
    <r>
      <rPr>
        <sz val="11"/>
        <color theme="1"/>
        <rFont val="Calibri"/>
        <family val="2"/>
        <scheme val="minor"/>
      </rPr>
      <t xml:space="preserve"> - Particular Topics in Administration
</t>
    </r>
    <r>
      <rPr>
        <b/>
        <sz val="11"/>
        <color theme="1"/>
        <rFont val="Calibri"/>
        <family val="2"/>
        <scheme val="minor"/>
      </rPr>
      <t>61056</t>
    </r>
    <r>
      <rPr>
        <sz val="11"/>
        <color theme="1"/>
        <rFont val="Calibri"/>
        <family val="2"/>
        <scheme val="minor"/>
      </rPr>
      <t xml:space="preserve"> - Particular Topics in Audio/Video Technology and Film
</t>
    </r>
    <r>
      <rPr>
        <b/>
        <sz val="11"/>
        <color theme="1"/>
        <rFont val="Calibri"/>
        <family val="2"/>
        <scheme val="minor"/>
      </rPr>
      <t>53063</t>
    </r>
    <r>
      <rPr>
        <sz val="11"/>
        <color theme="1"/>
        <rFont val="Calibri"/>
        <family val="2"/>
        <scheme val="minor"/>
      </rPr>
      <t xml:space="preserve"> - Particular Topics in Biology
</t>
    </r>
    <r>
      <rPr>
        <b/>
        <sz val="11"/>
        <color theme="1"/>
        <rFont val="Calibri"/>
        <family val="2"/>
        <scheme val="minor"/>
      </rPr>
      <t>53108</t>
    </r>
    <r>
      <rPr>
        <sz val="11"/>
        <color theme="1"/>
        <rFont val="Calibri"/>
        <family val="2"/>
        <scheme val="minor"/>
      </rPr>
      <t xml:space="preserve"> - Particular Topics in Chemistry
</t>
    </r>
    <r>
      <rPr>
        <b/>
        <sz val="11"/>
        <color theme="1"/>
        <rFont val="Calibri"/>
        <family val="2"/>
        <scheme val="minor"/>
      </rPr>
      <t>61003</t>
    </r>
    <r>
      <rPr>
        <sz val="11"/>
        <color theme="1"/>
        <rFont val="Calibri"/>
        <family val="2"/>
        <scheme val="minor"/>
      </rPr>
      <t xml:space="preserve"> - Particular Topics in Communication
</t>
    </r>
    <r>
      <rPr>
        <b/>
        <sz val="11"/>
        <color theme="1"/>
        <rFont val="Calibri"/>
        <family val="2"/>
        <scheme val="minor"/>
      </rPr>
      <t>60008</t>
    </r>
    <r>
      <rPr>
        <sz val="11"/>
        <color theme="1"/>
        <rFont val="Calibri"/>
        <family val="2"/>
        <scheme val="minor"/>
      </rPr>
      <t xml:space="preserve"> - Particular Topics in Computer Literacy
</t>
    </r>
    <r>
      <rPr>
        <b/>
        <sz val="11"/>
        <color theme="1"/>
        <rFont val="Calibri"/>
        <family val="2"/>
        <scheme val="minor"/>
      </rPr>
      <t>53009</t>
    </r>
    <r>
      <rPr>
        <sz val="11"/>
        <color theme="1"/>
        <rFont val="Calibri"/>
        <family val="2"/>
        <scheme val="minor"/>
      </rPr>
      <t xml:space="preserve"> - Particular Topics in Earth Science
</t>
    </r>
    <r>
      <rPr>
        <b/>
        <sz val="11"/>
        <color theme="1"/>
        <rFont val="Calibri"/>
        <family val="2"/>
        <scheme val="minor"/>
      </rPr>
      <t>52003</t>
    </r>
    <r>
      <rPr>
        <sz val="11"/>
        <color theme="1"/>
        <rFont val="Calibri"/>
        <family val="2"/>
        <scheme val="minor"/>
      </rPr>
      <t xml:space="preserve"> - Particular Topics in Foundational Mathematics
</t>
    </r>
    <r>
      <rPr>
        <b/>
        <sz val="11"/>
        <color theme="1"/>
        <rFont val="Calibri"/>
        <family val="2"/>
        <scheme val="minor"/>
      </rPr>
      <t>54002</t>
    </r>
    <r>
      <rPr>
        <sz val="11"/>
        <color theme="1"/>
        <rFont val="Calibri"/>
        <family val="2"/>
        <scheme val="minor"/>
      </rPr>
      <t xml:space="preserve"> - Particular Topics in Geography
</t>
    </r>
    <r>
      <rPr>
        <b/>
        <sz val="11"/>
        <color theme="1"/>
        <rFont val="Calibri"/>
        <family val="2"/>
        <scheme val="minor"/>
      </rPr>
      <t>52075</t>
    </r>
    <r>
      <rPr>
        <sz val="11"/>
        <color theme="1"/>
        <rFont val="Calibri"/>
        <family val="2"/>
        <scheme val="minor"/>
      </rPr>
      <t xml:space="preserve"> - Particular Topics in Geometry
</t>
    </r>
    <r>
      <rPr>
        <b/>
        <sz val="11"/>
        <color theme="1"/>
        <rFont val="Calibri"/>
        <family val="2"/>
        <scheme val="minor"/>
      </rPr>
      <t>61105</t>
    </r>
    <r>
      <rPr>
        <sz val="11"/>
        <color theme="1"/>
        <rFont val="Calibri"/>
        <family val="2"/>
        <scheme val="minor"/>
      </rPr>
      <t xml:space="preserve"> - Particular Topics in Journalism and Broadcasting
</t>
    </r>
    <r>
      <rPr>
        <b/>
        <sz val="11"/>
        <color theme="1"/>
        <rFont val="Calibri"/>
        <family val="2"/>
        <scheme val="minor"/>
      </rPr>
      <t>53162</t>
    </r>
    <r>
      <rPr>
        <sz val="11"/>
        <color theme="1"/>
        <rFont val="Calibri"/>
        <family val="2"/>
        <scheme val="minor"/>
      </rPr>
      <t xml:space="preserve"> - Particular Topics in Physics
</t>
    </r>
    <r>
      <rPr>
        <b/>
        <sz val="11"/>
        <color theme="1"/>
        <rFont val="Calibri"/>
        <family val="2"/>
        <scheme val="minor"/>
      </rPr>
      <t>61159</t>
    </r>
    <r>
      <rPr>
        <sz val="11"/>
        <color theme="1"/>
        <rFont val="Calibri"/>
        <family val="2"/>
        <scheme val="minor"/>
      </rPr>
      <t xml:space="preserve"> - Particular Topics in Printing Technology and Production
</t>
    </r>
    <r>
      <rPr>
        <b/>
        <sz val="11"/>
        <color theme="1"/>
        <rFont val="Calibri"/>
        <family val="2"/>
        <scheme val="minor"/>
      </rPr>
      <t>72209</t>
    </r>
    <r>
      <rPr>
        <sz val="11"/>
        <color theme="1"/>
        <rFont val="Calibri"/>
        <family val="2"/>
        <scheme val="minor"/>
      </rPr>
      <t xml:space="preserve"> - Personal Development
</t>
    </r>
    <r>
      <rPr>
        <b/>
        <sz val="11"/>
        <color theme="1"/>
        <rFont val="Calibri"/>
        <family val="2"/>
        <scheme val="minor"/>
      </rPr>
      <t>61054</t>
    </r>
    <r>
      <rPr>
        <sz val="11"/>
        <color theme="1"/>
        <rFont val="Calibri"/>
        <family val="2"/>
        <scheme val="minor"/>
      </rPr>
      <t xml:space="preserve"> - Photo Imaging
</t>
    </r>
    <r>
      <rPr>
        <b/>
        <sz val="11"/>
        <color theme="1"/>
        <rFont val="Calibri"/>
        <family val="2"/>
        <scheme val="minor"/>
      </rPr>
      <t>61053</t>
    </r>
    <r>
      <rPr>
        <sz val="11"/>
        <color theme="1"/>
        <rFont val="Calibri"/>
        <family val="2"/>
        <scheme val="minor"/>
      </rPr>
      <t xml:space="preserve"> - Photographic Laboratory and Darkroom
</t>
    </r>
    <r>
      <rPr>
        <b/>
        <sz val="11"/>
        <color theme="1"/>
        <rFont val="Calibri"/>
        <family val="2"/>
        <scheme val="minor"/>
      </rPr>
      <t>55167</t>
    </r>
    <r>
      <rPr>
        <sz val="11"/>
        <color theme="1"/>
        <rFont val="Calibri"/>
        <family val="2"/>
        <scheme val="minor"/>
      </rPr>
      <t xml:space="preserve"> - Photography
</t>
    </r>
    <r>
      <rPr>
        <b/>
        <sz val="11"/>
        <color theme="1"/>
        <rFont val="Calibri"/>
        <family val="2"/>
        <scheme val="minor"/>
      </rPr>
      <t>61102</t>
    </r>
    <r>
      <rPr>
        <sz val="11"/>
        <color theme="1"/>
        <rFont val="Calibri"/>
        <family val="2"/>
        <scheme val="minor"/>
      </rPr>
      <t xml:space="preserve"> - Photojournalism
</t>
    </r>
    <r>
      <rPr>
        <b/>
        <sz val="11"/>
        <color theme="1"/>
        <rFont val="Calibri"/>
        <family val="2"/>
        <scheme val="minor"/>
      </rPr>
      <t>58028</t>
    </r>
    <r>
      <rPr>
        <sz val="11"/>
        <color theme="1"/>
        <rFont val="Calibri"/>
        <family val="2"/>
        <scheme val="minor"/>
      </rPr>
      <t xml:space="preserve"> - Physical Education (early childhood education)
</t>
    </r>
    <r>
      <rPr>
        <b/>
        <sz val="11"/>
        <color theme="1"/>
        <rFont val="Calibri"/>
        <family val="2"/>
        <scheme val="minor"/>
      </rPr>
      <t>58031</t>
    </r>
    <r>
      <rPr>
        <sz val="11"/>
        <color theme="1"/>
        <rFont val="Calibri"/>
        <family val="2"/>
        <scheme val="minor"/>
      </rPr>
      <t xml:space="preserve"> - Physical Education (grade 1)
</t>
    </r>
    <r>
      <rPr>
        <b/>
        <sz val="11"/>
        <color theme="1"/>
        <rFont val="Calibri"/>
        <family val="2"/>
        <scheme val="minor"/>
      </rPr>
      <t>58032</t>
    </r>
    <r>
      <rPr>
        <sz val="11"/>
        <color theme="1"/>
        <rFont val="Calibri"/>
        <family val="2"/>
        <scheme val="minor"/>
      </rPr>
      <t xml:space="preserve"> - Physical Education (grade 2)
</t>
    </r>
    <r>
      <rPr>
        <b/>
        <sz val="11"/>
        <color theme="1"/>
        <rFont val="Calibri"/>
        <family val="2"/>
        <scheme val="minor"/>
      </rPr>
      <t>58033</t>
    </r>
    <r>
      <rPr>
        <sz val="11"/>
        <color theme="1"/>
        <rFont val="Calibri"/>
        <family val="2"/>
        <scheme val="minor"/>
      </rPr>
      <t xml:space="preserve"> - Physical Education (grade 3)
</t>
    </r>
    <r>
      <rPr>
        <b/>
        <sz val="11"/>
        <color theme="1"/>
        <rFont val="Calibri"/>
        <family val="2"/>
        <scheme val="minor"/>
      </rPr>
      <t>58034</t>
    </r>
    <r>
      <rPr>
        <sz val="11"/>
        <color theme="1"/>
        <rFont val="Calibri"/>
        <family val="2"/>
        <scheme val="minor"/>
      </rPr>
      <t xml:space="preserve"> - Physical Education (grade 4)
</t>
    </r>
    <r>
      <rPr>
        <b/>
        <sz val="11"/>
        <color theme="1"/>
        <rFont val="Calibri"/>
        <family val="2"/>
        <scheme val="minor"/>
      </rPr>
      <t>58035</t>
    </r>
    <r>
      <rPr>
        <sz val="11"/>
        <color theme="1"/>
        <rFont val="Calibri"/>
        <family val="2"/>
        <scheme val="minor"/>
      </rPr>
      <t xml:space="preserve"> - Physical Education (grade 5)
</t>
    </r>
    <r>
      <rPr>
        <b/>
        <sz val="11"/>
        <color theme="1"/>
        <rFont val="Calibri"/>
        <family val="2"/>
        <scheme val="minor"/>
      </rPr>
      <t>58036</t>
    </r>
    <r>
      <rPr>
        <sz val="11"/>
        <color theme="1"/>
        <rFont val="Calibri"/>
        <family val="2"/>
        <scheme val="minor"/>
      </rPr>
      <t xml:space="preserve"> - Physical Education (grade 6)
</t>
    </r>
    <r>
      <rPr>
        <b/>
        <sz val="11"/>
        <color theme="1"/>
        <rFont val="Calibri"/>
        <family val="2"/>
        <scheme val="minor"/>
      </rPr>
      <t>58037</t>
    </r>
    <r>
      <rPr>
        <sz val="11"/>
        <color theme="1"/>
        <rFont val="Calibri"/>
        <family val="2"/>
        <scheme val="minor"/>
      </rPr>
      <t xml:space="preserve"> - Physical Education (grade 7)
</t>
    </r>
    <r>
      <rPr>
        <b/>
        <sz val="11"/>
        <color theme="1"/>
        <rFont val="Calibri"/>
        <family val="2"/>
        <scheme val="minor"/>
      </rPr>
      <t>58038</t>
    </r>
    <r>
      <rPr>
        <sz val="11"/>
        <color theme="1"/>
        <rFont val="Calibri"/>
        <family val="2"/>
        <scheme val="minor"/>
      </rPr>
      <t xml:space="preserve"> - Physical Education (grade 8)
</t>
    </r>
    <r>
      <rPr>
        <b/>
        <sz val="11"/>
        <color theme="1"/>
        <rFont val="Calibri"/>
        <family val="2"/>
        <scheme val="minor"/>
      </rPr>
      <t>58030</t>
    </r>
    <r>
      <rPr>
        <sz val="11"/>
        <color theme="1"/>
        <rFont val="Calibri"/>
        <family val="2"/>
        <scheme val="minor"/>
      </rPr>
      <t xml:space="preserve"> - Physical Education (kindergarten)
</t>
    </r>
    <r>
      <rPr>
        <b/>
        <sz val="11"/>
        <color theme="1"/>
        <rFont val="Calibri"/>
        <family val="2"/>
        <scheme val="minor"/>
      </rPr>
      <t>58029</t>
    </r>
    <r>
      <rPr>
        <sz val="11"/>
        <color theme="1"/>
        <rFont val="Calibri"/>
        <family val="2"/>
        <scheme val="minor"/>
      </rPr>
      <t xml:space="preserve"> - Physical Education (pre-kindergarten)
</t>
    </r>
    <r>
      <rPr>
        <b/>
        <sz val="11"/>
        <color theme="1"/>
        <rFont val="Calibri"/>
        <family val="2"/>
        <scheme val="minor"/>
      </rPr>
      <t>58001</t>
    </r>
    <r>
      <rPr>
        <sz val="11"/>
        <color theme="1"/>
        <rFont val="Calibri"/>
        <family val="2"/>
        <scheme val="minor"/>
      </rPr>
      <t xml:space="preserve"> - Physical Education
</t>
    </r>
    <r>
      <rPr>
        <b/>
        <sz val="11"/>
        <color theme="1"/>
        <rFont val="Calibri"/>
        <family val="2"/>
        <scheme val="minor"/>
      </rPr>
      <t>58039</t>
    </r>
    <r>
      <rPr>
        <sz val="11"/>
        <color theme="1"/>
        <rFont val="Calibri"/>
        <family val="2"/>
        <scheme val="minor"/>
      </rPr>
      <t xml:space="preserve"> - Physical Education
</t>
    </r>
    <r>
      <rPr>
        <b/>
        <sz val="11"/>
        <color theme="1"/>
        <rFont val="Calibri"/>
        <family val="2"/>
        <scheme val="minor"/>
      </rPr>
      <t>58014</t>
    </r>
    <r>
      <rPr>
        <sz val="11"/>
        <color theme="1"/>
        <rFont val="Calibri"/>
        <family val="2"/>
        <scheme val="minor"/>
      </rPr>
      <t xml:space="preserve"> - Physical Education Equivalent
</t>
    </r>
    <r>
      <rPr>
        <b/>
        <sz val="11"/>
        <color theme="1"/>
        <rFont val="Calibri"/>
        <family val="2"/>
        <scheme val="minor"/>
      </rPr>
      <t>58047</t>
    </r>
    <r>
      <rPr>
        <sz val="11"/>
        <color theme="1"/>
        <rFont val="Calibri"/>
        <family val="2"/>
        <scheme val="minor"/>
      </rPr>
      <t xml:space="preserve"> - Physical Education-Independent Study
</t>
    </r>
    <r>
      <rPr>
        <b/>
        <sz val="11"/>
        <color theme="1"/>
        <rFont val="Calibri"/>
        <family val="2"/>
        <scheme val="minor"/>
      </rPr>
      <t>58049</t>
    </r>
    <r>
      <rPr>
        <sz val="11"/>
        <color theme="1"/>
        <rFont val="Calibri"/>
        <family val="2"/>
        <scheme val="minor"/>
      </rPr>
      <t xml:space="preserve"> - Physical Education-Other
</t>
    </r>
    <r>
      <rPr>
        <b/>
        <sz val="11"/>
        <color theme="1"/>
        <rFont val="Calibri"/>
        <family val="2"/>
        <scheme val="minor"/>
      </rPr>
      <t>53159</t>
    </r>
    <r>
      <rPr>
        <sz val="11"/>
        <color theme="1"/>
        <rFont val="Calibri"/>
        <family val="2"/>
        <scheme val="minor"/>
      </rPr>
      <t xml:space="preserve"> - Physical Science
</t>
    </r>
    <r>
      <rPr>
        <b/>
        <sz val="11"/>
        <color theme="1"/>
        <rFont val="Calibri"/>
        <family val="2"/>
        <scheme val="minor"/>
      </rPr>
      <t>58997</t>
    </r>
    <r>
      <rPr>
        <sz val="11"/>
        <color theme="1"/>
        <rFont val="Calibri"/>
        <family val="2"/>
        <scheme val="minor"/>
      </rPr>
      <t xml:space="preserve"> - Physical, Health, and Safety Education-Independent Study
</t>
    </r>
    <r>
      <rPr>
        <b/>
        <sz val="11"/>
        <color theme="1"/>
        <rFont val="Calibri"/>
        <family val="2"/>
        <scheme val="minor"/>
      </rPr>
      <t>58999</t>
    </r>
    <r>
      <rPr>
        <sz val="11"/>
        <color theme="1"/>
        <rFont val="Calibri"/>
        <family val="2"/>
        <scheme val="minor"/>
      </rPr>
      <t xml:space="preserve"> - Physical, Health, and Safety Education-Other
</t>
    </r>
    <r>
      <rPr>
        <b/>
        <sz val="11"/>
        <color theme="1"/>
        <rFont val="Calibri"/>
        <family val="2"/>
        <scheme val="minor"/>
      </rPr>
      <t>53151</t>
    </r>
    <r>
      <rPr>
        <sz val="11"/>
        <color theme="1"/>
        <rFont val="Calibri"/>
        <family val="2"/>
        <scheme val="minor"/>
      </rPr>
      <t xml:space="preserve"> - Physics
</t>
    </r>
    <r>
      <rPr>
        <b/>
        <sz val="11"/>
        <color theme="1"/>
        <rFont val="Calibri"/>
        <family val="2"/>
        <scheme val="minor"/>
      </rPr>
      <t>53197</t>
    </r>
    <r>
      <rPr>
        <sz val="11"/>
        <color theme="1"/>
        <rFont val="Calibri"/>
        <family val="2"/>
        <scheme val="minor"/>
      </rPr>
      <t xml:space="preserve"> - Physics-Independent Study
</t>
    </r>
    <r>
      <rPr>
        <b/>
        <sz val="11"/>
        <color theme="1"/>
        <rFont val="Calibri"/>
        <family val="2"/>
        <scheme val="minor"/>
      </rPr>
      <t>53199</t>
    </r>
    <r>
      <rPr>
        <sz val="11"/>
        <color theme="1"/>
        <rFont val="Calibri"/>
        <family val="2"/>
        <scheme val="minor"/>
      </rPr>
      <t xml:space="preserve"> - Physics-Other
</t>
    </r>
    <r>
      <rPr>
        <b/>
        <sz val="11"/>
        <color theme="1"/>
        <rFont val="Calibri"/>
        <family val="2"/>
        <scheme val="minor"/>
      </rPr>
      <t>56160</t>
    </r>
    <r>
      <rPr>
        <sz val="11"/>
        <color theme="1"/>
        <rFont val="Calibri"/>
        <family val="2"/>
        <scheme val="minor"/>
      </rPr>
      <t xml:space="preserve"> - Portuguese
</t>
    </r>
    <r>
      <rPr>
        <b/>
        <sz val="11"/>
        <color theme="1"/>
        <rFont val="Calibri"/>
        <family val="2"/>
        <scheme val="minor"/>
      </rPr>
      <t>52051</t>
    </r>
    <r>
      <rPr>
        <sz val="11"/>
        <color theme="1"/>
        <rFont val="Calibri"/>
        <family val="2"/>
        <scheme val="minor"/>
      </rPr>
      <t xml:space="preserve"> - Pre-Algebra
</t>
    </r>
    <r>
      <rPr>
        <b/>
        <sz val="11"/>
        <color theme="1"/>
        <rFont val="Calibri"/>
        <family val="2"/>
        <scheme val="minor"/>
      </rPr>
      <t>71001</t>
    </r>
    <r>
      <rPr>
        <sz val="11"/>
        <color theme="1"/>
        <rFont val="Calibri"/>
        <family val="2"/>
        <scheme val="minor"/>
      </rPr>
      <t xml:space="preserve"> - Pre-Engineering Technology
</t>
    </r>
    <r>
      <rPr>
        <b/>
        <sz val="11"/>
        <color theme="1"/>
        <rFont val="Calibri"/>
        <family val="2"/>
        <scheme val="minor"/>
      </rPr>
      <t>73029</t>
    </r>
    <r>
      <rPr>
        <sz val="11"/>
        <color theme="1"/>
        <rFont val="Calibri"/>
        <family val="2"/>
        <scheme val="minor"/>
      </rPr>
      <t xml:space="preserve"> - Pre-kindergarten
</t>
    </r>
    <r>
      <rPr>
        <b/>
        <sz val="11"/>
        <color theme="1"/>
        <rFont val="Calibri"/>
        <family val="2"/>
        <scheme val="minor"/>
      </rPr>
      <t>52074</t>
    </r>
    <r>
      <rPr>
        <sz val="11"/>
        <color theme="1"/>
        <rFont val="Calibri"/>
        <family val="2"/>
        <scheme val="minor"/>
      </rPr>
      <t xml:space="preserve"> - Principles of Algebra and Geometry
</t>
    </r>
    <r>
      <rPr>
        <b/>
        <sz val="11"/>
        <color theme="1"/>
        <rFont val="Calibri"/>
        <family val="2"/>
        <scheme val="minor"/>
      </rPr>
      <t>71004</t>
    </r>
    <r>
      <rPr>
        <sz val="11"/>
        <color theme="1"/>
        <rFont val="Calibri"/>
        <family val="2"/>
        <scheme val="minor"/>
      </rPr>
      <t xml:space="preserve"> - Principles of Engineering
</t>
    </r>
    <r>
      <rPr>
        <b/>
        <sz val="11"/>
        <color theme="1"/>
        <rFont val="Calibri"/>
        <family val="2"/>
        <scheme val="minor"/>
      </rPr>
      <t>53153</t>
    </r>
    <r>
      <rPr>
        <sz val="11"/>
        <color theme="1"/>
        <rFont val="Calibri"/>
        <family val="2"/>
        <scheme val="minor"/>
      </rPr>
      <t xml:space="preserve"> - Principles of Technology
</t>
    </r>
    <r>
      <rPr>
        <b/>
        <sz val="11"/>
        <color theme="1"/>
        <rFont val="Calibri"/>
        <family val="2"/>
        <scheme val="minor"/>
      </rPr>
      <t>61197</t>
    </r>
    <r>
      <rPr>
        <sz val="11"/>
        <color theme="1"/>
        <rFont val="Calibri"/>
        <family val="2"/>
        <scheme val="minor"/>
      </rPr>
      <t xml:space="preserve"> - Printing Technology-Independent Study
</t>
    </r>
    <r>
      <rPr>
        <b/>
        <sz val="11"/>
        <color theme="1"/>
        <rFont val="Calibri"/>
        <family val="2"/>
        <scheme val="minor"/>
      </rPr>
      <t>61199</t>
    </r>
    <r>
      <rPr>
        <sz val="11"/>
        <color theme="1"/>
        <rFont val="Calibri"/>
        <family val="2"/>
        <scheme val="minor"/>
      </rPr>
      <t xml:space="preserve"> - Printing Technology-Other
</t>
    </r>
    <r>
      <rPr>
        <b/>
        <sz val="11"/>
        <color theme="1"/>
        <rFont val="Calibri"/>
        <family val="2"/>
        <scheme val="minor"/>
      </rPr>
      <t>73039</t>
    </r>
    <r>
      <rPr>
        <sz val="11"/>
        <color theme="1"/>
        <rFont val="Calibri"/>
        <family val="2"/>
        <scheme val="minor"/>
      </rPr>
      <t xml:space="preserve"> - Prior-to-Secondary Education
</t>
    </r>
    <r>
      <rPr>
        <b/>
        <sz val="11"/>
        <color theme="1"/>
        <rFont val="Calibri"/>
        <family val="2"/>
        <scheme val="minor"/>
      </rPr>
      <t>51151</t>
    </r>
    <r>
      <rPr>
        <sz val="11"/>
        <color theme="1"/>
        <rFont val="Calibri"/>
        <family val="2"/>
        <scheme val="minor"/>
      </rPr>
      <t xml:space="preserve"> - Public Speaking
</t>
    </r>
    <r>
      <rPr>
        <b/>
        <sz val="11"/>
        <color theme="1"/>
        <rFont val="Calibri"/>
        <family val="2"/>
        <scheme val="minor"/>
      </rPr>
      <t>65997</t>
    </r>
    <r>
      <rPr>
        <sz val="11"/>
        <color theme="1"/>
        <rFont val="Calibri"/>
        <family val="2"/>
        <scheme val="minor"/>
      </rPr>
      <t xml:space="preserve"> - Public, Protective, and Government Service-Independent Study
</t>
    </r>
    <r>
      <rPr>
        <b/>
        <sz val="11"/>
        <color theme="1"/>
        <rFont val="Calibri"/>
        <family val="2"/>
        <scheme val="minor"/>
      </rPr>
      <t>65999</t>
    </r>
    <r>
      <rPr>
        <sz val="11"/>
        <color theme="1"/>
        <rFont val="Calibri"/>
        <family val="2"/>
        <scheme val="minor"/>
      </rPr>
      <t xml:space="preserve"> - Public, Protective, and Government Services-Other
</t>
    </r>
    <r>
      <rPr>
        <b/>
        <sz val="11"/>
        <color theme="1"/>
        <rFont val="Calibri"/>
        <family val="2"/>
        <scheme val="minor"/>
      </rPr>
      <t>61104</t>
    </r>
    <r>
      <rPr>
        <sz val="11"/>
        <color theme="1"/>
        <rFont val="Calibri"/>
        <family val="2"/>
        <scheme val="minor"/>
      </rPr>
      <t xml:space="preserve"> - Publication Production
</t>
    </r>
    <r>
      <rPr>
        <b/>
        <sz val="11"/>
        <color theme="1"/>
        <rFont val="Calibri"/>
        <family val="2"/>
        <scheme val="minor"/>
      </rPr>
      <t>51038</t>
    </r>
    <r>
      <rPr>
        <sz val="11"/>
        <color theme="1"/>
        <rFont val="Calibri"/>
        <family val="2"/>
        <scheme val="minor"/>
      </rPr>
      <t xml:space="preserve"> - Reading (early childhood education)
</t>
    </r>
    <r>
      <rPr>
        <b/>
        <sz val="11"/>
        <color theme="1"/>
        <rFont val="Calibri"/>
        <family val="2"/>
        <scheme val="minor"/>
      </rPr>
      <t>51041</t>
    </r>
    <r>
      <rPr>
        <sz val="11"/>
        <color theme="1"/>
        <rFont val="Calibri"/>
        <family val="2"/>
        <scheme val="minor"/>
      </rPr>
      <t xml:space="preserve"> - Reading (grade 1)
</t>
    </r>
    <r>
      <rPr>
        <b/>
        <sz val="11"/>
        <color theme="1"/>
        <rFont val="Calibri"/>
        <family val="2"/>
        <scheme val="minor"/>
      </rPr>
      <t>51042</t>
    </r>
    <r>
      <rPr>
        <sz val="11"/>
        <color theme="1"/>
        <rFont val="Calibri"/>
        <family val="2"/>
        <scheme val="minor"/>
      </rPr>
      <t xml:space="preserve"> - Reading (grade 2)
</t>
    </r>
    <r>
      <rPr>
        <b/>
        <sz val="11"/>
        <color theme="1"/>
        <rFont val="Calibri"/>
        <family val="2"/>
        <scheme val="minor"/>
      </rPr>
      <t>51043</t>
    </r>
    <r>
      <rPr>
        <sz val="11"/>
        <color theme="1"/>
        <rFont val="Calibri"/>
        <family val="2"/>
        <scheme val="minor"/>
      </rPr>
      <t xml:space="preserve"> - Reading (grade 3)
</t>
    </r>
    <r>
      <rPr>
        <b/>
        <sz val="11"/>
        <color theme="1"/>
        <rFont val="Calibri"/>
        <family val="2"/>
        <scheme val="minor"/>
      </rPr>
      <t>51044</t>
    </r>
    <r>
      <rPr>
        <sz val="11"/>
        <color theme="1"/>
        <rFont val="Calibri"/>
        <family val="2"/>
        <scheme val="minor"/>
      </rPr>
      <t xml:space="preserve"> - Reading (grade 4)
</t>
    </r>
    <r>
      <rPr>
        <b/>
        <sz val="11"/>
        <color theme="1"/>
        <rFont val="Calibri"/>
        <family val="2"/>
        <scheme val="minor"/>
      </rPr>
      <t>51045</t>
    </r>
    <r>
      <rPr>
        <sz val="11"/>
        <color theme="1"/>
        <rFont val="Calibri"/>
        <family val="2"/>
        <scheme val="minor"/>
      </rPr>
      <t xml:space="preserve"> - Reading (grade 5)
</t>
    </r>
    <r>
      <rPr>
        <b/>
        <sz val="11"/>
        <color theme="1"/>
        <rFont val="Calibri"/>
        <family val="2"/>
        <scheme val="minor"/>
      </rPr>
      <t>51046</t>
    </r>
    <r>
      <rPr>
        <sz val="11"/>
        <color theme="1"/>
        <rFont val="Calibri"/>
        <family val="2"/>
        <scheme val="minor"/>
      </rPr>
      <t xml:space="preserve"> - Reading (grade 6)
</t>
    </r>
    <r>
      <rPr>
        <b/>
        <sz val="11"/>
        <color theme="1"/>
        <rFont val="Calibri"/>
        <family val="2"/>
        <scheme val="minor"/>
      </rPr>
      <t>51047</t>
    </r>
    <r>
      <rPr>
        <sz val="11"/>
        <color theme="1"/>
        <rFont val="Calibri"/>
        <family val="2"/>
        <scheme val="minor"/>
      </rPr>
      <t xml:space="preserve"> - Reading (grade 7)
</t>
    </r>
    <r>
      <rPr>
        <b/>
        <sz val="11"/>
        <color theme="1"/>
        <rFont val="Calibri"/>
        <family val="2"/>
        <scheme val="minor"/>
      </rPr>
      <t>51048</t>
    </r>
    <r>
      <rPr>
        <sz val="11"/>
        <color theme="1"/>
        <rFont val="Calibri"/>
        <family val="2"/>
        <scheme val="minor"/>
      </rPr>
      <t xml:space="preserve"> - Reading (grade 8)
</t>
    </r>
    <r>
      <rPr>
        <b/>
        <sz val="11"/>
        <color theme="1"/>
        <rFont val="Calibri"/>
        <family val="2"/>
        <scheme val="minor"/>
      </rPr>
      <t>51040</t>
    </r>
    <r>
      <rPr>
        <sz val="11"/>
        <color theme="1"/>
        <rFont val="Calibri"/>
        <family val="2"/>
        <scheme val="minor"/>
      </rPr>
      <t xml:space="preserve"> - Reading (kindergarten)
</t>
    </r>
    <r>
      <rPr>
        <b/>
        <sz val="11"/>
        <color theme="1"/>
        <rFont val="Calibri"/>
        <family val="2"/>
        <scheme val="minor"/>
      </rPr>
      <t>51039</t>
    </r>
    <r>
      <rPr>
        <sz val="11"/>
        <color theme="1"/>
        <rFont val="Calibri"/>
        <family val="2"/>
        <scheme val="minor"/>
      </rPr>
      <t xml:space="preserve"> - Reading (pre-kindergarten)
</t>
    </r>
    <r>
      <rPr>
        <b/>
        <sz val="11"/>
        <color theme="1"/>
        <rFont val="Calibri"/>
        <family val="2"/>
        <scheme val="minor"/>
      </rPr>
      <t>51049</t>
    </r>
    <r>
      <rPr>
        <sz val="11"/>
        <color theme="1"/>
        <rFont val="Calibri"/>
        <family val="2"/>
        <scheme val="minor"/>
      </rPr>
      <t xml:space="preserve"> - Reading
</t>
    </r>
    <r>
      <rPr>
        <b/>
        <sz val="11"/>
        <color theme="1"/>
        <rFont val="Calibri"/>
        <family val="2"/>
        <scheme val="minor"/>
      </rPr>
      <t>58004</t>
    </r>
    <r>
      <rPr>
        <sz val="11"/>
        <color theme="1"/>
        <rFont val="Calibri"/>
        <family val="2"/>
        <scheme val="minor"/>
      </rPr>
      <t xml:space="preserve"> - Recreation Sports
</t>
    </r>
    <r>
      <rPr>
        <b/>
        <sz val="11"/>
        <color theme="1"/>
        <rFont val="Calibri"/>
        <family val="2"/>
        <scheme val="minor"/>
      </rPr>
      <t>57997</t>
    </r>
    <r>
      <rPr>
        <sz val="11"/>
        <color theme="1"/>
        <rFont val="Calibri"/>
        <family val="2"/>
        <scheme val="minor"/>
      </rPr>
      <t xml:space="preserve"> - Religious Education and Theology-Independent Study
</t>
    </r>
    <r>
      <rPr>
        <b/>
        <sz val="11"/>
        <color theme="1"/>
        <rFont val="Calibri"/>
        <family val="2"/>
        <scheme val="minor"/>
      </rPr>
      <t>57999</t>
    </r>
    <r>
      <rPr>
        <sz val="11"/>
        <color theme="1"/>
        <rFont val="Calibri"/>
        <family val="2"/>
        <scheme val="minor"/>
      </rPr>
      <t xml:space="preserve"> - Religious Education and Theology-Other
</t>
    </r>
    <r>
      <rPr>
        <b/>
        <sz val="11"/>
        <color theme="1"/>
        <rFont val="Calibri"/>
        <family val="2"/>
        <scheme val="minor"/>
      </rPr>
      <t>57001</t>
    </r>
    <r>
      <rPr>
        <sz val="11"/>
        <color theme="1"/>
        <rFont val="Calibri"/>
        <family val="2"/>
        <scheme val="minor"/>
      </rPr>
      <t xml:space="preserve"> - Religious Foundations
</t>
    </r>
    <r>
      <rPr>
        <b/>
        <sz val="11"/>
        <color theme="1"/>
        <rFont val="Calibri"/>
        <family val="2"/>
        <scheme val="minor"/>
      </rPr>
      <t>71009</t>
    </r>
    <r>
      <rPr>
        <sz val="11"/>
        <color theme="1"/>
        <rFont val="Calibri"/>
        <family val="2"/>
        <scheme val="minor"/>
      </rPr>
      <t xml:space="preserve"> - Robotics
</t>
    </r>
    <r>
      <rPr>
        <b/>
        <sz val="11"/>
        <color theme="1"/>
        <rFont val="Calibri"/>
        <family val="2"/>
        <scheme val="minor"/>
      </rPr>
      <t>56600</t>
    </r>
    <r>
      <rPr>
        <sz val="11"/>
        <color theme="1"/>
        <rFont val="Calibri"/>
        <family val="2"/>
        <scheme val="minor"/>
      </rPr>
      <t xml:space="preserve"> - Russian
</t>
    </r>
    <r>
      <rPr>
        <b/>
        <sz val="11"/>
        <color theme="1"/>
        <rFont val="Calibri"/>
        <family val="2"/>
        <scheme val="minor"/>
      </rPr>
      <t>72103</t>
    </r>
    <r>
      <rPr>
        <sz val="11"/>
        <color theme="1"/>
        <rFont val="Calibri"/>
        <family val="2"/>
        <scheme val="minor"/>
      </rPr>
      <t xml:space="preserve"> - School Governance
</t>
    </r>
    <r>
      <rPr>
        <b/>
        <sz val="11"/>
        <color theme="1"/>
        <rFont val="Calibri"/>
        <family val="2"/>
        <scheme val="minor"/>
      </rPr>
      <t>72102</t>
    </r>
    <r>
      <rPr>
        <sz val="11"/>
        <color theme="1"/>
        <rFont val="Calibri"/>
        <family val="2"/>
        <scheme val="minor"/>
      </rPr>
      <t xml:space="preserve"> - School Orientation
</t>
    </r>
    <r>
      <rPr>
        <b/>
        <sz val="11"/>
        <color theme="1"/>
        <rFont val="Calibri"/>
        <family val="2"/>
        <scheme val="minor"/>
      </rPr>
      <t>53228</t>
    </r>
    <r>
      <rPr>
        <sz val="11"/>
        <color theme="1"/>
        <rFont val="Calibri"/>
        <family val="2"/>
        <scheme val="minor"/>
      </rPr>
      <t xml:space="preserve"> - Science (early childhood education)
</t>
    </r>
    <r>
      <rPr>
        <b/>
        <sz val="11"/>
        <color theme="1"/>
        <rFont val="Calibri"/>
        <family val="2"/>
        <scheme val="minor"/>
      </rPr>
      <t>53231</t>
    </r>
    <r>
      <rPr>
        <sz val="11"/>
        <color theme="1"/>
        <rFont val="Calibri"/>
        <family val="2"/>
        <scheme val="minor"/>
      </rPr>
      <t xml:space="preserve"> - Science (grade 1)
</t>
    </r>
    <r>
      <rPr>
        <b/>
        <sz val="11"/>
        <color theme="1"/>
        <rFont val="Calibri"/>
        <family val="2"/>
        <scheme val="minor"/>
      </rPr>
      <t>53232</t>
    </r>
    <r>
      <rPr>
        <sz val="11"/>
        <color theme="1"/>
        <rFont val="Calibri"/>
        <family val="2"/>
        <scheme val="minor"/>
      </rPr>
      <t xml:space="preserve"> - Science (grade 2)
</t>
    </r>
    <r>
      <rPr>
        <b/>
        <sz val="11"/>
        <color theme="1"/>
        <rFont val="Calibri"/>
        <family val="2"/>
        <scheme val="minor"/>
      </rPr>
      <t>53233</t>
    </r>
    <r>
      <rPr>
        <sz val="11"/>
        <color theme="1"/>
        <rFont val="Calibri"/>
        <family val="2"/>
        <scheme val="minor"/>
      </rPr>
      <t xml:space="preserve"> - Science (grade 3)
</t>
    </r>
    <r>
      <rPr>
        <b/>
        <sz val="11"/>
        <color theme="1"/>
        <rFont val="Calibri"/>
        <family val="2"/>
        <scheme val="minor"/>
      </rPr>
      <t>53234</t>
    </r>
    <r>
      <rPr>
        <sz val="11"/>
        <color theme="1"/>
        <rFont val="Calibri"/>
        <family val="2"/>
        <scheme val="minor"/>
      </rPr>
      <t xml:space="preserve"> - Science (grade 4)
</t>
    </r>
    <r>
      <rPr>
        <b/>
        <sz val="11"/>
        <color theme="1"/>
        <rFont val="Calibri"/>
        <family val="2"/>
        <scheme val="minor"/>
      </rPr>
      <t>53235</t>
    </r>
    <r>
      <rPr>
        <sz val="11"/>
        <color theme="1"/>
        <rFont val="Calibri"/>
        <family val="2"/>
        <scheme val="minor"/>
      </rPr>
      <t xml:space="preserve"> - Science (grade 5)
</t>
    </r>
    <r>
      <rPr>
        <b/>
        <sz val="11"/>
        <color theme="1"/>
        <rFont val="Calibri"/>
        <family val="2"/>
        <scheme val="minor"/>
      </rPr>
      <t>53236</t>
    </r>
    <r>
      <rPr>
        <sz val="11"/>
        <color theme="1"/>
        <rFont val="Calibri"/>
        <family val="2"/>
        <scheme val="minor"/>
      </rPr>
      <t xml:space="preserve"> - Science (grade 6)
</t>
    </r>
    <r>
      <rPr>
        <b/>
        <sz val="11"/>
        <color theme="1"/>
        <rFont val="Calibri"/>
        <family val="2"/>
        <scheme val="minor"/>
      </rPr>
      <t>53237</t>
    </r>
    <r>
      <rPr>
        <sz val="11"/>
        <color theme="1"/>
        <rFont val="Calibri"/>
        <family val="2"/>
        <scheme val="minor"/>
      </rPr>
      <t xml:space="preserve"> - Science (grade 7)
</t>
    </r>
    <r>
      <rPr>
        <b/>
        <sz val="11"/>
        <color theme="1"/>
        <rFont val="Calibri"/>
        <family val="2"/>
        <scheme val="minor"/>
      </rPr>
      <t>53238</t>
    </r>
    <r>
      <rPr>
        <sz val="11"/>
        <color theme="1"/>
        <rFont val="Calibri"/>
        <family val="2"/>
        <scheme val="minor"/>
      </rPr>
      <t xml:space="preserve"> - Science (grade 8)
</t>
    </r>
    <r>
      <rPr>
        <b/>
        <sz val="11"/>
        <color theme="1"/>
        <rFont val="Calibri"/>
        <family val="2"/>
        <scheme val="minor"/>
      </rPr>
      <t>53230</t>
    </r>
    <r>
      <rPr>
        <sz val="11"/>
        <color theme="1"/>
        <rFont val="Calibri"/>
        <family val="2"/>
        <scheme val="minor"/>
      </rPr>
      <t xml:space="preserve"> - Science (kindergarten)
</t>
    </r>
    <r>
      <rPr>
        <b/>
        <sz val="11"/>
        <color theme="1"/>
        <rFont val="Calibri"/>
        <family val="2"/>
        <scheme val="minor"/>
      </rPr>
      <t>53229</t>
    </r>
    <r>
      <rPr>
        <sz val="11"/>
        <color theme="1"/>
        <rFont val="Calibri"/>
        <family val="2"/>
        <scheme val="minor"/>
      </rPr>
      <t xml:space="preserve"> - Science (pre-kindergarten)
</t>
    </r>
    <r>
      <rPr>
        <b/>
        <sz val="11"/>
        <color theme="1"/>
        <rFont val="Calibri"/>
        <family val="2"/>
        <scheme val="minor"/>
      </rPr>
      <t>53239</t>
    </r>
    <r>
      <rPr>
        <sz val="11"/>
        <color theme="1"/>
        <rFont val="Calibri"/>
        <family val="2"/>
        <scheme val="minor"/>
      </rPr>
      <t xml:space="preserve"> - Science
</t>
    </r>
    <r>
      <rPr>
        <b/>
        <sz val="11"/>
        <color theme="1"/>
        <rFont val="Calibri"/>
        <family val="2"/>
        <scheme val="minor"/>
      </rPr>
      <t>57005</t>
    </r>
    <r>
      <rPr>
        <sz val="11"/>
        <color theme="1"/>
        <rFont val="Calibri"/>
        <family val="2"/>
        <scheme val="minor"/>
      </rPr>
      <t xml:space="preserve"> - Scriptures
</t>
    </r>
    <r>
      <rPr>
        <b/>
        <sz val="11"/>
        <color theme="1"/>
        <rFont val="Calibri"/>
        <family val="2"/>
        <scheme val="minor"/>
      </rPr>
      <t>72207</t>
    </r>
    <r>
      <rPr>
        <sz val="11"/>
        <color theme="1"/>
        <rFont val="Calibri"/>
        <family val="2"/>
        <scheme val="minor"/>
      </rPr>
      <t xml:space="preserve"> - Self-Management
</t>
    </r>
    <r>
      <rPr>
        <b/>
        <sz val="11"/>
        <color theme="1"/>
        <rFont val="Calibri"/>
        <family val="2"/>
        <scheme val="minor"/>
      </rPr>
      <t>72106</t>
    </r>
    <r>
      <rPr>
        <sz val="11"/>
        <color theme="1"/>
        <rFont val="Calibri"/>
        <family val="2"/>
        <scheme val="minor"/>
      </rPr>
      <t xml:space="preserve"> - Seminar
</t>
    </r>
    <r>
      <rPr>
        <b/>
        <sz val="11"/>
        <color theme="1"/>
        <rFont val="Calibri"/>
        <family val="2"/>
        <scheme val="minor"/>
      </rPr>
      <t>54997</t>
    </r>
    <r>
      <rPr>
        <sz val="11"/>
        <color theme="1"/>
        <rFont val="Calibri"/>
        <family val="2"/>
        <scheme val="minor"/>
      </rPr>
      <t xml:space="preserve"> - Social Sciences and History-Independent Study
</t>
    </r>
    <r>
      <rPr>
        <b/>
        <sz val="11"/>
        <color theme="1"/>
        <rFont val="Calibri"/>
        <family val="2"/>
        <scheme val="minor"/>
      </rPr>
      <t>54999</t>
    </r>
    <r>
      <rPr>
        <sz val="11"/>
        <color theme="1"/>
        <rFont val="Calibri"/>
        <family val="2"/>
        <scheme val="minor"/>
      </rPr>
      <t xml:space="preserve"> - Social Sciences and History-Other
</t>
    </r>
    <r>
      <rPr>
        <b/>
        <sz val="11"/>
        <color theme="1"/>
        <rFont val="Calibri"/>
        <family val="2"/>
        <scheme val="minor"/>
      </rPr>
      <t>54996</t>
    </r>
    <r>
      <rPr>
        <sz val="11"/>
        <color theme="1"/>
        <rFont val="Calibri"/>
        <family val="2"/>
        <scheme val="minor"/>
      </rPr>
      <t xml:space="preserve"> - Social Sciences and History-Supplemental
</t>
    </r>
    <r>
      <rPr>
        <b/>
        <sz val="11"/>
        <color theme="1"/>
        <rFont val="Calibri"/>
        <family val="2"/>
        <scheme val="minor"/>
      </rPr>
      <t>54428</t>
    </r>
    <r>
      <rPr>
        <sz val="11"/>
        <color theme="1"/>
        <rFont val="Calibri"/>
        <family val="2"/>
        <scheme val="minor"/>
      </rPr>
      <t xml:space="preserve"> - Social Studies (early childhood education)
</t>
    </r>
    <r>
      <rPr>
        <b/>
        <sz val="11"/>
        <color theme="1"/>
        <rFont val="Calibri"/>
        <family val="2"/>
        <scheme val="minor"/>
      </rPr>
      <t>54431</t>
    </r>
    <r>
      <rPr>
        <sz val="11"/>
        <color theme="1"/>
        <rFont val="Calibri"/>
        <family val="2"/>
        <scheme val="minor"/>
      </rPr>
      <t xml:space="preserve"> - Social Studies (grade 1)
</t>
    </r>
    <r>
      <rPr>
        <b/>
        <sz val="11"/>
        <color theme="1"/>
        <rFont val="Calibri"/>
        <family val="2"/>
        <scheme val="minor"/>
      </rPr>
      <t>54432</t>
    </r>
    <r>
      <rPr>
        <sz val="11"/>
        <color theme="1"/>
        <rFont val="Calibri"/>
        <family val="2"/>
        <scheme val="minor"/>
      </rPr>
      <t xml:space="preserve"> - Social Studies (grade 2)
</t>
    </r>
    <r>
      <rPr>
        <b/>
        <sz val="11"/>
        <color theme="1"/>
        <rFont val="Calibri"/>
        <family val="2"/>
        <scheme val="minor"/>
      </rPr>
      <t>54433</t>
    </r>
    <r>
      <rPr>
        <sz val="11"/>
        <color theme="1"/>
        <rFont val="Calibri"/>
        <family val="2"/>
        <scheme val="minor"/>
      </rPr>
      <t xml:space="preserve"> - Social Studies (grade 3)
</t>
    </r>
    <r>
      <rPr>
        <b/>
        <sz val="11"/>
        <color theme="1"/>
        <rFont val="Calibri"/>
        <family val="2"/>
        <scheme val="minor"/>
      </rPr>
      <t>54434</t>
    </r>
    <r>
      <rPr>
        <sz val="11"/>
        <color theme="1"/>
        <rFont val="Calibri"/>
        <family val="2"/>
        <scheme val="minor"/>
      </rPr>
      <t xml:space="preserve"> - Social Studies (grade 4)
</t>
    </r>
    <r>
      <rPr>
        <b/>
        <sz val="11"/>
        <color theme="1"/>
        <rFont val="Calibri"/>
        <family val="2"/>
        <scheme val="minor"/>
      </rPr>
      <t>54435</t>
    </r>
    <r>
      <rPr>
        <sz val="11"/>
        <color theme="1"/>
        <rFont val="Calibri"/>
        <family val="2"/>
        <scheme val="minor"/>
      </rPr>
      <t xml:space="preserve"> - Social Studies (grade 5)
</t>
    </r>
    <r>
      <rPr>
        <b/>
        <sz val="11"/>
        <color theme="1"/>
        <rFont val="Calibri"/>
        <family val="2"/>
        <scheme val="minor"/>
      </rPr>
      <t>54436</t>
    </r>
    <r>
      <rPr>
        <sz val="11"/>
        <color theme="1"/>
        <rFont val="Calibri"/>
        <family val="2"/>
        <scheme val="minor"/>
      </rPr>
      <t xml:space="preserve"> - Social Studies (grade 6)
</t>
    </r>
    <r>
      <rPr>
        <b/>
        <sz val="11"/>
        <color theme="1"/>
        <rFont val="Calibri"/>
        <family val="2"/>
        <scheme val="minor"/>
      </rPr>
      <t>54437</t>
    </r>
    <r>
      <rPr>
        <sz val="11"/>
        <color theme="1"/>
        <rFont val="Calibri"/>
        <family val="2"/>
        <scheme val="minor"/>
      </rPr>
      <t xml:space="preserve"> - Social Studies (grade 7)
</t>
    </r>
    <r>
      <rPr>
        <b/>
        <sz val="11"/>
        <color theme="1"/>
        <rFont val="Calibri"/>
        <family val="2"/>
        <scheme val="minor"/>
      </rPr>
      <t>54438</t>
    </r>
    <r>
      <rPr>
        <sz val="11"/>
        <color theme="1"/>
        <rFont val="Calibri"/>
        <family val="2"/>
        <scheme val="minor"/>
      </rPr>
      <t xml:space="preserve"> - Social Studies (grade 8)
</t>
    </r>
    <r>
      <rPr>
        <b/>
        <sz val="11"/>
        <color theme="1"/>
        <rFont val="Calibri"/>
        <family val="2"/>
        <scheme val="minor"/>
      </rPr>
      <t>54430</t>
    </r>
    <r>
      <rPr>
        <sz val="11"/>
        <color theme="1"/>
        <rFont val="Calibri"/>
        <family val="2"/>
        <scheme val="minor"/>
      </rPr>
      <t xml:space="preserve"> - Social Studies (kindergarten)
</t>
    </r>
    <r>
      <rPr>
        <b/>
        <sz val="11"/>
        <color theme="1"/>
        <rFont val="Calibri"/>
        <family val="2"/>
        <scheme val="minor"/>
      </rPr>
      <t>54429</t>
    </r>
    <r>
      <rPr>
        <sz val="11"/>
        <color theme="1"/>
        <rFont val="Calibri"/>
        <family val="2"/>
        <scheme val="minor"/>
      </rPr>
      <t xml:space="preserve"> - Social Studies (pre-kindergarten)
</t>
    </r>
    <r>
      <rPr>
        <b/>
        <sz val="11"/>
        <color theme="1"/>
        <rFont val="Calibri"/>
        <family val="2"/>
        <scheme val="minor"/>
      </rPr>
      <t>54439</t>
    </r>
    <r>
      <rPr>
        <sz val="11"/>
        <color theme="1"/>
        <rFont val="Calibri"/>
        <family val="2"/>
        <scheme val="minor"/>
      </rPr>
      <t xml:space="preserve"> - Social Studies
</t>
    </r>
    <r>
      <rPr>
        <b/>
        <sz val="11"/>
        <color theme="1"/>
        <rFont val="Calibri"/>
        <family val="2"/>
        <scheme val="minor"/>
      </rPr>
      <t>56100</t>
    </r>
    <r>
      <rPr>
        <sz val="11"/>
        <color theme="1"/>
        <rFont val="Calibri"/>
        <family val="2"/>
        <scheme val="minor"/>
      </rPr>
      <t xml:space="preserve"> - Spanish
</t>
    </r>
    <r>
      <rPr>
        <b/>
        <sz val="11"/>
        <color theme="1"/>
        <rFont val="Calibri"/>
        <family val="2"/>
        <scheme val="minor"/>
      </rPr>
      <t>58013</t>
    </r>
    <r>
      <rPr>
        <sz val="11"/>
        <color theme="1"/>
        <rFont val="Calibri"/>
        <family val="2"/>
        <scheme val="minor"/>
      </rPr>
      <t xml:space="preserve"> - Specific Sports Activities
</t>
    </r>
    <r>
      <rPr>
        <b/>
        <sz val="11"/>
        <color theme="1"/>
        <rFont val="Calibri"/>
        <family val="2"/>
        <scheme val="minor"/>
      </rPr>
      <t>51197</t>
    </r>
    <r>
      <rPr>
        <sz val="11"/>
        <color theme="1"/>
        <rFont val="Calibri"/>
        <family val="2"/>
        <scheme val="minor"/>
      </rPr>
      <t xml:space="preserve"> - Speech-Independent Study
</t>
    </r>
    <r>
      <rPr>
        <b/>
        <sz val="11"/>
        <color theme="1"/>
        <rFont val="Calibri"/>
        <family val="2"/>
        <scheme val="minor"/>
      </rPr>
      <t>51199</t>
    </r>
    <r>
      <rPr>
        <sz val="11"/>
        <color theme="1"/>
        <rFont val="Calibri"/>
        <family val="2"/>
        <scheme val="minor"/>
      </rPr>
      <t xml:space="preserve"> - Speech-Other
</t>
    </r>
    <r>
      <rPr>
        <b/>
        <sz val="11"/>
        <color theme="1"/>
        <rFont val="Calibri"/>
        <family val="2"/>
        <scheme val="minor"/>
      </rPr>
      <t>72001</t>
    </r>
    <r>
      <rPr>
        <sz val="11"/>
        <color theme="1"/>
        <rFont val="Calibri"/>
        <family val="2"/>
        <scheme val="minor"/>
      </rPr>
      <t xml:space="preserve"> - Standardized Test Preparation
</t>
    </r>
    <r>
      <rPr>
        <b/>
        <sz val="11"/>
        <color theme="1"/>
        <rFont val="Calibri"/>
        <family val="2"/>
        <scheme val="minor"/>
      </rPr>
      <t>72002</t>
    </r>
    <r>
      <rPr>
        <sz val="11"/>
        <color theme="1"/>
        <rFont val="Calibri"/>
        <family val="2"/>
        <scheme val="minor"/>
      </rPr>
      <t xml:space="preserve"> - State Test Preparation
</t>
    </r>
    <r>
      <rPr>
        <b/>
        <sz val="11"/>
        <color theme="1"/>
        <rFont val="Calibri"/>
        <family val="2"/>
        <scheme val="minor"/>
      </rPr>
      <t>54105</t>
    </r>
    <r>
      <rPr>
        <sz val="11"/>
        <color theme="1"/>
        <rFont val="Calibri"/>
        <family val="2"/>
        <scheme val="minor"/>
      </rPr>
      <t xml:space="preserve"> - State-Specific Studies
</t>
    </r>
    <r>
      <rPr>
        <b/>
        <sz val="11"/>
        <color theme="1"/>
        <rFont val="Calibri"/>
        <family val="2"/>
        <scheme val="minor"/>
      </rPr>
      <t>51066</t>
    </r>
    <r>
      <rPr>
        <sz val="11"/>
        <color theme="1"/>
        <rFont val="Calibri"/>
        <family val="2"/>
        <scheme val="minor"/>
      </rPr>
      <t xml:space="preserve"> - Strategic Reading
</t>
    </r>
    <r>
      <rPr>
        <b/>
        <sz val="11"/>
        <color theme="1"/>
        <rFont val="Calibri"/>
        <family val="2"/>
        <scheme val="minor"/>
      </rPr>
      <t>72006</t>
    </r>
    <r>
      <rPr>
        <sz val="11"/>
        <color theme="1"/>
        <rFont val="Calibri"/>
        <family val="2"/>
        <scheme val="minor"/>
      </rPr>
      <t xml:space="preserve"> - Study Hall
</t>
    </r>
    <r>
      <rPr>
        <b/>
        <sz val="11"/>
        <color theme="1"/>
        <rFont val="Calibri"/>
        <family val="2"/>
        <scheme val="minor"/>
      </rPr>
      <t>72003</t>
    </r>
    <r>
      <rPr>
        <sz val="11"/>
        <color theme="1"/>
        <rFont val="Calibri"/>
        <family val="2"/>
        <scheme val="minor"/>
      </rPr>
      <t xml:space="preserve"> - Study Skills
</t>
    </r>
    <r>
      <rPr>
        <b/>
        <sz val="11"/>
        <color theme="1"/>
        <rFont val="Calibri"/>
        <family val="2"/>
        <scheme val="minor"/>
      </rPr>
      <t>58058</t>
    </r>
    <r>
      <rPr>
        <sz val="11"/>
        <color theme="1"/>
        <rFont val="Calibri"/>
        <family val="2"/>
        <scheme val="minor"/>
      </rPr>
      <t xml:space="preserve"> - Substance Abuse Prevention
</t>
    </r>
    <r>
      <rPr>
        <b/>
        <sz val="11"/>
        <color theme="1"/>
        <rFont val="Calibri"/>
        <family val="2"/>
        <scheme val="minor"/>
      </rPr>
      <t>56760</t>
    </r>
    <r>
      <rPr>
        <sz val="11"/>
        <color theme="1"/>
        <rFont val="Calibri"/>
        <family val="2"/>
        <scheme val="minor"/>
      </rPr>
      <t xml:space="preserve"> - Swahili
</t>
    </r>
    <r>
      <rPr>
        <b/>
        <sz val="11"/>
        <color theme="1"/>
        <rFont val="Calibri"/>
        <family val="2"/>
        <scheme val="minor"/>
      </rPr>
      <t>58002</t>
    </r>
    <r>
      <rPr>
        <sz val="11"/>
        <color theme="1"/>
        <rFont val="Calibri"/>
        <family val="2"/>
        <scheme val="minor"/>
      </rPr>
      <t xml:space="preserve"> - Team Sports
</t>
    </r>
    <r>
      <rPr>
        <b/>
        <sz val="11"/>
        <color theme="1"/>
        <rFont val="Calibri"/>
        <family val="2"/>
        <scheme val="minor"/>
      </rPr>
      <t>71051</t>
    </r>
    <r>
      <rPr>
        <sz val="11"/>
        <color theme="1"/>
        <rFont val="Calibri"/>
        <family val="2"/>
        <scheme val="minor"/>
      </rPr>
      <t xml:space="preserve"> - Technological Literacy
</t>
    </r>
    <r>
      <rPr>
        <b/>
        <sz val="11"/>
        <color theme="1"/>
        <rFont val="Calibri"/>
        <family val="2"/>
        <scheme val="minor"/>
      </rPr>
      <t>71097</t>
    </r>
    <r>
      <rPr>
        <sz val="11"/>
        <color theme="1"/>
        <rFont val="Calibri"/>
        <family val="2"/>
        <scheme val="minor"/>
      </rPr>
      <t xml:space="preserve"> - Technology-Independent Study
</t>
    </r>
    <r>
      <rPr>
        <b/>
        <sz val="11"/>
        <color theme="1"/>
        <rFont val="Calibri"/>
        <family val="2"/>
        <scheme val="minor"/>
      </rPr>
      <t>55052</t>
    </r>
    <r>
      <rPr>
        <sz val="11"/>
        <color theme="1"/>
        <rFont val="Calibri"/>
        <family val="2"/>
        <scheme val="minor"/>
      </rPr>
      <t xml:space="preserve"> - Theatre Arts
</t>
    </r>
    <r>
      <rPr>
        <b/>
        <sz val="11"/>
        <color theme="1"/>
        <rFont val="Calibri"/>
        <family val="2"/>
        <scheme val="minor"/>
      </rPr>
      <t>70997</t>
    </r>
    <r>
      <rPr>
        <sz val="11"/>
        <color theme="1"/>
        <rFont val="Calibri"/>
        <family val="2"/>
        <scheme val="minor"/>
      </rPr>
      <t xml:space="preserve"> - Transportation, Distribution, and Logistics-Independent Study
</t>
    </r>
    <r>
      <rPr>
        <b/>
        <sz val="11"/>
        <color theme="1"/>
        <rFont val="Calibri"/>
        <family val="2"/>
        <scheme val="minor"/>
      </rPr>
      <t>70999</t>
    </r>
    <r>
      <rPr>
        <sz val="11"/>
        <color theme="1"/>
        <rFont val="Calibri"/>
        <family val="2"/>
        <scheme val="minor"/>
      </rPr>
      <t xml:space="preserve"> - Transportation, Distribution, and Logistics-Other
</t>
    </r>
    <r>
      <rPr>
        <b/>
        <sz val="11"/>
        <color theme="1"/>
        <rFont val="Calibri"/>
        <family val="2"/>
        <scheme val="minor"/>
      </rPr>
      <t>72005</t>
    </r>
    <r>
      <rPr>
        <sz val="11"/>
        <color theme="1"/>
        <rFont val="Calibri"/>
        <family val="2"/>
        <scheme val="minor"/>
      </rPr>
      <t xml:space="preserve"> - Tutorial
</t>
    </r>
    <r>
      <rPr>
        <b/>
        <sz val="11"/>
        <color theme="1"/>
        <rFont val="Calibri"/>
        <family val="2"/>
        <scheme val="minor"/>
      </rPr>
      <t>54107</t>
    </r>
    <r>
      <rPr>
        <sz val="11"/>
        <color theme="1"/>
        <rFont val="Calibri"/>
        <family val="2"/>
        <scheme val="minor"/>
      </rPr>
      <t xml:space="preserve"> - U.S. Ethnic Studies
</t>
    </r>
    <r>
      <rPr>
        <b/>
        <sz val="11"/>
        <color theme="1"/>
        <rFont val="Calibri"/>
        <family val="2"/>
        <scheme val="minor"/>
      </rPr>
      <t>54003</t>
    </r>
    <r>
      <rPr>
        <sz val="11"/>
        <color theme="1"/>
        <rFont val="Calibri"/>
        <family val="2"/>
        <scheme val="minor"/>
      </rPr>
      <t xml:space="preserve"> - U.S. Geography
</t>
    </r>
    <r>
      <rPr>
        <b/>
        <sz val="11"/>
        <color theme="1"/>
        <rFont val="Calibri"/>
        <family val="2"/>
        <scheme val="minor"/>
      </rPr>
      <t>54151</t>
    </r>
    <r>
      <rPr>
        <sz val="11"/>
        <color theme="1"/>
        <rFont val="Calibri"/>
        <family val="2"/>
        <scheme val="minor"/>
      </rPr>
      <t xml:space="preserve"> - U.S. Government-Comprehensive
</t>
    </r>
    <r>
      <rPr>
        <b/>
        <sz val="11"/>
        <color theme="1"/>
        <rFont val="Calibri"/>
        <family val="2"/>
        <scheme val="minor"/>
      </rPr>
      <t>54101</t>
    </r>
    <r>
      <rPr>
        <sz val="11"/>
        <color theme="1"/>
        <rFont val="Calibri"/>
        <family val="2"/>
        <scheme val="minor"/>
      </rPr>
      <t xml:space="preserve"> - U.S. History-Comprehensive
</t>
    </r>
    <r>
      <rPr>
        <b/>
        <sz val="11"/>
        <color theme="1"/>
        <rFont val="Calibri"/>
        <family val="2"/>
        <scheme val="minor"/>
      </rPr>
      <t>54147</t>
    </r>
    <r>
      <rPr>
        <sz val="11"/>
        <color theme="1"/>
        <rFont val="Calibri"/>
        <family val="2"/>
        <scheme val="minor"/>
      </rPr>
      <t xml:space="preserve"> - U.S. History-Independent Study
</t>
    </r>
    <r>
      <rPr>
        <b/>
        <sz val="11"/>
        <color theme="1"/>
        <rFont val="Calibri"/>
        <family val="2"/>
        <scheme val="minor"/>
      </rPr>
      <t>54149</t>
    </r>
    <r>
      <rPr>
        <sz val="11"/>
        <color theme="1"/>
        <rFont val="Calibri"/>
        <family val="2"/>
        <scheme val="minor"/>
      </rPr>
      <t xml:space="preserve"> - U.S. History-Other
</t>
    </r>
    <r>
      <rPr>
        <b/>
        <sz val="11"/>
        <color theme="1"/>
        <rFont val="Calibri"/>
        <family val="2"/>
        <scheme val="minor"/>
      </rPr>
      <t>53202</t>
    </r>
    <r>
      <rPr>
        <sz val="11"/>
        <color theme="1"/>
        <rFont val="Calibri"/>
        <family val="2"/>
        <scheme val="minor"/>
      </rPr>
      <t xml:space="preserve"> - Unified Science
</t>
    </r>
    <r>
      <rPr>
        <b/>
        <sz val="11"/>
        <color theme="1"/>
        <rFont val="Calibri"/>
        <family val="2"/>
        <scheme val="minor"/>
      </rPr>
      <t>72105</t>
    </r>
    <r>
      <rPr>
        <sz val="11"/>
        <color theme="1"/>
        <rFont val="Calibri"/>
        <family val="2"/>
        <scheme val="minor"/>
      </rPr>
      <t xml:space="preserve"> - Values Clarification
</t>
    </r>
    <r>
      <rPr>
        <b/>
        <sz val="11"/>
        <color theme="1"/>
        <rFont val="Calibri"/>
        <family val="2"/>
        <scheme val="minor"/>
      </rPr>
      <t>61055</t>
    </r>
    <r>
      <rPr>
        <sz val="11"/>
        <color theme="1"/>
        <rFont val="Calibri"/>
        <family val="2"/>
        <scheme val="minor"/>
      </rPr>
      <t xml:space="preserve"> - Video
</t>
    </r>
    <r>
      <rPr>
        <b/>
        <sz val="11"/>
        <color theme="1"/>
        <rFont val="Calibri"/>
        <family val="2"/>
        <scheme val="minor"/>
      </rPr>
      <t>56500</t>
    </r>
    <r>
      <rPr>
        <sz val="11"/>
        <color theme="1"/>
        <rFont val="Calibri"/>
        <family val="2"/>
        <scheme val="minor"/>
      </rPr>
      <t xml:space="preserve"> - Vietnamese
</t>
    </r>
    <r>
      <rPr>
        <b/>
        <sz val="11"/>
        <color theme="1"/>
        <rFont val="Calibri"/>
        <family val="2"/>
        <scheme val="minor"/>
      </rPr>
      <t>55197</t>
    </r>
    <r>
      <rPr>
        <sz val="11"/>
        <color theme="1"/>
        <rFont val="Calibri"/>
        <family val="2"/>
        <scheme val="minor"/>
      </rPr>
      <t xml:space="preserve"> - Visual Art-Independent Study
</t>
    </r>
    <r>
      <rPr>
        <b/>
        <sz val="11"/>
        <color theme="1"/>
        <rFont val="Calibri"/>
        <family val="2"/>
        <scheme val="minor"/>
      </rPr>
      <t>55199</t>
    </r>
    <r>
      <rPr>
        <sz val="11"/>
        <color theme="1"/>
        <rFont val="Calibri"/>
        <family val="2"/>
        <scheme val="minor"/>
      </rPr>
      <t xml:space="preserve"> - Visual Arts-Other
</t>
    </r>
    <r>
      <rPr>
        <b/>
        <sz val="11"/>
        <color theme="1"/>
        <rFont val="Calibri"/>
        <family val="2"/>
        <scheme val="minor"/>
      </rPr>
      <t>55111</t>
    </r>
    <r>
      <rPr>
        <sz val="11"/>
        <color theme="1"/>
        <rFont val="Calibri"/>
        <family val="2"/>
        <scheme val="minor"/>
      </rPr>
      <t xml:space="preserve"> - Vocal Ensembles
</t>
    </r>
    <r>
      <rPr>
        <b/>
        <sz val="11"/>
        <color theme="1"/>
        <rFont val="Calibri"/>
        <family val="2"/>
        <scheme val="minor"/>
      </rPr>
      <t>60201</t>
    </r>
    <r>
      <rPr>
        <sz val="11"/>
        <color theme="1"/>
        <rFont val="Calibri"/>
        <family val="2"/>
        <scheme val="minor"/>
      </rPr>
      <t xml:space="preserve"> - Web Page Design
</t>
    </r>
    <r>
      <rPr>
        <b/>
        <sz val="11"/>
        <color theme="1"/>
        <rFont val="Calibri"/>
        <family val="2"/>
        <scheme val="minor"/>
      </rPr>
      <t>54063</t>
    </r>
    <r>
      <rPr>
        <sz val="11"/>
        <color theme="1"/>
        <rFont val="Calibri"/>
        <family val="2"/>
        <scheme val="minor"/>
      </rPr>
      <t xml:space="preserve"> - Western Civilization
</t>
    </r>
    <r>
      <rPr>
        <b/>
        <sz val="11"/>
        <color theme="1"/>
        <rFont val="Calibri"/>
        <family val="2"/>
        <scheme val="minor"/>
      </rPr>
      <t>62006</t>
    </r>
    <r>
      <rPr>
        <sz val="11"/>
        <color theme="1"/>
        <rFont val="Calibri"/>
        <family val="2"/>
        <scheme val="minor"/>
      </rPr>
      <t xml:space="preserve"> - Word Processing
</t>
    </r>
    <r>
      <rPr>
        <b/>
        <sz val="11"/>
        <color theme="1"/>
        <rFont val="Calibri"/>
        <family val="2"/>
        <scheme val="minor"/>
      </rPr>
      <t>54061</t>
    </r>
    <r>
      <rPr>
        <sz val="11"/>
        <color theme="1"/>
        <rFont val="Calibri"/>
        <family val="2"/>
        <scheme val="minor"/>
      </rPr>
      <t xml:space="preserve"> - World Area Studies
</t>
    </r>
    <r>
      <rPr>
        <b/>
        <sz val="11"/>
        <color theme="1"/>
        <rFont val="Calibri"/>
        <family val="2"/>
        <scheme val="minor"/>
      </rPr>
      <t>54001</t>
    </r>
    <r>
      <rPr>
        <sz val="11"/>
        <color theme="1"/>
        <rFont val="Calibri"/>
        <family val="2"/>
        <scheme val="minor"/>
      </rPr>
      <t xml:space="preserve"> - World Geography
</t>
    </r>
    <r>
      <rPr>
        <b/>
        <sz val="11"/>
        <color theme="1"/>
        <rFont val="Calibri"/>
        <family val="2"/>
        <scheme val="minor"/>
      </rPr>
      <t>54097</t>
    </r>
    <r>
      <rPr>
        <sz val="11"/>
        <color theme="1"/>
        <rFont val="Calibri"/>
        <family val="2"/>
        <scheme val="minor"/>
      </rPr>
      <t xml:space="preserve"> - World History-Independent Study
</t>
    </r>
    <r>
      <rPr>
        <b/>
        <sz val="11"/>
        <color theme="1"/>
        <rFont val="Calibri"/>
        <family val="2"/>
        <scheme val="minor"/>
      </rPr>
      <t>54051</t>
    </r>
    <r>
      <rPr>
        <sz val="11"/>
        <color theme="1"/>
        <rFont val="Calibri"/>
        <family val="2"/>
        <scheme val="minor"/>
      </rPr>
      <t xml:space="preserve"> - World History-Overview
</t>
    </r>
    <r>
      <rPr>
        <b/>
        <sz val="11"/>
        <color theme="1"/>
        <rFont val="Calibri"/>
        <family val="2"/>
        <scheme val="minor"/>
      </rPr>
      <t>54062</t>
    </r>
    <r>
      <rPr>
        <sz val="11"/>
        <color theme="1"/>
        <rFont val="Calibri"/>
        <family val="2"/>
        <scheme val="minor"/>
      </rPr>
      <t xml:space="preserve"> - World People Studies
</t>
    </r>
    <r>
      <rPr>
        <b/>
        <sz val="11"/>
        <color theme="1"/>
        <rFont val="Calibri"/>
        <family val="2"/>
        <scheme val="minor"/>
      </rPr>
      <t>51128</t>
    </r>
    <r>
      <rPr>
        <sz val="11"/>
        <color theme="1"/>
        <rFont val="Calibri"/>
        <family val="2"/>
        <scheme val="minor"/>
      </rPr>
      <t xml:space="preserve"> - Writing (early childhood education)
</t>
    </r>
    <r>
      <rPr>
        <b/>
        <sz val="11"/>
        <color theme="1"/>
        <rFont val="Calibri"/>
        <family val="2"/>
        <scheme val="minor"/>
      </rPr>
      <t>51131</t>
    </r>
    <r>
      <rPr>
        <sz val="11"/>
        <color theme="1"/>
        <rFont val="Calibri"/>
        <family val="2"/>
        <scheme val="minor"/>
      </rPr>
      <t xml:space="preserve"> - Writing (grade 1)
</t>
    </r>
    <r>
      <rPr>
        <b/>
        <sz val="11"/>
        <color theme="1"/>
        <rFont val="Calibri"/>
        <family val="2"/>
        <scheme val="minor"/>
      </rPr>
      <t>51132</t>
    </r>
    <r>
      <rPr>
        <sz val="11"/>
        <color theme="1"/>
        <rFont val="Calibri"/>
        <family val="2"/>
        <scheme val="minor"/>
      </rPr>
      <t xml:space="preserve"> - Writing (grade 2)
</t>
    </r>
    <r>
      <rPr>
        <b/>
        <sz val="11"/>
        <color theme="1"/>
        <rFont val="Calibri"/>
        <family val="2"/>
        <scheme val="minor"/>
      </rPr>
      <t>51133</t>
    </r>
    <r>
      <rPr>
        <sz val="11"/>
        <color theme="1"/>
        <rFont val="Calibri"/>
        <family val="2"/>
        <scheme val="minor"/>
      </rPr>
      <t xml:space="preserve"> - Writing (grade 3)
</t>
    </r>
    <r>
      <rPr>
        <b/>
        <sz val="11"/>
        <color theme="1"/>
        <rFont val="Calibri"/>
        <family val="2"/>
        <scheme val="minor"/>
      </rPr>
      <t>51134</t>
    </r>
    <r>
      <rPr>
        <sz val="11"/>
        <color theme="1"/>
        <rFont val="Calibri"/>
        <family val="2"/>
        <scheme val="minor"/>
      </rPr>
      <t xml:space="preserve"> - Writing (grade 4)
</t>
    </r>
    <r>
      <rPr>
        <b/>
        <sz val="11"/>
        <color theme="1"/>
        <rFont val="Calibri"/>
        <family val="2"/>
        <scheme val="minor"/>
      </rPr>
      <t>51135</t>
    </r>
    <r>
      <rPr>
        <sz val="11"/>
        <color theme="1"/>
        <rFont val="Calibri"/>
        <family val="2"/>
        <scheme val="minor"/>
      </rPr>
      <t xml:space="preserve"> - Writing (grade 5)
</t>
    </r>
    <r>
      <rPr>
        <b/>
        <sz val="11"/>
        <color theme="1"/>
        <rFont val="Calibri"/>
        <family val="2"/>
        <scheme val="minor"/>
      </rPr>
      <t>51136</t>
    </r>
    <r>
      <rPr>
        <sz val="11"/>
        <color theme="1"/>
        <rFont val="Calibri"/>
        <family val="2"/>
        <scheme val="minor"/>
      </rPr>
      <t xml:space="preserve"> - Writing (grade 6)
</t>
    </r>
    <r>
      <rPr>
        <b/>
        <sz val="11"/>
        <color theme="1"/>
        <rFont val="Calibri"/>
        <family val="2"/>
        <scheme val="minor"/>
      </rPr>
      <t>51137</t>
    </r>
    <r>
      <rPr>
        <sz val="11"/>
        <color theme="1"/>
        <rFont val="Calibri"/>
        <family val="2"/>
        <scheme val="minor"/>
      </rPr>
      <t xml:space="preserve"> - Writing (grade 7)
</t>
    </r>
    <r>
      <rPr>
        <b/>
        <sz val="11"/>
        <color theme="1"/>
        <rFont val="Calibri"/>
        <family val="2"/>
        <scheme val="minor"/>
      </rPr>
      <t>51138</t>
    </r>
    <r>
      <rPr>
        <sz val="11"/>
        <color theme="1"/>
        <rFont val="Calibri"/>
        <family val="2"/>
        <scheme val="minor"/>
      </rPr>
      <t xml:space="preserve"> - Writing (grade 8)
</t>
    </r>
    <r>
      <rPr>
        <b/>
        <sz val="11"/>
        <color theme="1"/>
        <rFont val="Calibri"/>
        <family val="2"/>
        <scheme val="minor"/>
      </rPr>
      <t>51130</t>
    </r>
    <r>
      <rPr>
        <sz val="11"/>
        <color theme="1"/>
        <rFont val="Calibri"/>
        <family val="2"/>
        <scheme val="minor"/>
      </rPr>
      <t xml:space="preserve"> - Writing (kindergarten)
</t>
    </r>
    <r>
      <rPr>
        <b/>
        <sz val="11"/>
        <color theme="1"/>
        <rFont val="Calibri"/>
        <family val="2"/>
        <scheme val="minor"/>
      </rPr>
      <t>51129</t>
    </r>
    <r>
      <rPr>
        <sz val="11"/>
        <color theme="1"/>
        <rFont val="Calibri"/>
        <family val="2"/>
        <scheme val="minor"/>
      </rPr>
      <t xml:space="preserve"> - Writing (pre-kindergarten)
</t>
    </r>
    <r>
      <rPr>
        <b/>
        <sz val="11"/>
        <color theme="1"/>
        <rFont val="Calibri"/>
        <family val="2"/>
        <scheme val="minor"/>
      </rPr>
      <t>51139</t>
    </r>
    <r>
      <rPr>
        <sz val="11"/>
        <color theme="1"/>
        <rFont val="Calibri"/>
        <family val="2"/>
        <scheme val="minor"/>
      </rPr>
      <t xml:space="preserve"> - Writing
</t>
    </r>
  </si>
  <si>
    <r>
      <t>51</t>
    </r>
    <r>
      <rPr>
        <sz val="11"/>
        <color theme="1"/>
        <rFont val="Calibri"/>
        <family val="2"/>
        <scheme val="minor"/>
      </rPr>
      <t xml:space="preserve"> - English Language and Literature
</t>
    </r>
    <r>
      <rPr>
        <b/>
        <sz val="11"/>
        <color theme="1"/>
        <rFont val="Calibri"/>
        <family val="2"/>
        <scheme val="minor"/>
      </rPr>
      <t>52</t>
    </r>
    <r>
      <rPr>
        <sz val="11"/>
        <color theme="1"/>
        <rFont val="Calibri"/>
        <family val="2"/>
        <scheme val="minor"/>
      </rPr>
      <t xml:space="preserve"> - Mathematics
</t>
    </r>
    <r>
      <rPr>
        <b/>
        <sz val="11"/>
        <color theme="1"/>
        <rFont val="Calibri"/>
        <family val="2"/>
        <scheme val="minor"/>
      </rPr>
      <t>53</t>
    </r>
    <r>
      <rPr>
        <sz val="11"/>
        <color theme="1"/>
        <rFont val="Calibri"/>
        <family val="2"/>
        <scheme val="minor"/>
      </rPr>
      <t xml:space="preserve"> - Life and Physical Sciences
</t>
    </r>
    <r>
      <rPr>
        <b/>
        <sz val="11"/>
        <color theme="1"/>
        <rFont val="Calibri"/>
        <family val="2"/>
        <scheme val="minor"/>
      </rPr>
      <t>54</t>
    </r>
    <r>
      <rPr>
        <sz val="11"/>
        <color theme="1"/>
        <rFont val="Calibri"/>
        <family val="2"/>
        <scheme val="minor"/>
      </rPr>
      <t xml:space="preserve"> - Social Sciences and History
</t>
    </r>
    <r>
      <rPr>
        <b/>
        <sz val="11"/>
        <color theme="1"/>
        <rFont val="Calibri"/>
        <family val="2"/>
        <scheme val="minor"/>
      </rPr>
      <t>55</t>
    </r>
    <r>
      <rPr>
        <sz val="11"/>
        <color theme="1"/>
        <rFont val="Calibri"/>
        <family val="2"/>
        <scheme val="minor"/>
      </rPr>
      <t xml:space="preserve"> - Fine and Performing Arts
</t>
    </r>
    <r>
      <rPr>
        <b/>
        <sz val="11"/>
        <color theme="1"/>
        <rFont val="Calibri"/>
        <family val="2"/>
        <scheme val="minor"/>
      </rPr>
      <t>56</t>
    </r>
    <r>
      <rPr>
        <sz val="11"/>
        <color theme="1"/>
        <rFont val="Calibri"/>
        <family val="2"/>
        <scheme val="minor"/>
      </rPr>
      <t xml:space="preserve"> - Foreign Language and Literature
</t>
    </r>
    <r>
      <rPr>
        <b/>
        <sz val="11"/>
        <color theme="1"/>
        <rFont val="Calibri"/>
        <family val="2"/>
        <scheme val="minor"/>
      </rPr>
      <t>57</t>
    </r>
    <r>
      <rPr>
        <sz val="11"/>
        <color theme="1"/>
        <rFont val="Calibri"/>
        <family val="2"/>
        <scheme val="minor"/>
      </rPr>
      <t xml:space="preserve"> - Religious Education and Theology
</t>
    </r>
    <r>
      <rPr>
        <b/>
        <sz val="11"/>
        <color theme="1"/>
        <rFont val="Calibri"/>
        <family val="2"/>
        <scheme val="minor"/>
      </rPr>
      <t>58</t>
    </r>
    <r>
      <rPr>
        <sz val="11"/>
        <color theme="1"/>
        <rFont val="Calibri"/>
        <family val="2"/>
        <scheme val="minor"/>
      </rPr>
      <t xml:space="preserve"> - Physical, Health, and Safety Education
</t>
    </r>
    <r>
      <rPr>
        <b/>
        <sz val="11"/>
        <color theme="1"/>
        <rFont val="Calibri"/>
        <family val="2"/>
        <scheme val="minor"/>
      </rPr>
      <t>59</t>
    </r>
    <r>
      <rPr>
        <sz val="11"/>
        <color theme="1"/>
        <rFont val="Calibri"/>
        <family val="2"/>
        <scheme val="minor"/>
      </rPr>
      <t xml:space="preserve"> - Military Science
</t>
    </r>
    <r>
      <rPr>
        <b/>
        <sz val="11"/>
        <color theme="1"/>
        <rFont val="Calibri"/>
        <family val="2"/>
        <scheme val="minor"/>
      </rPr>
      <t>60</t>
    </r>
    <r>
      <rPr>
        <sz val="11"/>
        <color theme="1"/>
        <rFont val="Calibri"/>
        <family val="2"/>
        <scheme val="minor"/>
      </rPr>
      <t xml:space="preserve"> - Computer and Information Sciences
</t>
    </r>
    <r>
      <rPr>
        <b/>
        <sz val="11"/>
        <color theme="1"/>
        <rFont val="Calibri"/>
        <family val="2"/>
        <scheme val="minor"/>
      </rPr>
      <t>61</t>
    </r>
    <r>
      <rPr>
        <sz val="11"/>
        <color theme="1"/>
        <rFont val="Calibri"/>
        <family val="2"/>
        <scheme val="minor"/>
      </rPr>
      <t xml:space="preserve"> - Communications and Audio/Visual Technology
</t>
    </r>
    <r>
      <rPr>
        <b/>
        <sz val="11"/>
        <color theme="1"/>
        <rFont val="Calibri"/>
        <family val="2"/>
        <scheme val="minor"/>
      </rPr>
      <t>62</t>
    </r>
    <r>
      <rPr>
        <sz val="11"/>
        <color theme="1"/>
        <rFont val="Calibri"/>
        <family val="2"/>
        <scheme val="minor"/>
      </rPr>
      <t xml:space="preserve"> - Business and Marketing
</t>
    </r>
    <r>
      <rPr>
        <b/>
        <sz val="11"/>
        <color theme="1"/>
        <rFont val="Calibri"/>
        <family val="2"/>
        <scheme val="minor"/>
      </rPr>
      <t>63</t>
    </r>
    <r>
      <rPr>
        <sz val="11"/>
        <color theme="1"/>
        <rFont val="Calibri"/>
        <family val="2"/>
        <scheme val="minor"/>
      </rPr>
      <t xml:space="preserve"> - Manufacturing
</t>
    </r>
    <r>
      <rPr>
        <b/>
        <sz val="11"/>
        <color theme="1"/>
        <rFont val="Calibri"/>
        <family val="2"/>
        <scheme val="minor"/>
      </rPr>
      <t>64</t>
    </r>
    <r>
      <rPr>
        <sz val="11"/>
        <color theme="1"/>
        <rFont val="Calibri"/>
        <family val="2"/>
        <scheme val="minor"/>
      </rPr>
      <t xml:space="preserve"> - Health Care Sciences
</t>
    </r>
    <r>
      <rPr>
        <b/>
        <sz val="11"/>
        <color theme="1"/>
        <rFont val="Calibri"/>
        <family val="2"/>
        <scheme val="minor"/>
      </rPr>
      <t>65</t>
    </r>
    <r>
      <rPr>
        <sz val="11"/>
        <color theme="1"/>
        <rFont val="Calibri"/>
        <family val="2"/>
        <scheme val="minor"/>
      </rPr>
      <t xml:space="preserve"> - Public, Protective, and Government Services
</t>
    </r>
    <r>
      <rPr>
        <b/>
        <sz val="11"/>
        <color theme="1"/>
        <rFont val="Calibri"/>
        <family val="2"/>
        <scheme val="minor"/>
      </rPr>
      <t>66</t>
    </r>
    <r>
      <rPr>
        <sz val="11"/>
        <color theme="1"/>
        <rFont val="Calibri"/>
        <family val="2"/>
        <scheme val="minor"/>
      </rPr>
      <t xml:space="preserve"> - Hospitality and Tourism
</t>
    </r>
    <r>
      <rPr>
        <b/>
        <sz val="11"/>
        <color theme="1"/>
        <rFont val="Calibri"/>
        <family val="2"/>
        <scheme val="minor"/>
      </rPr>
      <t>67</t>
    </r>
    <r>
      <rPr>
        <sz val="11"/>
        <color theme="1"/>
        <rFont val="Calibri"/>
        <family val="2"/>
        <scheme val="minor"/>
      </rPr>
      <t xml:space="preserve"> - Architecture and Construction
</t>
    </r>
    <r>
      <rPr>
        <b/>
        <sz val="11"/>
        <color theme="1"/>
        <rFont val="Calibri"/>
        <family val="2"/>
        <scheme val="minor"/>
      </rPr>
      <t>68</t>
    </r>
    <r>
      <rPr>
        <sz val="11"/>
        <color theme="1"/>
        <rFont val="Calibri"/>
        <family val="2"/>
        <scheme val="minor"/>
      </rPr>
      <t xml:space="preserve"> - Agriculture, Food, and Natural Resources
</t>
    </r>
    <r>
      <rPr>
        <b/>
        <sz val="11"/>
        <color theme="1"/>
        <rFont val="Calibri"/>
        <family val="2"/>
        <scheme val="minor"/>
      </rPr>
      <t>69</t>
    </r>
    <r>
      <rPr>
        <sz val="11"/>
        <color theme="1"/>
        <rFont val="Calibri"/>
        <family val="2"/>
        <scheme val="minor"/>
      </rPr>
      <t xml:space="preserve"> - Human Services
</t>
    </r>
    <r>
      <rPr>
        <b/>
        <sz val="11"/>
        <color theme="1"/>
        <rFont val="Calibri"/>
        <family val="2"/>
        <scheme val="minor"/>
      </rPr>
      <t>70</t>
    </r>
    <r>
      <rPr>
        <sz val="11"/>
        <color theme="1"/>
        <rFont val="Calibri"/>
        <family val="2"/>
        <scheme val="minor"/>
      </rPr>
      <t xml:space="preserve"> - Transportation, Distribution, and Logistics
</t>
    </r>
    <r>
      <rPr>
        <b/>
        <sz val="11"/>
        <color theme="1"/>
        <rFont val="Calibri"/>
        <family val="2"/>
        <scheme val="minor"/>
      </rPr>
      <t>71</t>
    </r>
    <r>
      <rPr>
        <sz val="11"/>
        <color theme="1"/>
        <rFont val="Calibri"/>
        <family val="2"/>
        <scheme val="minor"/>
      </rPr>
      <t xml:space="preserve"> - Engineering and Technology
</t>
    </r>
    <r>
      <rPr>
        <b/>
        <sz val="11"/>
        <color theme="1"/>
        <rFont val="Calibri"/>
        <family val="2"/>
        <scheme val="minor"/>
      </rPr>
      <t>72</t>
    </r>
    <r>
      <rPr>
        <sz val="11"/>
        <color theme="1"/>
        <rFont val="Calibri"/>
        <family val="2"/>
        <scheme val="minor"/>
      </rPr>
      <t xml:space="preserve"> - Miscellaneous
</t>
    </r>
    <r>
      <rPr>
        <b/>
        <sz val="11"/>
        <color theme="1"/>
        <rFont val="Calibri"/>
        <family val="2"/>
        <scheme val="minor"/>
      </rPr>
      <t>73</t>
    </r>
    <r>
      <rPr>
        <sz val="11"/>
        <color theme="1"/>
        <rFont val="Calibri"/>
        <family val="2"/>
        <scheme val="minor"/>
      </rPr>
      <t xml:space="preserve"> - Nonsubject Specific
</t>
    </r>
  </si>
  <si>
    <r>
      <t>QRIS</t>
    </r>
    <r>
      <rPr>
        <sz val="11"/>
        <color theme="1"/>
        <rFont val="Calibri"/>
        <family val="2"/>
        <scheme val="minor"/>
      </rPr>
      <t xml:space="preserve"> - Quality Rating and Improvement System
</t>
    </r>
    <r>
      <rPr>
        <b/>
        <sz val="11"/>
        <color theme="1"/>
        <rFont val="Calibri"/>
        <family val="2"/>
        <scheme val="minor"/>
      </rPr>
      <t>Licensing</t>
    </r>
    <r>
      <rPr>
        <sz val="11"/>
        <color theme="1"/>
        <rFont val="Calibri"/>
        <family val="2"/>
        <scheme val="minor"/>
      </rPr>
      <t xml:space="preserve"> - Licensing
</t>
    </r>
    <r>
      <rPr>
        <b/>
        <sz val="11"/>
        <color theme="1"/>
        <rFont val="Calibri"/>
        <family val="2"/>
        <scheme val="minor"/>
      </rPr>
      <t>StateStandard</t>
    </r>
    <r>
      <rPr>
        <sz val="11"/>
        <color theme="1"/>
        <rFont val="Calibri"/>
        <family val="2"/>
        <scheme val="minor"/>
      </rPr>
      <t xml:space="preserve"> - State standard
</t>
    </r>
    <r>
      <rPr>
        <b/>
        <sz val="11"/>
        <color theme="1"/>
        <rFont val="Calibri"/>
        <family val="2"/>
        <scheme val="minor"/>
      </rPr>
      <t>Other</t>
    </r>
    <r>
      <rPr>
        <sz val="11"/>
        <color theme="1"/>
        <rFont val="Calibri"/>
        <family val="2"/>
        <scheme val="minor"/>
      </rPr>
      <t xml:space="preserve"> - Other
</t>
    </r>
  </si>
  <si>
    <r>
      <t>Hours</t>
    </r>
    <r>
      <rPr>
        <sz val="11"/>
        <color theme="1"/>
        <rFont val="Calibri"/>
        <family val="2"/>
        <scheme val="minor"/>
      </rPr>
      <t xml:space="preserve"> - Hours
</t>
    </r>
    <r>
      <rPr>
        <b/>
        <sz val="11"/>
        <color theme="1"/>
        <rFont val="Calibri"/>
        <family val="2"/>
        <scheme val="minor"/>
      </rPr>
      <t>CEUs</t>
    </r>
    <r>
      <rPr>
        <sz val="11"/>
        <color theme="1"/>
        <rFont val="Calibri"/>
        <family val="2"/>
        <scheme val="minor"/>
      </rPr>
      <t xml:space="preserve"> - Continuing Education Units
</t>
    </r>
    <r>
      <rPr>
        <b/>
        <sz val="11"/>
        <color theme="1"/>
        <rFont val="Calibri"/>
        <family val="2"/>
        <scheme val="minor"/>
      </rPr>
      <t>QuarterCredits</t>
    </r>
    <r>
      <rPr>
        <sz val="11"/>
        <color theme="1"/>
        <rFont val="Calibri"/>
        <family val="2"/>
        <scheme val="minor"/>
      </rPr>
      <t xml:space="preserve"> - Quarter credits
</t>
    </r>
    <r>
      <rPr>
        <b/>
        <sz val="11"/>
        <color theme="1"/>
        <rFont val="Calibri"/>
        <family val="2"/>
        <scheme val="minor"/>
      </rPr>
      <t>SemesterCredits</t>
    </r>
    <r>
      <rPr>
        <sz val="11"/>
        <color theme="1"/>
        <rFont val="Calibri"/>
        <family val="2"/>
        <scheme val="minor"/>
      </rPr>
      <t xml:space="preserve"> - Semester credits
</t>
    </r>
  </si>
  <si>
    <r>
      <t>IN</t>
    </r>
    <r>
      <rPr>
        <sz val="11"/>
        <color theme="1"/>
        <rFont val="Calibri"/>
        <family val="2"/>
        <scheme val="minor"/>
      </rPr>
      <t xml:space="preserve"> - Infant
</t>
    </r>
    <r>
      <rPr>
        <b/>
        <sz val="11"/>
        <color theme="1"/>
        <rFont val="Calibri"/>
        <family val="2"/>
        <scheme val="minor"/>
      </rPr>
      <t>TO</t>
    </r>
    <r>
      <rPr>
        <sz val="11"/>
        <color theme="1"/>
        <rFont val="Calibri"/>
        <family val="2"/>
        <scheme val="minor"/>
      </rPr>
      <t xml:space="preserve"> - 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AS</t>
    </r>
    <r>
      <rPr>
        <sz val="11"/>
        <color theme="1"/>
        <rFont val="Calibri"/>
        <family val="2"/>
        <scheme val="minor"/>
      </rPr>
      <t xml:space="preserve"> - Associate's degree
</t>
    </r>
    <r>
      <rPr>
        <b/>
        <sz val="11"/>
        <color theme="1"/>
        <rFont val="Calibri"/>
        <family val="2"/>
        <scheme val="minor"/>
      </rPr>
      <t>BA</t>
    </r>
    <r>
      <rPr>
        <sz val="11"/>
        <color theme="1"/>
        <rFont val="Calibri"/>
        <family val="2"/>
        <scheme val="minor"/>
      </rPr>
      <t xml:space="preserve"> - Bachelor's degree
</t>
    </r>
    <r>
      <rPr>
        <b/>
        <sz val="11"/>
        <color theme="1"/>
        <rFont val="Calibri"/>
        <family val="2"/>
        <scheme val="minor"/>
      </rPr>
      <t>PB</t>
    </r>
    <r>
      <rPr>
        <sz val="11"/>
        <color theme="1"/>
        <rFont val="Calibri"/>
        <family val="2"/>
        <scheme val="minor"/>
      </rPr>
      <t xml:space="preserve"> - Post-baccalaureate certificate
</t>
    </r>
    <r>
      <rPr>
        <b/>
        <sz val="11"/>
        <color theme="1"/>
        <rFont val="Calibri"/>
        <family val="2"/>
        <scheme val="minor"/>
      </rPr>
      <t>MD</t>
    </r>
    <r>
      <rPr>
        <sz val="11"/>
        <color theme="1"/>
        <rFont val="Calibri"/>
        <family val="2"/>
        <scheme val="minor"/>
      </rPr>
      <t xml:space="preserve"> - Master's degree
</t>
    </r>
    <r>
      <rPr>
        <b/>
        <sz val="11"/>
        <color theme="1"/>
        <rFont val="Calibri"/>
        <family val="2"/>
        <scheme val="minor"/>
      </rPr>
      <t>PM</t>
    </r>
    <r>
      <rPr>
        <sz val="11"/>
        <color theme="1"/>
        <rFont val="Calibri"/>
        <family val="2"/>
        <scheme val="minor"/>
      </rPr>
      <t xml:space="preserve"> - Post-master's certificate
</t>
    </r>
    <r>
      <rPr>
        <b/>
        <sz val="11"/>
        <color theme="1"/>
        <rFont val="Calibri"/>
        <family val="2"/>
        <scheme val="minor"/>
      </rPr>
      <t>DO</t>
    </r>
    <r>
      <rPr>
        <sz val="11"/>
        <color theme="1"/>
        <rFont val="Calibri"/>
        <family val="2"/>
        <scheme val="minor"/>
      </rPr>
      <t xml:space="preserve"> - Doctoral degree
</t>
    </r>
    <r>
      <rPr>
        <b/>
        <sz val="11"/>
        <color theme="1"/>
        <rFont val="Calibri"/>
        <family val="2"/>
        <scheme val="minor"/>
      </rPr>
      <t>PD</t>
    </r>
    <r>
      <rPr>
        <sz val="11"/>
        <color theme="1"/>
        <rFont val="Calibri"/>
        <family val="2"/>
        <scheme val="minor"/>
      </rPr>
      <t xml:space="preserve"> - Post-doctoral certificate
</t>
    </r>
    <r>
      <rPr>
        <b/>
        <sz val="11"/>
        <color theme="1"/>
        <rFont val="Calibri"/>
        <family val="2"/>
        <scheme val="minor"/>
      </rPr>
      <t>AE</t>
    </r>
    <r>
      <rPr>
        <sz val="11"/>
        <color theme="1"/>
        <rFont val="Calibri"/>
        <family val="2"/>
        <scheme val="minor"/>
      </rPr>
      <t xml:space="preserve"> - Adult education
</t>
    </r>
    <r>
      <rPr>
        <b/>
        <sz val="11"/>
        <color theme="1"/>
        <rFont val="Calibri"/>
        <family val="2"/>
        <scheme val="minor"/>
      </rPr>
      <t>OT</t>
    </r>
    <r>
      <rPr>
        <sz val="11"/>
        <color theme="1"/>
        <rFont val="Calibri"/>
        <family val="2"/>
        <scheme val="minor"/>
      </rPr>
      <t xml:space="preserve"> - Other
</t>
    </r>
  </si>
  <si>
    <r>
      <t>AdministrativeSupportStaff</t>
    </r>
    <r>
      <rPr>
        <sz val="11"/>
        <color theme="1"/>
        <rFont val="Calibri"/>
        <family val="2"/>
        <scheme val="minor"/>
      </rPr>
      <t xml:space="preserve"> - Administrative Support Staff
</t>
    </r>
    <r>
      <rPr>
        <b/>
        <sz val="11"/>
        <color theme="1"/>
        <rFont val="Calibri"/>
        <family val="2"/>
        <scheme val="minor"/>
      </rPr>
      <t>Administrators</t>
    </r>
    <r>
      <rPr>
        <sz val="11"/>
        <color theme="1"/>
        <rFont val="Calibri"/>
        <family val="2"/>
        <scheme val="minor"/>
      </rPr>
      <t xml:space="preserve"> - Administrators
</t>
    </r>
    <r>
      <rPr>
        <b/>
        <sz val="11"/>
        <color theme="1"/>
        <rFont val="Calibri"/>
        <family val="2"/>
        <scheme val="minor"/>
      </rPr>
      <t>AllOtherSupportStaff</t>
    </r>
    <r>
      <rPr>
        <sz val="11"/>
        <color theme="1"/>
        <rFont val="Calibri"/>
        <family val="2"/>
        <scheme val="minor"/>
      </rPr>
      <t xml:space="preserve"> - All Other Support Staff 
</t>
    </r>
    <r>
      <rPr>
        <b/>
        <sz val="11"/>
        <color theme="1"/>
        <rFont val="Calibri"/>
        <family val="2"/>
        <scheme val="minor"/>
      </rPr>
      <t>BehavioralSpecialists</t>
    </r>
    <r>
      <rPr>
        <sz val="11"/>
        <color theme="1"/>
        <rFont val="Calibri"/>
        <family val="2"/>
        <scheme val="minor"/>
      </rPr>
      <t xml:space="preserve"> - Behavioral Specialists
</t>
    </r>
    <r>
      <rPr>
        <b/>
        <sz val="11"/>
        <color theme="1"/>
        <rFont val="Calibri"/>
        <family val="2"/>
        <scheme val="minor"/>
      </rPr>
      <t>ELAssistantTeachers</t>
    </r>
    <r>
      <rPr>
        <sz val="11"/>
        <color theme="1"/>
        <rFont val="Calibri"/>
        <family val="2"/>
        <scheme val="minor"/>
      </rPr>
      <t xml:space="preserve"> - Early Leaning Assistant Teachers
</t>
    </r>
    <r>
      <rPr>
        <b/>
        <sz val="11"/>
        <color theme="1"/>
        <rFont val="Calibri"/>
        <family val="2"/>
        <scheme val="minor"/>
      </rPr>
      <t>ELTeachers</t>
    </r>
    <r>
      <rPr>
        <sz val="11"/>
        <color theme="1"/>
        <rFont val="Calibri"/>
        <family val="2"/>
        <scheme val="minor"/>
      </rPr>
      <t xml:space="preserve"> - Early Learning Teachers
</t>
    </r>
    <r>
      <rPr>
        <b/>
        <sz val="11"/>
        <color theme="1"/>
        <rFont val="Calibri"/>
        <family val="2"/>
        <scheme val="minor"/>
      </rPr>
      <t>ElementaryTeachers</t>
    </r>
    <r>
      <rPr>
        <sz val="11"/>
        <color theme="1"/>
        <rFont val="Calibri"/>
        <family val="2"/>
        <scheme val="minor"/>
      </rPr>
      <t xml:space="preserve"> - Elementary Teachers
</t>
    </r>
    <r>
      <rPr>
        <b/>
        <sz val="11"/>
        <color theme="1"/>
        <rFont val="Calibri"/>
        <family val="2"/>
        <scheme val="minor"/>
      </rPr>
      <t>FamilyServiceWorkers</t>
    </r>
    <r>
      <rPr>
        <sz val="11"/>
        <color theme="1"/>
        <rFont val="Calibri"/>
        <family val="2"/>
        <scheme val="minor"/>
      </rPr>
      <t xml:space="preserve"> - Family Service Workers
</t>
    </r>
    <r>
      <rPr>
        <b/>
        <sz val="11"/>
        <color theme="1"/>
        <rFont val="Calibri"/>
        <family val="2"/>
        <scheme val="minor"/>
      </rPr>
      <t>HealthSpecialists</t>
    </r>
    <r>
      <rPr>
        <sz val="11"/>
        <color theme="1"/>
        <rFont val="Calibri"/>
        <family val="2"/>
        <scheme val="minor"/>
      </rPr>
      <t xml:space="preserve"> - Health Specialists
</t>
    </r>
    <r>
      <rPr>
        <b/>
        <sz val="11"/>
        <color theme="1"/>
        <rFont val="Calibri"/>
        <family val="2"/>
        <scheme val="minor"/>
      </rPr>
      <t>HomeVisitors</t>
    </r>
    <r>
      <rPr>
        <sz val="11"/>
        <color theme="1"/>
        <rFont val="Calibri"/>
        <family val="2"/>
        <scheme val="minor"/>
      </rPr>
      <t xml:space="preserve"> - Home Visitors
</t>
    </r>
    <r>
      <rPr>
        <b/>
        <sz val="11"/>
        <color theme="1"/>
        <rFont val="Calibri"/>
        <family val="2"/>
        <scheme val="minor"/>
      </rPr>
      <t>InstructionalCoordinators</t>
    </r>
    <r>
      <rPr>
        <sz val="11"/>
        <color theme="1"/>
        <rFont val="Calibri"/>
        <family val="2"/>
        <scheme val="minor"/>
      </rPr>
      <t xml:space="preserve"> - Instructional Coordinators
</t>
    </r>
    <r>
      <rPr>
        <b/>
        <sz val="11"/>
        <color theme="1"/>
        <rFont val="Calibri"/>
        <family val="2"/>
        <scheme val="minor"/>
      </rPr>
      <t>KindergartenTeachers</t>
    </r>
    <r>
      <rPr>
        <sz val="11"/>
        <color theme="1"/>
        <rFont val="Calibri"/>
        <family val="2"/>
        <scheme val="minor"/>
      </rPr>
      <t xml:space="preserve"> - Kindergarten Teachers
</t>
    </r>
    <r>
      <rPr>
        <b/>
        <sz val="11"/>
        <color theme="1"/>
        <rFont val="Calibri"/>
        <family val="2"/>
        <scheme val="minor"/>
      </rPr>
      <t>LibraryMediaSpecialists</t>
    </r>
    <r>
      <rPr>
        <sz val="11"/>
        <color theme="1"/>
        <rFont val="Calibri"/>
        <family val="2"/>
        <scheme val="minor"/>
      </rPr>
      <t xml:space="preserve"> - Librarians/Media Specialists
</t>
    </r>
    <r>
      <rPr>
        <b/>
        <sz val="11"/>
        <color theme="1"/>
        <rFont val="Calibri"/>
        <family val="2"/>
        <scheme val="minor"/>
      </rPr>
      <t>LibraryMediaSupportStaff</t>
    </r>
    <r>
      <rPr>
        <sz val="11"/>
        <color theme="1"/>
        <rFont val="Calibri"/>
        <family val="2"/>
        <scheme val="minor"/>
      </rPr>
      <t xml:space="preserve"> - Library/Media Support Staff
</t>
    </r>
    <r>
      <rPr>
        <b/>
        <sz val="11"/>
        <color theme="1"/>
        <rFont val="Calibri"/>
        <family val="2"/>
        <scheme val="minor"/>
      </rPr>
      <t>MentalHealthSpecialists</t>
    </r>
    <r>
      <rPr>
        <sz val="11"/>
        <color theme="1"/>
        <rFont val="Calibri"/>
        <family val="2"/>
        <scheme val="minor"/>
      </rPr>
      <t xml:space="preserve"> - Mental Health Specialists
</t>
    </r>
    <r>
      <rPr>
        <b/>
        <sz val="11"/>
        <color theme="1"/>
        <rFont val="Calibri"/>
        <family val="2"/>
        <scheme val="minor"/>
      </rPr>
      <t>NutritionSpecialists</t>
    </r>
    <r>
      <rPr>
        <sz val="11"/>
        <color theme="1"/>
        <rFont val="Calibri"/>
        <family val="2"/>
        <scheme val="minor"/>
      </rPr>
      <t xml:space="preserve"> - Nutrition Specialists
</t>
    </r>
    <r>
      <rPr>
        <b/>
        <sz val="11"/>
        <color theme="1"/>
        <rFont val="Calibri"/>
        <family val="2"/>
        <scheme val="minor"/>
      </rPr>
      <t>Paraprofessionals</t>
    </r>
    <r>
      <rPr>
        <sz val="11"/>
        <color theme="1"/>
        <rFont val="Calibri"/>
        <family val="2"/>
        <scheme val="minor"/>
      </rPr>
      <t xml:space="preserve"> - Paraprofessionals
</t>
    </r>
    <r>
      <rPr>
        <b/>
        <sz val="11"/>
        <color theme="1"/>
        <rFont val="Calibri"/>
        <family val="2"/>
        <scheme val="minor"/>
      </rPr>
      <t>PartCEarlyInterventionists</t>
    </r>
    <r>
      <rPr>
        <sz val="11"/>
        <color theme="1"/>
        <rFont val="Calibri"/>
        <family val="2"/>
        <scheme val="minor"/>
      </rPr>
      <t xml:space="preserve"> - Part C Early Interventionists
</t>
    </r>
    <r>
      <rPr>
        <b/>
        <sz val="11"/>
        <color theme="1"/>
        <rFont val="Calibri"/>
        <family val="2"/>
        <scheme val="minor"/>
      </rPr>
      <t>PartCServiceCoordinators</t>
    </r>
    <r>
      <rPr>
        <sz val="11"/>
        <color theme="1"/>
        <rFont val="Calibri"/>
        <family val="2"/>
        <scheme val="minor"/>
      </rPr>
      <t xml:space="preserve"> - Part C Service Coordinators
</t>
    </r>
    <r>
      <rPr>
        <b/>
        <sz val="11"/>
        <color theme="1"/>
        <rFont val="Calibri"/>
        <family val="2"/>
        <scheme val="minor"/>
      </rPr>
      <t>SchoolCounselors</t>
    </r>
    <r>
      <rPr>
        <sz val="11"/>
        <color theme="1"/>
        <rFont val="Calibri"/>
        <family val="2"/>
        <scheme val="minor"/>
      </rPr>
      <t xml:space="preserve"> - School Counselors
</t>
    </r>
    <r>
      <rPr>
        <b/>
        <sz val="11"/>
        <color theme="1"/>
        <rFont val="Calibri"/>
        <family val="2"/>
        <scheme val="minor"/>
      </rPr>
      <t>SecondaryTeachers</t>
    </r>
    <r>
      <rPr>
        <sz val="11"/>
        <color theme="1"/>
        <rFont val="Calibri"/>
        <family val="2"/>
        <scheme val="minor"/>
      </rPr>
      <t xml:space="preserve"> - Secondary Teachers
</t>
    </r>
    <r>
      <rPr>
        <b/>
        <sz val="11"/>
        <color theme="1"/>
        <rFont val="Calibri"/>
        <family val="2"/>
        <scheme val="minor"/>
      </rPr>
      <t>SocialWorkers</t>
    </r>
    <r>
      <rPr>
        <sz val="11"/>
        <color theme="1"/>
        <rFont val="Calibri"/>
        <family val="2"/>
        <scheme val="minor"/>
      </rPr>
      <t xml:space="preserve"> - Social Workers
</t>
    </r>
    <r>
      <rPr>
        <b/>
        <sz val="11"/>
        <color theme="1"/>
        <rFont val="Calibri"/>
        <family val="2"/>
        <scheme val="minor"/>
      </rPr>
      <t>SpecialEducationTeachers</t>
    </r>
    <r>
      <rPr>
        <sz val="11"/>
        <color theme="1"/>
        <rFont val="Calibri"/>
        <family val="2"/>
        <scheme val="minor"/>
      </rPr>
      <t xml:space="preserve"> - Special Education Teachers
</t>
    </r>
    <r>
      <rPr>
        <b/>
        <sz val="11"/>
        <color theme="1"/>
        <rFont val="Calibri"/>
        <family val="2"/>
        <scheme val="minor"/>
      </rPr>
      <t>SpecialNeedsSpecialists</t>
    </r>
    <r>
      <rPr>
        <sz val="11"/>
        <color theme="1"/>
        <rFont val="Calibri"/>
        <family val="2"/>
        <scheme val="minor"/>
      </rPr>
      <t xml:space="preserve"> - Special Needs Specialists
</t>
    </r>
    <r>
      <rPr>
        <b/>
        <sz val="11"/>
        <color theme="1"/>
        <rFont val="Calibri"/>
        <family val="2"/>
        <scheme val="minor"/>
      </rPr>
      <t>StudentSupportServicesStaff</t>
    </r>
    <r>
      <rPr>
        <sz val="11"/>
        <color theme="1"/>
        <rFont val="Calibri"/>
        <family val="2"/>
        <scheme val="minor"/>
      </rPr>
      <t xml:space="preserve"> - Student Support Services Staff
</t>
    </r>
    <r>
      <rPr>
        <b/>
        <sz val="11"/>
        <color theme="1"/>
        <rFont val="Calibri"/>
        <family val="2"/>
        <scheme val="minor"/>
      </rPr>
      <t>UngradedTeachers</t>
    </r>
    <r>
      <rPr>
        <sz val="11"/>
        <color theme="1"/>
        <rFont val="Calibri"/>
        <family val="2"/>
        <scheme val="minor"/>
      </rPr>
      <t xml:space="preserve"> - Ungraded Teachers
</t>
    </r>
    <r>
      <rPr>
        <b/>
        <sz val="11"/>
        <color theme="1"/>
        <rFont val="Calibri"/>
        <family val="2"/>
        <scheme val="minor"/>
      </rPr>
      <t>Other</t>
    </r>
    <r>
      <rPr>
        <sz val="11"/>
        <color theme="1"/>
        <rFont val="Calibri"/>
        <family val="2"/>
        <scheme val="minor"/>
      </rPr>
      <t xml:space="preserve"> - Other
</t>
    </r>
  </si>
  <si>
    <r>
      <t>CollegeCourse</t>
    </r>
    <r>
      <rPr>
        <sz val="11"/>
        <color theme="1"/>
        <rFont val="Calibri"/>
        <family val="2"/>
        <scheme val="minor"/>
      </rPr>
      <t xml:space="preserve"> - College Course
</t>
    </r>
    <r>
      <rPr>
        <b/>
        <sz val="11"/>
        <color theme="1"/>
        <rFont val="Calibri"/>
        <family val="2"/>
        <scheme val="minor"/>
      </rPr>
      <t>Training</t>
    </r>
    <r>
      <rPr>
        <sz val="11"/>
        <color theme="1"/>
        <rFont val="Calibri"/>
        <family val="2"/>
        <scheme val="minor"/>
      </rPr>
      <t xml:space="preserve"> - Training
</t>
    </r>
    <r>
      <rPr>
        <b/>
        <sz val="11"/>
        <color theme="1"/>
        <rFont val="Calibri"/>
        <family val="2"/>
        <scheme val="minor"/>
      </rPr>
      <t>Coaching</t>
    </r>
    <r>
      <rPr>
        <sz val="11"/>
        <color theme="1"/>
        <rFont val="Calibri"/>
        <family val="2"/>
        <scheme val="minor"/>
      </rPr>
      <t xml:space="preserve"> - Coaching
</t>
    </r>
    <r>
      <rPr>
        <b/>
        <sz val="11"/>
        <color theme="1"/>
        <rFont val="Calibri"/>
        <family val="2"/>
        <scheme val="minor"/>
      </rPr>
      <t>Mentoring</t>
    </r>
    <r>
      <rPr>
        <sz val="11"/>
        <color theme="1"/>
        <rFont val="Calibri"/>
        <family val="2"/>
        <scheme val="minor"/>
      </rPr>
      <t xml:space="preserve"> - Mentoring
</t>
    </r>
    <r>
      <rPr>
        <b/>
        <sz val="11"/>
        <color theme="1"/>
        <rFont val="Calibri"/>
        <family val="2"/>
        <scheme val="minor"/>
      </rPr>
      <t>Consultation</t>
    </r>
    <r>
      <rPr>
        <sz val="11"/>
        <color theme="1"/>
        <rFont val="Calibri"/>
        <family val="2"/>
        <scheme val="minor"/>
      </rPr>
      <t xml:space="preserve"> - Consultation
</t>
    </r>
    <r>
      <rPr>
        <b/>
        <sz val="11"/>
        <color theme="1"/>
        <rFont val="Calibri"/>
        <family val="2"/>
        <scheme val="minor"/>
      </rPr>
      <t>P2P</t>
    </r>
    <r>
      <rPr>
        <sz val="11"/>
        <color theme="1"/>
        <rFont val="Calibri"/>
        <family val="2"/>
        <scheme val="minor"/>
      </rPr>
      <t xml:space="preserve"> - Person-to-Person
</t>
    </r>
    <r>
      <rPr>
        <b/>
        <sz val="11"/>
        <color theme="1"/>
        <rFont val="Calibri"/>
        <family val="2"/>
        <scheme val="minor"/>
      </rPr>
      <t>TechnicalAssistance</t>
    </r>
    <r>
      <rPr>
        <sz val="11"/>
        <color theme="1"/>
        <rFont val="Calibri"/>
        <family val="2"/>
        <scheme val="minor"/>
      </rPr>
      <t xml:space="preserve"> - Technical Assistance
</t>
    </r>
    <r>
      <rPr>
        <b/>
        <sz val="11"/>
        <color theme="1"/>
        <rFont val="Calibri"/>
        <family val="2"/>
        <scheme val="minor"/>
      </rPr>
      <t>Advisement</t>
    </r>
    <r>
      <rPr>
        <sz val="11"/>
        <color theme="1"/>
        <rFont val="Calibri"/>
        <family val="2"/>
        <scheme val="minor"/>
      </rPr>
      <t xml:space="preserve"> - Advisement
</t>
    </r>
    <r>
      <rPr>
        <b/>
        <sz val="11"/>
        <color theme="1"/>
        <rFont val="Calibri"/>
        <family val="2"/>
        <scheme val="minor"/>
      </rPr>
      <t>Other</t>
    </r>
    <r>
      <rPr>
        <sz val="11"/>
        <color theme="1"/>
        <rFont val="Calibri"/>
        <family val="2"/>
        <scheme val="minor"/>
      </rPr>
      <t xml:space="preserve"> - Other
</t>
    </r>
  </si>
  <si>
    <r>
      <t>Onsite</t>
    </r>
    <r>
      <rPr>
        <sz val="11"/>
        <color theme="1"/>
        <rFont val="Calibri"/>
        <family val="2"/>
        <scheme val="minor"/>
      </rPr>
      <t xml:space="preserve"> - Onsite
</t>
    </r>
    <r>
      <rPr>
        <b/>
        <sz val="11"/>
        <color theme="1"/>
        <rFont val="Calibri"/>
        <family val="2"/>
        <scheme val="minor"/>
      </rPr>
      <t>Virtual</t>
    </r>
    <r>
      <rPr>
        <sz val="11"/>
        <color theme="1"/>
        <rFont val="Calibri"/>
        <family val="2"/>
        <scheme val="minor"/>
      </rPr>
      <t xml:space="preserve"> - Virtual classroom
</t>
    </r>
    <r>
      <rPr>
        <b/>
        <sz val="11"/>
        <color theme="1"/>
        <rFont val="Calibri"/>
        <family val="2"/>
        <scheme val="minor"/>
      </rPr>
      <t>Off-Site</t>
    </r>
    <r>
      <rPr>
        <sz val="11"/>
        <color theme="1"/>
        <rFont val="Calibri"/>
        <family val="2"/>
        <scheme val="minor"/>
      </rPr>
      <t xml:space="preserve"> - Off-site classroom
</t>
    </r>
    <r>
      <rPr>
        <b/>
        <sz val="11"/>
        <color theme="1"/>
        <rFont val="Calibri"/>
        <family val="2"/>
        <scheme val="minor"/>
      </rPr>
      <t>Conference</t>
    </r>
    <r>
      <rPr>
        <sz val="11"/>
        <color theme="1"/>
        <rFont val="Calibri"/>
        <family val="2"/>
        <scheme val="minor"/>
      </rPr>
      <t xml:space="preserve"> - Conference
</t>
    </r>
  </si>
  <si>
    <r>
      <t>01</t>
    </r>
    <r>
      <rPr>
        <sz val="11"/>
        <color theme="1"/>
        <rFont val="Calibri"/>
        <family val="2"/>
        <scheme val="minor"/>
      </rPr>
      <t xml:space="preserve"> - One time non-credit
</t>
    </r>
    <r>
      <rPr>
        <b/>
        <sz val="11"/>
        <color theme="1"/>
        <rFont val="Calibri"/>
        <family val="2"/>
        <scheme val="minor"/>
      </rPr>
      <t>02</t>
    </r>
    <r>
      <rPr>
        <sz val="11"/>
        <color theme="1"/>
        <rFont val="Calibri"/>
        <family val="2"/>
        <scheme val="minor"/>
      </rPr>
      <t xml:space="preserve"> - One time credit paid
</t>
    </r>
    <r>
      <rPr>
        <b/>
        <sz val="11"/>
        <color theme="1"/>
        <rFont val="Calibri"/>
        <family val="2"/>
        <scheme val="minor"/>
      </rPr>
      <t>03</t>
    </r>
    <r>
      <rPr>
        <sz val="11"/>
        <color theme="1"/>
        <rFont val="Calibri"/>
        <family val="2"/>
        <scheme val="minor"/>
      </rPr>
      <t xml:space="preserve"> - On-going non-credit paid
</t>
    </r>
    <r>
      <rPr>
        <b/>
        <sz val="11"/>
        <color theme="1"/>
        <rFont val="Calibri"/>
        <family val="2"/>
        <scheme val="minor"/>
      </rPr>
      <t>04</t>
    </r>
    <r>
      <rPr>
        <sz val="11"/>
        <color theme="1"/>
        <rFont val="Calibri"/>
        <family val="2"/>
        <scheme val="minor"/>
      </rPr>
      <t xml:space="preserve"> - On-going credit paid
</t>
    </r>
    <r>
      <rPr>
        <b/>
        <sz val="11"/>
        <color theme="1"/>
        <rFont val="Calibri"/>
        <family val="2"/>
        <scheme val="minor"/>
      </rPr>
      <t>05</t>
    </r>
    <r>
      <rPr>
        <sz val="11"/>
        <color theme="1"/>
        <rFont val="Calibri"/>
        <family val="2"/>
        <scheme val="minor"/>
      </rPr>
      <t xml:space="preserve"> - Salary bonus
</t>
    </r>
    <r>
      <rPr>
        <b/>
        <sz val="11"/>
        <color theme="1"/>
        <rFont val="Calibri"/>
        <family val="2"/>
        <scheme val="minor"/>
      </rPr>
      <t>06</t>
    </r>
    <r>
      <rPr>
        <sz val="11"/>
        <color theme="1"/>
        <rFont val="Calibri"/>
        <family val="2"/>
        <scheme val="minor"/>
      </rPr>
      <t xml:space="preserve"> - Wage enhancement
</t>
    </r>
    <r>
      <rPr>
        <b/>
        <sz val="11"/>
        <color theme="1"/>
        <rFont val="Calibri"/>
        <family val="2"/>
        <scheme val="minor"/>
      </rPr>
      <t>07</t>
    </r>
    <r>
      <rPr>
        <sz val="11"/>
        <color theme="1"/>
        <rFont val="Calibri"/>
        <family val="2"/>
        <scheme val="minor"/>
      </rPr>
      <t xml:space="preserve"> - Tuition reimbursement
</t>
    </r>
    <r>
      <rPr>
        <b/>
        <sz val="11"/>
        <color theme="1"/>
        <rFont val="Calibri"/>
        <family val="2"/>
        <scheme val="minor"/>
      </rPr>
      <t>08</t>
    </r>
    <r>
      <rPr>
        <sz val="11"/>
        <color theme="1"/>
        <rFont val="Calibri"/>
        <family val="2"/>
        <scheme val="minor"/>
      </rPr>
      <t xml:space="preserve"> - Travel child care
</t>
    </r>
    <r>
      <rPr>
        <b/>
        <sz val="11"/>
        <color theme="1"/>
        <rFont val="Calibri"/>
        <family val="2"/>
        <scheme val="minor"/>
      </rPr>
      <t>09</t>
    </r>
    <r>
      <rPr>
        <sz val="11"/>
        <color theme="1"/>
        <rFont val="Calibri"/>
        <family val="2"/>
        <scheme val="minor"/>
      </rPr>
      <t xml:space="preserve"> - Release time
</t>
    </r>
    <r>
      <rPr>
        <b/>
        <sz val="11"/>
        <color theme="1"/>
        <rFont val="Calibri"/>
        <family val="2"/>
        <scheme val="minor"/>
      </rPr>
      <t>10</t>
    </r>
    <r>
      <rPr>
        <sz val="11"/>
        <color theme="1"/>
        <rFont val="Calibri"/>
        <family val="2"/>
        <scheme val="minor"/>
      </rPr>
      <t xml:space="preserve"> - Scholarship
</t>
    </r>
    <r>
      <rPr>
        <b/>
        <sz val="11"/>
        <color theme="1"/>
        <rFont val="Calibri"/>
        <family val="2"/>
        <scheme val="minor"/>
      </rPr>
      <t>11</t>
    </r>
    <r>
      <rPr>
        <sz val="11"/>
        <color theme="1"/>
        <rFont val="Calibri"/>
        <family val="2"/>
        <scheme val="minor"/>
      </rPr>
      <t xml:space="preserve"> - Loan
</t>
    </r>
  </si>
  <si>
    <r>
      <t>Broadcast</t>
    </r>
    <r>
      <rPr>
        <sz val="11"/>
        <color theme="1"/>
        <rFont val="Calibri"/>
        <family val="2"/>
        <scheme val="minor"/>
      </rPr>
      <t xml:space="preserve"> - Broadcast
</t>
    </r>
    <r>
      <rPr>
        <b/>
        <sz val="11"/>
        <color theme="1"/>
        <rFont val="Calibri"/>
        <family val="2"/>
        <scheme val="minor"/>
      </rPr>
      <t>Correspondence</t>
    </r>
    <r>
      <rPr>
        <sz val="11"/>
        <color theme="1"/>
        <rFont val="Calibri"/>
        <family val="2"/>
        <scheme val="minor"/>
      </rPr>
      <t xml:space="preserve"> - Correspondence
</t>
    </r>
    <r>
      <rPr>
        <b/>
        <sz val="11"/>
        <color theme="1"/>
        <rFont val="Calibri"/>
        <family val="2"/>
        <scheme val="minor"/>
      </rPr>
      <t>EarlyCollege</t>
    </r>
    <r>
      <rPr>
        <sz val="11"/>
        <color theme="1"/>
        <rFont val="Calibri"/>
        <family val="2"/>
        <scheme val="minor"/>
      </rPr>
      <t xml:space="preserve"> - Early College
</t>
    </r>
    <r>
      <rPr>
        <b/>
        <sz val="11"/>
        <color theme="1"/>
        <rFont val="Calibri"/>
        <family val="2"/>
        <scheme val="minor"/>
      </rPr>
      <t>AudioVideo</t>
    </r>
    <r>
      <rPr>
        <sz val="11"/>
        <color theme="1"/>
        <rFont val="Calibri"/>
        <family val="2"/>
        <scheme val="minor"/>
      </rPr>
      <t xml:space="preserve"> - Interactive Audio/Video
</t>
    </r>
    <r>
      <rPr>
        <b/>
        <sz val="11"/>
        <color theme="1"/>
        <rFont val="Calibri"/>
        <family val="2"/>
        <scheme val="minor"/>
      </rPr>
      <t>Conference</t>
    </r>
    <r>
      <rPr>
        <sz val="11"/>
        <color theme="1"/>
        <rFont val="Calibri"/>
        <family val="2"/>
        <scheme val="minor"/>
      </rPr>
      <t xml:space="preserve"> - Conference
</t>
    </r>
    <r>
      <rPr>
        <b/>
        <sz val="11"/>
        <color theme="1"/>
        <rFont val="Calibri"/>
        <family val="2"/>
        <scheme val="minor"/>
      </rPr>
      <t>Online</t>
    </r>
    <r>
      <rPr>
        <sz val="11"/>
        <color theme="1"/>
        <rFont val="Calibri"/>
        <family val="2"/>
        <scheme val="minor"/>
      </rPr>
      <t xml:space="preserve"> - Online
</t>
    </r>
    <r>
      <rPr>
        <b/>
        <sz val="11"/>
        <color theme="1"/>
        <rFont val="Calibri"/>
        <family val="2"/>
        <scheme val="minor"/>
      </rPr>
      <t>IndependentStudy</t>
    </r>
    <r>
      <rPr>
        <sz val="11"/>
        <color theme="1"/>
        <rFont val="Calibri"/>
        <family val="2"/>
        <scheme val="minor"/>
      </rPr>
      <t xml:space="preserve"> - Independent Study
</t>
    </r>
    <r>
      <rPr>
        <b/>
        <sz val="11"/>
        <color theme="1"/>
        <rFont val="Calibri"/>
        <family val="2"/>
        <scheme val="minor"/>
      </rPr>
      <t>FaceToFace</t>
    </r>
    <r>
      <rPr>
        <sz val="11"/>
        <color theme="1"/>
        <rFont val="Calibri"/>
        <family val="2"/>
        <scheme val="minor"/>
      </rPr>
      <t xml:space="preserve"> - Face To Face
</t>
    </r>
    <r>
      <rPr>
        <b/>
        <sz val="11"/>
        <color theme="1"/>
        <rFont val="Calibri"/>
        <family val="2"/>
        <scheme val="minor"/>
      </rPr>
      <t>BlendedLearning</t>
    </r>
    <r>
      <rPr>
        <sz val="11"/>
        <color theme="1"/>
        <rFont val="Calibri"/>
        <family val="2"/>
        <scheme val="minor"/>
      </rPr>
      <t xml:space="preserve"> - Blended Learning
</t>
    </r>
    <r>
      <rPr>
        <b/>
        <sz val="11"/>
        <color theme="1"/>
        <rFont val="Calibri"/>
        <family val="2"/>
        <scheme val="minor"/>
      </rPr>
      <t>Other</t>
    </r>
    <r>
      <rPr>
        <sz val="11"/>
        <color theme="1"/>
        <rFont val="Calibri"/>
        <family val="2"/>
        <scheme val="minor"/>
      </rPr>
      <t xml:space="preserve"> - Other
</t>
    </r>
  </si>
  <si>
    <r>
      <t>04723</t>
    </r>
    <r>
      <rPr>
        <sz val="11"/>
        <color theme="1"/>
        <rFont val="Calibri"/>
        <family val="2"/>
        <scheme val="minor"/>
      </rPr>
      <t xml:space="preserve"> - Athletic coach
</t>
    </r>
    <r>
      <rPr>
        <b/>
        <sz val="11"/>
        <color theme="1"/>
        <rFont val="Calibri"/>
        <family val="2"/>
        <scheme val="minor"/>
      </rPr>
      <t>04724</t>
    </r>
    <r>
      <rPr>
        <sz val="11"/>
        <color theme="1"/>
        <rFont val="Calibri"/>
        <family val="2"/>
        <scheme val="minor"/>
      </rPr>
      <t xml:space="preserve"> - Behavioral management specialist
</t>
    </r>
    <r>
      <rPr>
        <b/>
        <sz val="11"/>
        <color theme="1"/>
        <rFont val="Calibri"/>
        <family val="2"/>
        <scheme val="minor"/>
      </rPr>
      <t>04725</t>
    </r>
    <r>
      <rPr>
        <sz val="11"/>
        <color theme="1"/>
        <rFont val="Calibri"/>
        <family val="2"/>
        <scheme val="minor"/>
      </rPr>
      <t xml:space="preserve"> - Counselor
</t>
    </r>
    <r>
      <rPr>
        <b/>
        <sz val="11"/>
        <color theme="1"/>
        <rFont val="Calibri"/>
        <family val="2"/>
        <scheme val="minor"/>
      </rPr>
      <t>04726</t>
    </r>
    <r>
      <rPr>
        <sz val="11"/>
        <color theme="1"/>
        <rFont val="Calibri"/>
        <family val="2"/>
        <scheme val="minor"/>
      </rPr>
      <t xml:space="preserve"> - Curriculum specialist
</t>
    </r>
    <r>
      <rPr>
        <b/>
        <sz val="11"/>
        <color theme="1"/>
        <rFont val="Calibri"/>
        <family val="2"/>
        <scheme val="minor"/>
      </rPr>
      <t>04727</t>
    </r>
    <r>
      <rPr>
        <sz val="11"/>
        <color theme="1"/>
        <rFont val="Calibri"/>
        <family val="2"/>
        <scheme val="minor"/>
      </rPr>
      <t xml:space="preserve"> - Education diagnostician
</t>
    </r>
    <r>
      <rPr>
        <b/>
        <sz val="11"/>
        <color theme="1"/>
        <rFont val="Calibri"/>
        <family val="2"/>
        <scheme val="minor"/>
      </rPr>
      <t>04728</t>
    </r>
    <r>
      <rPr>
        <sz val="11"/>
        <color theme="1"/>
        <rFont val="Calibri"/>
        <family val="2"/>
        <scheme val="minor"/>
      </rPr>
      <t xml:space="preserve"> - Librarian/media consultant
</t>
    </r>
    <r>
      <rPr>
        <b/>
        <sz val="11"/>
        <color theme="1"/>
        <rFont val="Calibri"/>
        <family val="2"/>
        <scheme val="minor"/>
      </rPr>
      <t>04729</t>
    </r>
    <r>
      <rPr>
        <sz val="11"/>
        <color theme="1"/>
        <rFont val="Calibri"/>
        <family val="2"/>
        <scheme val="minor"/>
      </rPr>
      <t xml:space="preserve"> - Remedial specialist
</t>
    </r>
    <r>
      <rPr>
        <b/>
        <sz val="11"/>
        <color theme="1"/>
        <rFont val="Calibri"/>
        <family val="2"/>
        <scheme val="minor"/>
      </rPr>
      <t>04730</t>
    </r>
    <r>
      <rPr>
        <sz val="11"/>
        <color theme="1"/>
        <rFont val="Calibri"/>
        <family val="2"/>
        <scheme val="minor"/>
      </rPr>
      <t xml:space="preserve"> - Student activity advisor/non athletic coach
</t>
    </r>
    <r>
      <rPr>
        <b/>
        <sz val="11"/>
        <color theme="1"/>
        <rFont val="Calibri"/>
        <family val="2"/>
        <scheme val="minor"/>
      </rPr>
      <t>04731</t>
    </r>
    <r>
      <rPr>
        <sz val="11"/>
        <color theme="1"/>
        <rFont val="Calibri"/>
        <family val="2"/>
        <scheme val="minor"/>
      </rPr>
      <t xml:space="preserve"> - Student teacher
</t>
    </r>
    <r>
      <rPr>
        <b/>
        <sz val="11"/>
        <color theme="1"/>
        <rFont val="Calibri"/>
        <family val="2"/>
        <scheme val="minor"/>
      </rPr>
      <t>04732</t>
    </r>
    <r>
      <rPr>
        <sz val="11"/>
        <color theme="1"/>
        <rFont val="Calibri"/>
        <family val="2"/>
        <scheme val="minor"/>
      </rPr>
      <t xml:space="preserve"> - Teacher
</t>
    </r>
    <r>
      <rPr>
        <b/>
        <sz val="11"/>
        <color theme="1"/>
        <rFont val="Calibri"/>
        <family val="2"/>
        <scheme val="minor"/>
      </rPr>
      <t>04733</t>
    </r>
    <r>
      <rPr>
        <sz val="11"/>
        <color theme="1"/>
        <rFont val="Calibri"/>
        <family val="2"/>
        <scheme val="minor"/>
      </rPr>
      <t xml:space="preserve"> - Teacher trainer
</t>
    </r>
    <r>
      <rPr>
        <b/>
        <sz val="11"/>
        <color theme="1"/>
        <rFont val="Calibri"/>
        <family val="2"/>
        <scheme val="minor"/>
      </rPr>
      <t>04734</t>
    </r>
    <r>
      <rPr>
        <sz val="11"/>
        <color theme="1"/>
        <rFont val="Calibri"/>
        <family val="2"/>
        <scheme val="minor"/>
      </rPr>
      <t xml:space="preserve"> - Teaching intern
</t>
    </r>
    <r>
      <rPr>
        <b/>
        <sz val="11"/>
        <color theme="1"/>
        <rFont val="Calibri"/>
        <family val="2"/>
        <scheme val="minor"/>
      </rPr>
      <t>04735</t>
    </r>
    <r>
      <rPr>
        <sz val="11"/>
        <color theme="1"/>
        <rFont val="Calibri"/>
        <family val="2"/>
        <scheme val="minor"/>
      </rPr>
      <t xml:space="preserve"> - Resource teacher
</t>
    </r>
    <r>
      <rPr>
        <b/>
        <sz val="11"/>
        <color theme="1"/>
        <rFont val="Calibri"/>
        <family val="2"/>
        <scheme val="minor"/>
      </rPr>
      <t>09999</t>
    </r>
    <r>
      <rPr>
        <sz val="11"/>
        <color theme="1"/>
        <rFont val="Calibri"/>
        <family val="2"/>
        <scheme val="minor"/>
      </rPr>
      <t xml:space="preserve"> - Other
</t>
    </r>
  </si>
  <si>
    <r>
      <t>OccupationalLicense</t>
    </r>
    <r>
      <rPr>
        <sz val="11"/>
        <color theme="1"/>
        <rFont val="Calibri"/>
        <family val="2"/>
        <scheme val="minor"/>
      </rPr>
      <t xml:space="preserve"> - Occupational License
</t>
    </r>
    <r>
      <rPr>
        <b/>
        <sz val="11"/>
        <color theme="1"/>
        <rFont val="Calibri"/>
        <family val="2"/>
        <scheme val="minor"/>
      </rPr>
      <t>IndustryCertification</t>
    </r>
    <r>
      <rPr>
        <sz val="11"/>
        <color theme="1"/>
        <rFont val="Calibri"/>
        <family val="2"/>
        <scheme val="minor"/>
      </rPr>
      <t xml:space="preserve"> - Industry-recognized Certification
</t>
    </r>
    <r>
      <rPr>
        <b/>
        <sz val="11"/>
        <color theme="1"/>
        <rFont val="Calibri"/>
        <family val="2"/>
        <scheme val="minor"/>
      </rPr>
      <t>ApprenticeshipCertificate</t>
    </r>
    <r>
      <rPr>
        <sz val="11"/>
        <color theme="1"/>
        <rFont val="Calibri"/>
        <family val="2"/>
        <scheme val="minor"/>
      </rPr>
      <t xml:space="preserve"> - Apprenticeship Certificate
</t>
    </r>
    <r>
      <rPr>
        <b/>
        <sz val="11"/>
        <color theme="1"/>
        <rFont val="Calibri"/>
        <family val="2"/>
        <scheme val="minor"/>
      </rPr>
      <t>EmployerCertification</t>
    </r>
    <r>
      <rPr>
        <sz val="11"/>
        <color theme="1"/>
        <rFont val="Calibri"/>
        <family val="2"/>
        <scheme val="minor"/>
      </rPr>
      <t xml:space="preserve"> - Employer certification
</t>
    </r>
    <r>
      <rPr>
        <b/>
        <sz val="11"/>
        <color theme="1"/>
        <rFont val="Calibri"/>
        <family val="2"/>
        <scheme val="minor"/>
      </rPr>
      <t>PreEmploymentTraining</t>
    </r>
    <r>
      <rPr>
        <sz val="11"/>
        <color theme="1"/>
        <rFont val="Calibri"/>
        <family val="2"/>
        <scheme val="minor"/>
      </rPr>
      <t xml:space="preserve"> - Pre-employment training certificate
</t>
    </r>
    <r>
      <rPr>
        <b/>
        <sz val="11"/>
        <color theme="1"/>
        <rFont val="Calibri"/>
        <family val="2"/>
        <scheme val="minor"/>
      </rPr>
      <t>OtherOccupational</t>
    </r>
    <r>
      <rPr>
        <sz val="11"/>
        <color theme="1"/>
        <rFont val="Calibri"/>
        <family val="2"/>
        <scheme val="minor"/>
      </rPr>
      <t xml:space="preserve"> - Other recognized occupational skills credential
</t>
    </r>
  </si>
  <si>
    <r>
      <t>Proficient</t>
    </r>
    <r>
      <rPr>
        <sz val="11"/>
        <color theme="1"/>
        <rFont val="Calibri"/>
        <family val="2"/>
        <scheme val="minor"/>
      </rPr>
      <t xml:space="preserve"> - Proficient
</t>
    </r>
    <r>
      <rPr>
        <b/>
        <sz val="11"/>
        <color theme="1"/>
        <rFont val="Calibri"/>
        <family val="2"/>
        <scheme val="minor"/>
      </rPr>
      <t>NotProficient</t>
    </r>
    <r>
      <rPr>
        <sz val="11"/>
        <color theme="1"/>
        <rFont val="Calibri"/>
        <family val="2"/>
        <scheme val="minor"/>
      </rPr>
      <t xml:space="preserve"> - Not proficient
</t>
    </r>
  </si>
  <si>
    <r>
      <t>Met</t>
    </r>
    <r>
      <rPr>
        <sz val="11"/>
        <color theme="1"/>
        <rFont val="Calibri"/>
        <family val="2"/>
        <scheme val="minor"/>
      </rPr>
      <t xml:space="preserve"> - Met: Regular Determination
</t>
    </r>
    <r>
      <rPr>
        <b/>
        <sz val="11"/>
        <color theme="1"/>
        <rFont val="Calibri"/>
        <family val="2"/>
        <scheme val="minor"/>
      </rPr>
      <t>MetGrowthModel</t>
    </r>
    <r>
      <rPr>
        <sz val="11"/>
        <color theme="1"/>
        <rFont val="Calibri"/>
        <family val="2"/>
        <scheme val="minor"/>
      </rPr>
      <t xml:space="preserve"> - Met: Growth Model 
</t>
    </r>
    <r>
      <rPr>
        <b/>
        <sz val="11"/>
        <color theme="1"/>
        <rFont val="Calibri"/>
        <family val="2"/>
        <scheme val="minor"/>
      </rPr>
      <t>MetBecauseSafeHarbor</t>
    </r>
    <r>
      <rPr>
        <sz val="11"/>
        <color theme="1"/>
        <rFont val="Calibri"/>
        <family val="2"/>
        <scheme val="minor"/>
      </rPr>
      <t xml:space="preserve"> - Met Because of Safe Harbor
</t>
    </r>
    <r>
      <rPr>
        <b/>
        <sz val="11"/>
        <color theme="1"/>
        <rFont val="Calibri"/>
        <family val="2"/>
        <scheme val="minor"/>
      </rPr>
      <t>DidNotMeetTarget</t>
    </r>
    <r>
      <rPr>
        <sz val="11"/>
        <color theme="1"/>
        <rFont val="Calibri"/>
        <family val="2"/>
        <scheme val="minor"/>
      </rPr>
      <t xml:space="preserve"> - Did Not Meet Target
</t>
    </r>
    <r>
      <rPr>
        <b/>
        <sz val="11"/>
        <color theme="1"/>
        <rFont val="Calibri"/>
        <family val="2"/>
        <scheme val="minor"/>
      </rPr>
      <t>TooFewStudents</t>
    </r>
    <r>
      <rPr>
        <sz val="11"/>
        <color theme="1"/>
        <rFont val="Calibri"/>
        <family val="2"/>
        <scheme val="minor"/>
      </rPr>
      <t xml:space="preserve"> - Too Few Students for Reliability
</t>
    </r>
    <r>
      <rPr>
        <b/>
        <sz val="11"/>
        <color theme="1"/>
        <rFont val="Calibri"/>
        <family val="2"/>
        <scheme val="minor"/>
      </rPr>
      <t>NoStudents</t>
    </r>
    <r>
      <rPr>
        <sz val="11"/>
        <color theme="1"/>
        <rFont val="Calibri"/>
        <family val="2"/>
        <scheme val="minor"/>
      </rPr>
      <t xml:space="preserve"> - No Students in the Sub-group
</t>
    </r>
    <r>
      <rPr>
        <b/>
        <sz val="11"/>
        <color theme="1"/>
        <rFont val="Calibri"/>
        <family val="2"/>
        <scheme val="minor"/>
      </rPr>
      <t>NA</t>
    </r>
    <r>
      <rPr>
        <sz val="11"/>
        <color theme="1"/>
        <rFont val="Calibri"/>
        <family val="2"/>
        <scheme val="minor"/>
      </rPr>
      <t xml:space="preserve"> - Not applicable
</t>
    </r>
  </si>
  <si>
    <r>
      <t>13452</t>
    </r>
    <r>
      <rPr>
        <sz val="11"/>
        <color theme="1"/>
        <rFont val="Calibri"/>
        <family val="2"/>
        <scheme val="minor"/>
      </rPr>
      <t xml:space="preserve"> - General Intellectual Aptitude only
</t>
    </r>
    <r>
      <rPr>
        <b/>
        <sz val="11"/>
        <color theme="1"/>
        <rFont val="Calibri"/>
        <family val="2"/>
        <scheme val="minor"/>
      </rPr>
      <t>13453</t>
    </r>
    <r>
      <rPr>
        <sz val="11"/>
        <color theme="1"/>
        <rFont val="Calibri"/>
        <family val="2"/>
        <scheme val="minor"/>
      </rPr>
      <t xml:space="preserve"> - Specific Academic Aptitude only
</t>
    </r>
    <r>
      <rPr>
        <b/>
        <sz val="11"/>
        <color theme="1"/>
        <rFont val="Calibri"/>
        <family val="2"/>
        <scheme val="minor"/>
      </rPr>
      <t>13454</t>
    </r>
    <r>
      <rPr>
        <sz val="11"/>
        <color theme="1"/>
        <rFont val="Calibri"/>
        <family val="2"/>
        <scheme val="minor"/>
      </rPr>
      <t xml:space="preserve"> - Visual/Performing Arts only
</t>
    </r>
    <r>
      <rPr>
        <b/>
        <sz val="11"/>
        <color theme="1"/>
        <rFont val="Calibri"/>
        <family val="2"/>
        <scheme val="minor"/>
      </rPr>
      <t>13456</t>
    </r>
    <r>
      <rPr>
        <sz val="11"/>
        <color theme="1"/>
        <rFont val="Calibri"/>
        <family val="2"/>
        <scheme val="minor"/>
      </rPr>
      <t xml:space="preserve"> - General Intellectual Aptitude &amp; Specific Academic Aptitude
</t>
    </r>
    <r>
      <rPr>
        <b/>
        <sz val="11"/>
        <color theme="1"/>
        <rFont val="Calibri"/>
        <family val="2"/>
        <scheme val="minor"/>
      </rPr>
      <t>13457</t>
    </r>
    <r>
      <rPr>
        <sz val="11"/>
        <color theme="1"/>
        <rFont val="Calibri"/>
        <family val="2"/>
        <scheme val="minor"/>
      </rPr>
      <t xml:space="preserve"> - General Intellectual Aptitude &amp; Visual/Performing Arts
</t>
    </r>
    <r>
      <rPr>
        <b/>
        <sz val="11"/>
        <color theme="1"/>
        <rFont val="Calibri"/>
        <family val="2"/>
        <scheme val="minor"/>
      </rPr>
      <t>13458</t>
    </r>
    <r>
      <rPr>
        <sz val="11"/>
        <color theme="1"/>
        <rFont val="Calibri"/>
        <family val="2"/>
        <scheme val="minor"/>
      </rPr>
      <t xml:space="preserve"> - General Intellectual Aptitude &amp; Technical/Practical Arts
</t>
    </r>
    <r>
      <rPr>
        <b/>
        <sz val="11"/>
        <color theme="1"/>
        <rFont val="Calibri"/>
        <family val="2"/>
        <scheme val="minor"/>
      </rPr>
      <t>13459</t>
    </r>
    <r>
      <rPr>
        <sz val="11"/>
        <color theme="1"/>
        <rFont val="Calibri"/>
        <family val="2"/>
        <scheme val="minor"/>
      </rPr>
      <t xml:space="preserve"> - Specific Academic Aptitude &amp; Visual/Performing Arts
</t>
    </r>
    <r>
      <rPr>
        <b/>
        <sz val="11"/>
        <color theme="1"/>
        <rFont val="Calibri"/>
        <family val="2"/>
        <scheme val="minor"/>
      </rPr>
      <t>13460</t>
    </r>
    <r>
      <rPr>
        <sz val="11"/>
        <color theme="1"/>
        <rFont val="Calibri"/>
        <family val="2"/>
        <scheme val="minor"/>
      </rPr>
      <t xml:space="preserve"> - Specific Academic Aptitude &amp; Technical/Practical Arts
</t>
    </r>
    <r>
      <rPr>
        <b/>
        <sz val="11"/>
        <color theme="1"/>
        <rFont val="Calibri"/>
        <family val="2"/>
        <scheme val="minor"/>
      </rPr>
      <t>13461</t>
    </r>
    <r>
      <rPr>
        <sz val="11"/>
        <color theme="1"/>
        <rFont val="Calibri"/>
        <family val="2"/>
        <scheme val="minor"/>
      </rPr>
      <t xml:space="preserve"> - Visual/Performing Arts &amp; Technical/Practical Arts
</t>
    </r>
    <r>
      <rPr>
        <b/>
        <sz val="11"/>
        <color theme="1"/>
        <rFont val="Calibri"/>
        <family val="2"/>
        <scheme val="minor"/>
      </rPr>
      <t>13462</t>
    </r>
    <r>
      <rPr>
        <sz val="11"/>
        <color theme="1"/>
        <rFont val="Calibri"/>
        <family val="2"/>
        <scheme val="minor"/>
      </rPr>
      <t xml:space="preserve"> - General Intellectual Aptitude, Specific Academic Aptitude, and Visual Performing Arts
</t>
    </r>
    <r>
      <rPr>
        <b/>
        <sz val="11"/>
        <color theme="1"/>
        <rFont val="Calibri"/>
        <family val="2"/>
        <scheme val="minor"/>
      </rPr>
      <t>13463</t>
    </r>
    <r>
      <rPr>
        <sz val="11"/>
        <color theme="1"/>
        <rFont val="Calibri"/>
        <family val="2"/>
        <scheme val="minor"/>
      </rPr>
      <t xml:space="preserve"> - General Intellectual Aptitude, Specific Academic Aptitude, &amp; Technical/Practical Arts
</t>
    </r>
    <r>
      <rPr>
        <b/>
        <sz val="11"/>
        <color theme="1"/>
        <rFont val="Calibri"/>
        <family val="2"/>
        <scheme val="minor"/>
      </rPr>
      <t>13464</t>
    </r>
    <r>
      <rPr>
        <sz val="11"/>
        <color theme="1"/>
        <rFont val="Calibri"/>
        <family val="2"/>
        <scheme val="minor"/>
      </rPr>
      <t xml:space="preserve"> - Specific Academic Aptitude, Visual/Performing Arts, &amp; Technical/Practical Arts
</t>
    </r>
    <r>
      <rPr>
        <b/>
        <sz val="11"/>
        <color theme="1"/>
        <rFont val="Calibri"/>
        <family val="2"/>
        <scheme val="minor"/>
      </rPr>
      <t>13465</t>
    </r>
    <r>
      <rPr>
        <sz val="11"/>
        <color theme="1"/>
        <rFont val="Calibri"/>
        <family val="2"/>
        <scheme val="minor"/>
      </rPr>
      <t xml:space="preserve"> - General Intellectual &amp; Specific Academic Aptitude, Visual/Performing Arts &amp; Technical/Practical Arts
</t>
    </r>
    <r>
      <rPr>
        <b/>
        <sz val="11"/>
        <color theme="1"/>
        <rFont val="Calibri"/>
        <family val="2"/>
        <scheme val="minor"/>
      </rPr>
      <t>06002</t>
    </r>
    <r>
      <rPr>
        <sz val="11"/>
        <color theme="1"/>
        <rFont val="Calibri"/>
        <family val="2"/>
        <scheme val="minor"/>
      </rPr>
      <t xml:space="preserve"> - Not specified
</t>
    </r>
    <r>
      <rPr>
        <b/>
        <sz val="11"/>
        <color theme="1"/>
        <rFont val="Calibri"/>
        <family val="2"/>
        <scheme val="minor"/>
      </rPr>
      <t>09999</t>
    </r>
    <r>
      <rPr>
        <sz val="11"/>
        <color theme="1"/>
        <rFont val="Calibri"/>
        <family val="2"/>
        <scheme val="minor"/>
      </rPr>
      <t xml:space="preserve"> - Other
</t>
    </r>
  </si>
  <si>
    <r>
      <t>Referred</t>
    </r>
    <r>
      <rPr>
        <sz val="11"/>
        <color theme="1"/>
        <rFont val="Calibri"/>
        <family val="2"/>
        <scheme val="minor"/>
      </rPr>
      <t xml:space="preserve"> - Referred to program
</t>
    </r>
    <r>
      <rPr>
        <b/>
        <sz val="11"/>
        <color theme="1"/>
        <rFont val="Calibri"/>
        <family val="2"/>
        <scheme val="minor"/>
      </rPr>
      <t>Eligible</t>
    </r>
    <r>
      <rPr>
        <sz val="11"/>
        <color theme="1"/>
        <rFont val="Calibri"/>
        <family val="2"/>
        <scheme val="minor"/>
      </rPr>
      <t xml:space="preserve"> - Eligible for program
</t>
    </r>
    <r>
      <rPr>
        <b/>
        <sz val="11"/>
        <color theme="1"/>
        <rFont val="Calibri"/>
        <family val="2"/>
        <scheme val="minor"/>
      </rPr>
      <t>NotEligible</t>
    </r>
    <r>
      <rPr>
        <sz val="11"/>
        <color theme="1"/>
        <rFont val="Calibri"/>
        <family val="2"/>
        <scheme val="minor"/>
      </rPr>
      <t xml:space="preserve"> - Not eligible for program
</t>
    </r>
    <r>
      <rPr>
        <b/>
        <sz val="11"/>
        <color theme="1"/>
        <rFont val="Calibri"/>
        <family val="2"/>
        <scheme val="minor"/>
      </rPr>
      <t>Active</t>
    </r>
    <r>
      <rPr>
        <sz val="11"/>
        <color theme="1"/>
        <rFont val="Calibri"/>
        <family val="2"/>
        <scheme val="minor"/>
      </rPr>
      <t xml:space="preserve"> - Active in program
</t>
    </r>
    <r>
      <rPr>
        <b/>
        <sz val="11"/>
        <color theme="1"/>
        <rFont val="Calibri"/>
        <family val="2"/>
        <scheme val="minor"/>
      </rPr>
      <t>Exited</t>
    </r>
    <r>
      <rPr>
        <sz val="11"/>
        <color theme="1"/>
        <rFont val="Calibri"/>
        <family val="2"/>
        <scheme val="minor"/>
      </rPr>
      <t xml:space="preserve"> - Exited program
</t>
    </r>
    <r>
      <rPr>
        <b/>
        <sz val="11"/>
        <color theme="1"/>
        <rFont val="Calibri"/>
        <family val="2"/>
        <scheme val="minor"/>
      </rPr>
      <t>Withdrew</t>
    </r>
    <r>
      <rPr>
        <sz val="11"/>
        <color theme="1"/>
        <rFont val="Calibri"/>
        <family val="2"/>
        <scheme val="minor"/>
      </rPr>
      <t xml:space="preserve"> - Withdrew/refused program
</t>
    </r>
    <r>
      <rPr>
        <b/>
        <sz val="11"/>
        <color theme="1"/>
        <rFont val="Calibri"/>
        <family val="2"/>
        <scheme val="minor"/>
      </rPr>
      <t>Other</t>
    </r>
    <r>
      <rPr>
        <sz val="11"/>
        <color theme="1"/>
        <rFont val="Calibri"/>
        <family val="2"/>
        <scheme val="minor"/>
      </rPr>
      <t xml:space="preserve"> - Other
</t>
    </r>
  </si>
  <si>
    <r>
      <t>Business</t>
    </r>
    <r>
      <rPr>
        <sz val="11"/>
        <color theme="1"/>
        <rFont val="Calibri"/>
        <family val="2"/>
        <scheme val="minor"/>
      </rPr>
      <t xml:space="preserve"> - Business
</t>
    </r>
    <r>
      <rPr>
        <b/>
        <sz val="11"/>
        <color theme="1"/>
        <rFont val="Calibri"/>
        <family val="2"/>
        <scheme val="minor"/>
      </rPr>
      <t>EducationOrganizationNetwork</t>
    </r>
    <r>
      <rPr>
        <sz val="11"/>
        <color theme="1"/>
        <rFont val="Calibri"/>
        <family val="2"/>
        <scheme val="minor"/>
      </rPr>
      <t xml:space="preserve"> - Education organization network
</t>
    </r>
    <r>
      <rPr>
        <b/>
        <sz val="11"/>
        <color theme="1"/>
        <rFont val="Calibri"/>
        <family val="2"/>
        <scheme val="minor"/>
      </rPr>
      <t>EducationServiceCenter</t>
    </r>
    <r>
      <rPr>
        <sz val="11"/>
        <color theme="1"/>
        <rFont val="Calibri"/>
        <family val="2"/>
        <scheme val="minor"/>
      </rPr>
      <t xml:space="preserve"> - Education Service Center
</t>
    </r>
    <r>
      <rPr>
        <b/>
        <sz val="11"/>
        <color theme="1"/>
        <rFont val="Calibri"/>
        <family val="2"/>
        <scheme val="minor"/>
      </rPr>
      <t>Federal</t>
    </r>
    <r>
      <rPr>
        <sz val="11"/>
        <color theme="1"/>
        <rFont val="Calibri"/>
        <family val="2"/>
        <scheme val="minor"/>
      </rPr>
      <t xml:space="preserve"> - Federal government
</t>
    </r>
    <r>
      <rPr>
        <b/>
        <sz val="11"/>
        <color theme="1"/>
        <rFont val="Calibri"/>
        <family val="2"/>
        <scheme val="minor"/>
      </rPr>
      <t>LEA</t>
    </r>
    <r>
      <rPr>
        <sz val="11"/>
        <color theme="1"/>
        <rFont val="Calibri"/>
        <family val="2"/>
        <scheme val="minor"/>
      </rPr>
      <t xml:space="preserve"> - Local education agency
</t>
    </r>
    <r>
      <rPr>
        <b/>
        <sz val="11"/>
        <color theme="1"/>
        <rFont val="Calibri"/>
        <family val="2"/>
        <scheme val="minor"/>
      </rPr>
      <t>NonProfit</t>
    </r>
    <r>
      <rPr>
        <sz val="11"/>
        <color theme="1"/>
        <rFont val="Calibri"/>
        <family val="2"/>
        <scheme val="minor"/>
      </rPr>
      <t xml:space="preserve"> - Non-profit organization
</t>
    </r>
    <r>
      <rPr>
        <b/>
        <sz val="11"/>
        <color theme="1"/>
        <rFont val="Calibri"/>
        <family val="2"/>
        <scheme val="minor"/>
      </rPr>
      <t>Postsecondary</t>
    </r>
    <r>
      <rPr>
        <sz val="11"/>
        <color theme="1"/>
        <rFont val="Calibri"/>
        <family val="2"/>
        <scheme val="minor"/>
      </rPr>
      <t xml:space="preserve"> - Postsecondary institution
</t>
    </r>
    <r>
      <rPr>
        <b/>
        <sz val="11"/>
        <color theme="1"/>
        <rFont val="Calibri"/>
        <family val="2"/>
        <scheme val="minor"/>
      </rPr>
      <t>Private</t>
    </r>
    <r>
      <rPr>
        <sz val="11"/>
        <color theme="1"/>
        <rFont val="Calibri"/>
        <family val="2"/>
        <scheme val="minor"/>
      </rPr>
      <t xml:space="preserve"> - Private organization
</t>
    </r>
    <r>
      <rPr>
        <b/>
        <sz val="11"/>
        <color theme="1"/>
        <rFont val="Calibri"/>
        <family val="2"/>
        <scheme val="minor"/>
      </rPr>
      <t>Regional</t>
    </r>
    <r>
      <rPr>
        <sz val="11"/>
        <color theme="1"/>
        <rFont val="Calibri"/>
        <family val="2"/>
        <scheme val="minor"/>
      </rPr>
      <t xml:space="preserve"> - Regional or intermediate education agency
</t>
    </r>
    <r>
      <rPr>
        <b/>
        <sz val="11"/>
        <color theme="1"/>
        <rFont val="Calibri"/>
        <family val="2"/>
        <scheme val="minor"/>
      </rPr>
      <t>Religious</t>
    </r>
    <r>
      <rPr>
        <sz val="11"/>
        <color theme="1"/>
        <rFont val="Calibri"/>
        <family val="2"/>
        <scheme val="minor"/>
      </rPr>
      <t xml:space="preserve"> - Religious organization
</t>
    </r>
    <r>
      <rPr>
        <b/>
        <sz val="11"/>
        <color theme="1"/>
        <rFont val="Calibri"/>
        <family val="2"/>
        <scheme val="minor"/>
      </rPr>
      <t>School</t>
    </r>
    <r>
      <rPr>
        <sz val="11"/>
        <color theme="1"/>
        <rFont val="Calibri"/>
        <family val="2"/>
        <scheme val="minor"/>
      </rPr>
      <t xml:space="preserve"> - School
</t>
    </r>
    <r>
      <rPr>
        <b/>
        <sz val="11"/>
        <color theme="1"/>
        <rFont val="Calibri"/>
        <family val="2"/>
        <scheme val="minor"/>
      </rPr>
      <t>SEA</t>
    </r>
    <r>
      <rPr>
        <sz val="11"/>
        <color theme="1"/>
        <rFont val="Calibri"/>
        <family val="2"/>
        <scheme val="minor"/>
      </rPr>
      <t xml:space="preserve"> - State Education Agency
</t>
    </r>
    <r>
      <rPr>
        <b/>
        <sz val="11"/>
        <color theme="1"/>
        <rFont val="Calibri"/>
        <family val="2"/>
        <scheme val="minor"/>
      </rPr>
      <t>Other</t>
    </r>
    <r>
      <rPr>
        <sz val="11"/>
        <color theme="1"/>
        <rFont val="Calibri"/>
        <family val="2"/>
        <scheme val="minor"/>
      </rPr>
      <t xml:space="preserve"> - Other
</t>
    </r>
  </si>
  <si>
    <r>
      <t>73056</t>
    </r>
    <r>
      <rPr>
        <sz val="11"/>
        <color theme="1"/>
        <rFont val="Calibri"/>
        <family val="2"/>
        <scheme val="minor"/>
      </rPr>
      <t xml:space="preserve"> - Adult Basic Education
</t>
    </r>
    <r>
      <rPr>
        <b/>
        <sz val="11"/>
        <color theme="1"/>
        <rFont val="Calibri"/>
        <family val="2"/>
        <scheme val="minor"/>
      </rPr>
      <t>73058</t>
    </r>
    <r>
      <rPr>
        <sz val="11"/>
        <color theme="1"/>
        <rFont val="Calibri"/>
        <family val="2"/>
        <scheme val="minor"/>
      </rPr>
      <t xml:space="preserve"> - Adult English as a Second Language
</t>
    </r>
    <r>
      <rPr>
        <b/>
        <sz val="11"/>
        <color theme="1"/>
        <rFont val="Calibri"/>
        <family val="2"/>
        <scheme val="minor"/>
      </rPr>
      <t>73057</t>
    </r>
    <r>
      <rPr>
        <sz val="11"/>
        <color theme="1"/>
        <rFont val="Calibri"/>
        <family val="2"/>
        <scheme val="minor"/>
      </rPr>
      <t xml:space="preserve"> - Adult Secondary Education
</t>
    </r>
    <r>
      <rPr>
        <b/>
        <sz val="11"/>
        <color theme="1"/>
        <rFont val="Calibri"/>
        <family val="2"/>
        <scheme val="minor"/>
      </rPr>
      <t>04961</t>
    </r>
    <r>
      <rPr>
        <sz val="11"/>
        <color theme="1"/>
        <rFont val="Calibri"/>
        <family val="2"/>
        <scheme val="minor"/>
      </rPr>
      <t xml:space="preserve"> - Alternative Education
</t>
    </r>
    <r>
      <rPr>
        <b/>
        <sz val="11"/>
        <color theme="1"/>
        <rFont val="Calibri"/>
        <family val="2"/>
        <scheme val="minor"/>
      </rPr>
      <t>04932</t>
    </r>
    <r>
      <rPr>
        <sz val="11"/>
        <color theme="1"/>
        <rFont val="Calibri"/>
        <family val="2"/>
        <scheme val="minor"/>
      </rPr>
      <t xml:space="preserve"> - Athletics
</t>
    </r>
    <r>
      <rPr>
        <b/>
        <sz val="11"/>
        <color theme="1"/>
        <rFont val="Calibri"/>
        <family val="2"/>
        <scheme val="minor"/>
      </rPr>
      <t>04923</t>
    </r>
    <r>
      <rPr>
        <sz val="11"/>
        <color theme="1"/>
        <rFont val="Calibri"/>
        <family val="2"/>
        <scheme val="minor"/>
      </rPr>
      <t xml:space="preserve"> - Bilingual education program
</t>
    </r>
    <r>
      <rPr>
        <b/>
        <sz val="11"/>
        <color theme="1"/>
        <rFont val="Calibri"/>
        <family val="2"/>
        <scheme val="minor"/>
      </rPr>
      <t>04906</t>
    </r>
    <r>
      <rPr>
        <sz val="11"/>
        <color theme="1"/>
        <rFont val="Calibri"/>
        <family val="2"/>
        <scheme val="minor"/>
      </rPr>
      <t xml:space="preserve"> - Career and Technical Education
</t>
    </r>
    <r>
      <rPr>
        <b/>
        <sz val="11"/>
        <color theme="1"/>
        <rFont val="Calibri"/>
        <family val="2"/>
        <scheme val="minor"/>
      </rPr>
      <t>04931</t>
    </r>
    <r>
      <rPr>
        <sz val="11"/>
        <color theme="1"/>
        <rFont val="Calibri"/>
        <family val="2"/>
        <scheme val="minor"/>
      </rPr>
      <t xml:space="preserve"> - Cocurricular programs
</t>
    </r>
    <r>
      <rPr>
        <b/>
        <sz val="11"/>
        <color theme="1"/>
        <rFont val="Calibri"/>
        <family val="2"/>
        <scheme val="minor"/>
      </rPr>
      <t>04958</t>
    </r>
    <r>
      <rPr>
        <sz val="11"/>
        <color theme="1"/>
        <rFont val="Calibri"/>
        <family val="2"/>
        <scheme val="minor"/>
      </rPr>
      <t xml:space="preserve"> - College preparatory
</t>
    </r>
    <r>
      <rPr>
        <b/>
        <sz val="11"/>
        <color theme="1"/>
        <rFont val="Calibri"/>
        <family val="2"/>
        <scheme val="minor"/>
      </rPr>
      <t>04945</t>
    </r>
    <r>
      <rPr>
        <sz val="11"/>
        <color theme="1"/>
        <rFont val="Calibri"/>
        <family val="2"/>
        <scheme val="minor"/>
      </rPr>
      <t xml:space="preserve"> - Community service program
</t>
    </r>
    <r>
      <rPr>
        <b/>
        <sz val="11"/>
        <color theme="1"/>
        <rFont val="Calibri"/>
        <family val="2"/>
        <scheme val="minor"/>
      </rPr>
      <t>04944</t>
    </r>
    <r>
      <rPr>
        <sz val="11"/>
        <color theme="1"/>
        <rFont val="Calibri"/>
        <family val="2"/>
        <scheme val="minor"/>
      </rPr>
      <t xml:space="preserve"> - Community/junior college education program
</t>
    </r>
    <r>
      <rPr>
        <b/>
        <sz val="11"/>
        <color theme="1"/>
        <rFont val="Calibri"/>
        <family val="2"/>
        <scheme val="minor"/>
      </rPr>
      <t>04922</t>
    </r>
    <r>
      <rPr>
        <sz val="11"/>
        <color theme="1"/>
        <rFont val="Calibri"/>
        <family val="2"/>
        <scheme val="minor"/>
      </rPr>
      <t xml:space="preserve"> - Compensatory services for disadvantaged students
</t>
    </r>
    <r>
      <rPr>
        <b/>
        <sz val="11"/>
        <color theme="1"/>
        <rFont val="Calibri"/>
        <family val="2"/>
        <scheme val="minor"/>
      </rPr>
      <t>73059</t>
    </r>
    <r>
      <rPr>
        <sz val="11"/>
        <color theme="1"/>
        <rFont val="Calibri"/>
        <family val="2"/>
        <scheme val="minor"/>
      </rPr>
      <t xml:space="preserve"> - Continuing Education
</t>
    </r>
    <r>
      <rPr>
        <b/>
        <sz val="11"/>
        <color theme="1"/>
        <rFont val="Calibri"/>
        <family val="2"/>
        <scheme val="minor"/>
      </rPr>
      <t>04956</t>
    </r>
    <r>
      <rPr>
        <sz val="11"/>
        <color theme="1"/>
        <rFont val="Calibri"/>
        <family val="2"/>
        <scheme val="minor"/>
      </rPr>
      <t xml:space="preserve"> - Counseling services
</t>
    </r>
    <r>
      <rPr>
        <b/>
        <sz val="11"/>
        <color theme="1"/>
        <rFont val="Calibri"/>
        <family val="2"/>
        <scheme val="minor"/>
      </rPr>
      <t>14609</t>
    </r>
    <r>
      <rPr>
        <sz val="11"/>
        <color theme="1"/>
        <rFont val="Calibri"/>
        <family val="2"/>
        <scheme val="minor"/>
      </rPr>
      <t xml:space="preserve"> - Early Head Start
</t>
    </r>
    <r>
      <rPr>
        <b/>
        <sz val="11"/>
        <color theme="1"/>
        <rFont val="Calibri"/>
        <family val="2"/>
        <scheme val="minor"/>
      </rPr>
      <t>04928</t>
    </r>
    <r>
      <rPr>
        <sz val="11"/>
        <color theme="1"/>
        <rFont val="Calibri"/>
        <family val="2"/>
        <scheme val="minor"/>
      </rPr>
      <t xml:space="preserve"> - English as a second language (ESL) program
</t>
    </r>
    <r>
      <rPr>
        <b/>
        <sz val="11"/>
        <color theme="1"/>
        <rFont val="Calibri"/>
        <family val="2"/>
        <scheme val="minor"/>
      </rPr>
      <t>04919</t>
    </r>
    <r>
      <rPr>
        <sz val="11"/>
        <color theme="1"/>
        <rFont val="Calibri"/>
        <family val="2"/>
        <scheme val="minor"/>
      </rPr>
      <t xml:space="preserve"> - Even Start
</t>
    </r>
    <r>
      <rPr>
        <b/>
        <sz val="11"/>
        <color theme="1"/>
        <rFont val="Calibri"/>
        <family val="2"/>
        <scheme val="minor"/>
      </rPr>
      <t>04955</t>
    </r>
    <r>
      <rPr>
        <sz val="11"/>
        <color theme="1"/>
        <rFont val="Calibri"/>
        <family val="2"/>
        <scheme val="minor"/>
      </rPr>
      <t xml:space="preserve"> - Extended day/child care services
</t>
    </r>
    <r>
      <rPr>
        <b/>
        <sz val="11"/>
        <color theme="1"/>
        <rFont val="Calibri"/>
        <family val="2"/>
        <scheme val="minor"/>
      </rPr>
      <t>04930</t>
    </r>
    <r>
      <rPr>
        <sz val="11"/>
        <color theme="1"/>
        <rFont val="Calibri"/>
        <family val="2"/>
        <scheme val="minor"/>
      </rPr>
      <t xml:space="preserve"> - Gifted and talented program
</t>
    </r>
    <r>
      <rPr>
        <b/>
        <sz val="11"/>
        <color theme="1"/>
        <rFont val="Calibri"/>
        <family val="2"/>
        <scheme val="minor"/>
      </rPr>
      <t>04918</t>
    </r>
    <r>
      <rPr>
        <sz val="11"/>
        <color theme="1"/>
        <rFont val="Calibri"/>
        <family val="2"/>
        <scheme val="minor"/>
      </rPr>
      <t xml:space="preserve"> - Head start
</t>
    </r>
    <r>
      <rPr>
        <b/>
        <sz val="11"/>
        <color theme="1"/>
        <rFont val="Calibri"/>
        <family val="2"/>
        <scheme val="minor"/>
      </rPr>
      <t>04963</t>
    </r>
    <r>
      <rPr>
        <sz val="11"/>
        <color theme="1"/>
        <rFont val="Calibri"/>
        <family val="2"/>
        <scheme val="minor"/>
      </rPr>
      <t xml:space="preserve"> - Health Services Program
</t>
    </r>
    <r>
      <rPr>
        <b/>
        <sz val="11"/>
        <color theme="1"/>
        <rFont val="Calibri"/>
        <family val="2"/>
        <scheme val="minor"/>
      </rPr>
      <t>04957</t>
    </r>
    <r>
      <rPr>
        <sz val="11"/>
        <color theme="1"/>
        <rFont val="Calibri"/>
        <family val="2"/>
        <scheme val="minor"/>
      </rPr>
      <t xml:space="preserve"> - Immigrant education
</t>
    </r>
    <r>
      <rPr>
        <b/>
        <sz val="11"/>
        <color theme="1"/>
        <rFont val="Calibri"/>
        <family val="2"/>
        <scheme val="minor"/>
      </rPr>
      <t>04921</t>
    </r>
    <r>
      <rPr>
        <sz val="11"/>
        <color theme="1"/>
        <rFont val="Calibri"/>
        <family val="2"/>
        <scheme val="minor"/>
      </rPr>
      <t xml:space="preserve"> - Indian education
</t>
    </r>
    <r>
      <rPr>
        <b/>
        <sz val="11"/>
        <color theme="1"/>
        <rFont val="Calibri"/>
        <family val="2"/>
        <scheme val="minor"/>
      </rPr>
      <t>04959</t>
    </r>
    <r>
      <rPr>
        <sz val="11"/>
        <color theme="1"/>
        <rFont val="Calibri"/>
        <family val="2"/>
        <scheme val="minor"/>
      </rPr>
      <t xml:space="preserve"> - International Baccalaureate
</t>
    </r>
    <r>
      <rPr>
        <b/>
        <sz val="11"/>
        <color theme="1"/>
        <rFont val="Calibri"/>
        <family val="2"/>
        <scheme val="minor"/>
      </rPr>
      <t>04962</t>
    </r>
    <r>
      <rPr>
        <sz val="11"/>
        <color theme="1"/>
        <rFont val="Calibri"/>
        <family val="2"/>
        <scheme val="minor"/>
      </rPr>
      <t xml:space="preserve"> - Library/Media Services Program
</t>
    </r>
    <r>
      <rPr>
        <b/>
        <sz val="11"/>
        <color theme="1"/>
        <rFont val="Calibri"/>
        <family val="2"/>
        <scheme val="minor"/>
      </rPr>
      <t>04960</t>
    </r>
    <r>
      <rPr>
        <sz val="11"/>
        <color theme="1"/>
        <rFont val="Calibri"/>
        <family val="2"/>
        <scheme val="minor"/>
      </rPr>
      <t xml:space="preserve"> - Magnet/Special Program Emphasis
</t>
    </r>
    <r>
      <rPr>
        <b/>
        <sz val="11"/>
        <color theme="1"/>
        <rFont val="Calibri"/>
        <family val="2"/>
        <scheme val="minor"/>
      </rPr>
      <t>04920</t>
    </r>
    <r>
      <rPr>
        <sz val="11"/>
        <color theme="1"/>
        <rFont val="Calibri"/>
        <family val="2"/>
        <scheme val="minor"/>
      </rPr>
      <t xml:space="preserve"> - Migrant education
</t>
    </r>
    <r>
      <rPr>
        <b/>
        <sz val="11"/>
        <color theme="1"/>
        <rFont val="Calibri"/>
        <family val="2"/>
        <scheme val="minor"/>
      </rPr>
      <t>04887</t>
    </r>
    <r>
      <rPr>
        <sz val="11"/>
        <color theme="1"/>
        <rFont val="Calibri"/>
        <family val="2"/>
        <scheme val="minor"/>
      </rPr>
      <t xml:space="preserve"> - Regular education
</t>
    </r>
    <r>
      <rPr>
        <b/>
        <sz val="11"/>
        <color theme="1"/>
        <rFont val="Calibri"/>
        <family val="2"/>
        <scheme val="minor"/>
      </rPr>
      <t>04964</t>
    </r>
    <r>
      <rPr>
        <sz val="11"/>
        <color theme="1"/>
        <rFont val="Calibri"/>
        <family val="2"/>
        <scheme val="minor"/>
      </rPr>
      <t xml:space="preserve"> - Remedial education
</t>
    </r>
    <r>
      <rPr>
        <b/>
        <sz val="11"/>
        <color theme="1"/>
        <rFont val="Calibri"/>
        <family val="2"/>
        <scheme val="minor"/>
      </rPr>
      <t>04967</t>
    </r>
    <r>
      <rPr>
        <sz val="11"/>
        <color theme="1"/>
        <rFont val="Calibri"/>
        <family val="2"/>
        <scheme val="minor"/>
      </rPr>
      <t xml:space="preserve"> - Section 504 Placement
</t>
    </r>
    <r>
      <rPr>
        <b/>
        <sz val="11"/>
        <color theme="1"/>
        <rFont val="Calibri"/>
        <family val="2"/>
        <scheme val="minor"/>
      </rPr>
      <t>04966</t>
    </r>
    <r>
      <rPr>
        <sz val="11"/>
        <color theme="1"/>
        <rFont val="Calibri"/>
        <family val="2"/>
        <scheme val="minor"/>
      </rPr>
      <t xml:space="preserve"> - Service learning
</t>
    </r>
    <r>
      <rPr>
        <b/>
        <sz val="11"/>
        <color theme="1"/>
        <rFont val="Calibri"/>
        <family val="2"/>
        <scheme val="minor"/>
      </rPr>
      <t>04888</t>
    </r>
    <r>
      <rPr>
        <sz val="11"/>
        <color theme="1"/>
        <rFont val="Calibri"/>
        <family val="2"/>
        <scheme val="minor"/>
      </rPr>
      <t xml:space="preserve"> - Special Education Services
</t>
    </r>
    <r>
      <rPr>
        <b/>
        <sz val="11"/>
        <color theme="1"/>
        <rFont val="Calibri"/>
        <family val="2"/>
        <scheme val="minor"/>
      </rPr>
      <t>04954</t>
    </r>
    <r>
      <rPr>
        <sz val="11"/>
        <color theme="1"/>
        <rFont val="Calibri"/>
        <family val="2"/>
        <scheme val="minor"/>
      </rPr>
      <t xml:space="preserve"> - Student retention/ Dropout Prevention
</t>
    </r>
    <r>
      <rPr>
        <b/>
        <sz val="11"/>
        <color theme="1"/>
        <rFont val="Calibri"/>
        <family val="2"/>
        <scheme val="minor"/>
      </rPr>
      <t>04953</t>
    </r>
    <r>
      <rPr>
        <sz val="11"/>
        <color theme="1"/>
        <rFont val="Calibri"/>
        <family val="2"/>
        <scheme val="minor"/>
      </rPr>
      <t xml:space="preserve"> - Substance abuse education/prevention
</t>
    </r>
    <r>
      <rPr>
        <b/>
        <sz val="11"/>
        <color theme="1"/>
        <rFont val="Calibri"/>
        <family val="2"/>
        <scheme val="minor"/>
      </rPr>
      <t>73204</t>
    </r>
    <r>
      <rPr>
        <sz val="11"/>
        <color theme="1"/>
        <rFont val="Calibri"/>
        <family val="2"/>
        <scheme val="minor"/>
      </rPr>
      <t xml:space="preserve"> - Targeted intervention program
</t>
    </r>
    <r>
      <rPr>
        <b/>
        <sz val="11"/>
        <color theme="1"/>
        <rFont val="Calibri"/>
        <family val="2"/>
        <scheme val="minor"/>
      </rPr>
      <t>04968</t>
    </r>
    <r>
      <rPr>
        <sz val="11"/>
        <color theme="1"/>
        <rFont val="Calibri"/>
        <family val="2"/>
        <scheme val="minor"/>
      </rPr>
      <t xml:space="preserve"> - Teacher professional development / Mentoring
</t>
    </r>
    <r>
      <rPr>
        <b/>
        <sz val="11"/>
        <color theme="1"/>
        <rFont val="Calibri"/>
        <family val="2"/>
        <scheme val="minor"/>
      </rPr>
      <t>04917</t>
    </r>
    <r>
      <rPr>
        <sz val="11"/>
        <color theme="1"/>
        <rFont val="Calibri"/>
        <family val="2"/>
        <scheme val="minor"/>
      </rPr>
      <t xml:space="preserve"> - Technical preparatory
</t>
    </r>
    <r>
      <rPr>
        <b/>
        <sz val="11"/>
        <color theme="1"/>
        <rFont val="Calibri"/>
        <family val="2"/>
        <scheme val="minor"/>
      </rPr>
      <t>73090</t>
    </r>
    <r>
      <rPr>
        <sz val="11"/>
        <color theme="1"/>
        <rFont val="Calibri"/>
        <family val="2"/>
        <scheme val="minor"/>
      </rPr>
      <t xml:space="preserve"> - Work-based Learning Opportunities
</t>
    </r>
    <r>
      <rPr>
        <b/>
        <sz val="11"/>
        <color theme="1"/>
        <rFont val="Calibri"/>
        <family val="2"/>
        <scheme val="minor"/>
      </rPr>
      <t>09999</t>
    </r>
    <r>
      <rPr>
        <sz val="11"/>
        <color theme="1"/>
        <rFont val="Calibri"/>
        <family val="2"/>
        <scheme val="minor"/>
      </rPr>
      <t xml:space="preserve"> - Other
</t>
    </r>
  </si>
  <si>
    <r>
      <t>NEGGRADE</t>
    </r>
    <r>
      <rPr>
        <sz val="11"/>
        <color theme="1"/>
        <rFont val="Calibri"/>
        <family val="2"/>
        <scheme val="minor"/>
      </rPr>
      <t xml:space="preserve"> - Negative grade level change
</t>
    </r>
    <r>
      <rPr>
        <b/>
        <sz val="11"/>
        <color theme="1"/>
        <rFont val="Calibri"/>
        <family val="2"/>
        <scheme val="minor"/>
      </rPr>
      <t>NOCHANGE</t>
    </r>
    <r>
      <rPr>
        <sz val="11"/>
        <color theme="1"/>
        <rFont val="Calibri"/>
        <family val="2"/>
        <scheme val="minor"/>
      </rPr>
      <t xml:space="preserve"> - No change
</t>
    </r>
    <r>
      <rPr>
        <b/>
        <sz val="11"/>
        <color theme="1"/>
        <rFont val="Calibri"/>
        <family val="2"/>
        <scheme val="minor"/>
      </rPr>
      <t>UPHALFGRADE</t>
    </r>
    <r>
      <rPr>
        <sz val="11"/>
        <color theme="1"/>
        <rFont val="Calibri"/>
        <family val="2"/>
        <scheme val="minor"/>
      </rPr>
      <t xml:space="preserve"> - Improvement of up to one half grade level
</t>
    </r>
    <r>
      <rPr>
        <b/>
        <sz val="11"/>
        <color theme="1"/>
        <rFont val="Calibri"/>
        <family val="2"/>
        <scheme val="minor"/>
      </rPr>
      <t>UPONEGRADE</t>
    </r>
    <r>
      <rPr>
        <sz val="11"/>
        <color theme="1"/>
        <rFont val="Calibri"/>
        <family val="2"/>
        <scheme val="minor"/>
      </rPr>
      <t xml:space="preserve"> - Improvement from one half grade level up to one full grade level
</t>
    </r>
    <r>
      <rPr>
        <b/>
        <sz val="11"/>
        <color theme="1"/>
        <rFont val="Calibri"/>
        <family val="2"/>
        <scheme val="minor"/>
      </rPr>
      <t>UPGTONE</t>
    </r>
    <r>
      <rPr>
        <sz val="11"/>
        <color theme="1"/>
        <rFont val="Calibri"/>
        <family val="2"/>
        <scheme val="minor"/>
      </rPr>
      <t xml:space="preserve"> - Improvement of more than one full grade level
</t>
    </r>
  </si>
  <si>
    <r>
      <t>AcceleratedPromotion</t>
    </r>
    <r>
      <rPr>
        <sz val="11"/>
        <color theme="1"/>
        <rFont val="Calibri"/>
        <family val="2"/>
        <scheme val="minor"/>
      </rPr>
      <t xml:space="preserve"> - Accelerated promotion
</t>
    </r>
    <r>
      <rPr>
        <b/>
        <sz val="11"/>
        <color theme="1"/>
        <rFont val="Calibri"/>
        <family val="2"/>
        <scheme val="minor"/>
      </rPr>
      <t>ContinuousPromotion</t>
    </r>
    <r>
      <rPr>
        <sz val="11"/>
        <color theme="1"/>
        <rFont val="Calibri"/>
        <family val="2"/>
        <scheme val="minor"/>
      </rPr>
      <t xml:space="preserve"> - Continuous promotion
</t>
    </r>
    <r>
      <rPr>
        <b/>
        <sz val="11"/>
        <color theme="1"/>
        <rFont val="Calibri"/>
        <family val="2"/>
        <scheme val="minor"/>
      </rPr>
      <t>Other</t>
    </r>
    <r>
      <rPr>
        <sz val="11"/>
        <color theme="1"/>
        <rFont val="Calibri"/>
        <family val="2"/>
        <scheme val="minor"/>
      </rPr>
      <t xml:space="preserve"> - Other
</t>
    </r>
    <r>
      <rPr>
        <b/>
        <sz val="11"/>
        <color theme="1"/>
        <rFont val="Calibri"/>
        <family val="2"/>
        <scheme val="minor"/>
      </rPr>
      <t>ProbationaryPromotion</t>
    </r>
    <r>
      <rPr>
        <sz val="11"/>
        <color theme="1"/>
        <rFont val="Calibri"/>
        <family val="2"/>
        <scheme val="minor"/>
      </rPr>
      <t xml:space="preserve"> - Probationary promotion
</t>
    </r>
    <r>
      <rPr>
        <b/>
        <sz val="11"/>
        <color theme="1"/>
        <rFont val="Calibri"/>
        <family val="2"/>
        <scheme val="minor"/>
      </rPr>
      <t>RegularPromotion</t>
    </r>
    <r>
      <rPr>
        <sz val="11"/>
        <color theme="1"/>
        <rFont val="Calibri"/>
        <family val="2"/>
        <scheme val="minor"/>
      </rPr>
      <t xml:space="preserve"> - Regular promotion
</t>
    </r>
    <r>
      <rPr>
        <b/>
        <sz val="11"/>
        <color theme="1"/>
        <rFont val="Calibri"/>
        <family val="2"/>
        <scheme val="minor"/>
      </rPr>
      <t>VariableProgress</t>
    </r>
    <r>
      <rPr>
        <sz val="11"/>
        <color theme="1"/>
        <rFont val="Calibri"/>
        <family val="2"/>
        <scheme val="minor"/>
      </rPr>
      <t xml:space="preserve"> - Variable progress
</t>
    </r>
  </si>
  <si>
    <r>
      <t>BankStatement</t>
    </r>
    <r>
      <rPr>
        <sz val="11"/>
        <color theme="1"/>
        <rFont val="Calibri"/>
        <family val="2"/>
        <scheme val="minor"/>
      </rPr>
      <t xml:space="preserve"> - Bank statement
</t>
    </r>
    <r>
      <rPr>
        <b/>
        <sz val="11"/>
        <color theme="1"/>
        <rFont val="Calibri"/>
        <family val="2"/>
        <scheme val="minor"/>
      </rPr>
      <t>UtilityBill</t>
    </r>
    <r>
      <rPr>
        <sz val="11"/>
        <color theme="1"/>
        <rFont val="Calibri"/>
        <family val="2"/>
        <scheme val="minor"/>
      </rPr>
      <t xml:space="preserve"> - Utility bill
</t>
    </r>
    <r>
      <rPr>
        <b/>
        <sz val="11"/>
        <color theme="1"/>
        <rFont val="Calibri"/>
        <family val="2"/>
        <scheme val="minor"/>
      </rPr>
      <t>Lease</t>
    </r>
    <r>
      <rPr>
        <sz val="11"/>
        <color theme="1"/>
        <rFont val="Calibri"/>
        <family val="2"/>
        <scheme val="minor"/>
      </rPr>
      <t xml:space="preserve"> - Lease
</t>
    </r>
    <r>
      <rPr>
        <b/>
        <sz val="11"/>
        <color theme="1"/>
        <rFont val="Calibri"/>
        <family val="2"/>
        <scheme val="minor"/>
      </rPr>
      <t>Other</t>
    </r>
    <r>
      <rPr>
        <sz val="11"/>
        <color theme="1"/>
        <rFont val="Calibri"/>
        <family val="2"/>
        <scheme val="minor"/>
      </rPr>
      <t xml:space="preserve"> - Other
</t>
    </r>
  </si>
  <si>
    <r>
      <t>ImplementedAllGrades</t>
    </r>
    <r>
      <rPr>
        <sz val="11"/>
        <color theme="1"/>
        <rFont val="Calibri"/>
        <family val="2"/>
        <scheme val="minor"/>
      </rPr>
      <t xml:space="preserve"> - Implemented at all grade levels
</t>
    </r>
    <r>
      <rPr>
        <b/>
        <sz val="11"/>
        <color theme="1"/>
        <rFont val="Calibri"/>
        <family val="2"/>
        <scheme val="minor"/>
      </rPr>
      <t>ImplementedSomeGrades</t>
    </r>
    <r>
      <rPr>
        <sz val="11"/>
        <color theme="1"/>
        <rFont val="Calibri"/>
        <family val="2"/>
        <scheme val="minor"/>
      </rPr>
      <t xml:space="preserve"> - Implemented at some but not all grade levels
</t>
    </r>
    <r>
      <rPr>
        <b/>
        <sz val="11"/>
        <color theme="1"/>
        <rFont val="Calibri"/>
        <family val="2"/>
        <scheme val="minor"/>
      </rPr>
      <t>UnableToImplement</t>
    </r>
    <r>
      <rPr>
        <sz val="11"/>
        <color theme="1"/>
        <rFont val="Calibri"/>
        <family val="2"/>
        <scheme val="minor"/>
      </rPr>
      <t xml:space="preserve"> - Unable to implement at any grades levels
</t>
    </r>
    <r>
      <rPr>
        <b/>
        <sz val="11"/>
        <color theme="1"/>
        <rFont val="Calibri"/>
        <family val="2"/>
        <scheme val="minor"/>
      </rPr>
      <t>NotRequiredToImplement</t>
    </r>
    <r>
      <rPr>
        <sz val="11"/>
        <color theme="1"/>
        <rFont val="Calibri"/>
        <family val="2"/>
        <scheme val="minor"/>
      </rPr>
      <t xml:space="preserve"> - Not required to implement public school choice
</t>
    </r>
  </si>
  <si>
    <r>
      <t>01652</t>
    </r>
    <r>
      <rPr>
        <sz val="11"/>
        <color theme="1"/>
        <rFont val="Calibri"/>
        <family val="2"/>
        <scheme val="minor"/>
      </rPr>
      <t xml:space="preserve"> - Resident of administrative unit and usual school attendance area
</t>
    </r>
    <r>
      <rPr>
        <b/>
        <sz val="11"/>
        <color theme="1"/>
        <rFont val="Calibri"/>
        <family val="2"/>
        <scheme val="minor"/>
      </rPr>
      <t>01653</t>
    </r>
    <r>
      <rPr>
        <sz val="11"/>
        <color theme="1"/>
        <rFont val="Calibri"/>
        <family val="2"/>
        <scheme val="minor"/>
      </rPr>
      <t xml:space="preserve"> - Resident of administrative unit, but of other school attendance area
</t>
    </r>
    <r>
      <rPr>
        <b/>
        <sz val="11"/>
        <color theme="1"/>
        <rFont val="Calibri"/>
        <family val="2"/>
        <scheme val="minor"/>
      </rPr>
      <t>01654</t>
    </r>
    <r>
      <rPr>
        <sz val="11"/>
        <color theme="1"/>
        <rFont val="Calibri"/>
        <family val="2"/>
        <scheme val="minor"/>
      </rPr>
      <t xml:space="preserve"> - Resident of this state, but not of this administrative unit
</t>
    </r>
    <r>
      <rPr>
        <b/>
        <sz val="11"/>
        <color theme="1"/>
        <rFont val="Calibri"/>
        <family val="2"/>
        <scheme val="minor"/>
      </rPr>
      <t>01655</t>
    </r>
    <r>
      <rPr>
        <sz val="11"/>
        <color theme="1"/>
        <rFont val="Calibri"/>
        <family val="2"/>
        <scheme val="minor"/>
      </rPr>
      <t xml:space="preserve"> - Resident of an administrative unit that crosses state boundaries
</t>
    </r>
    <r>
      <rPr>
        <b/>
        <sz val="11"/>
        <color theme="1"/>
        <rFont val="Calibri"/>
        <family val="2"/>
        <scheme val="minor"/>
      </rPr>
      <t>01656</t>
    </r>
    <r>
      <rPr>
        <sz val="11"/>
        <color theme="1"/>
        <rFont val="Calibri"/>
        <family val="2"/>
        <scheme val="minor"/>
      </rPr>
      <t xml:space="preserve"> - Resident of another state
</t>
    </r>
  </si>
  <si>
    <r>
      <t>LicensingVisits</t>
    </r>
    <r>
      <rPr>
        <sz val="11"/>
        <color theme="1"/>
        <rFont val="Calibri"/>
        <family val="2"/>
        <scheme val="minor"/>
      </rPr>
      <t xml:space="preserve"> - Licensing Visits
</t>
    </r>
    <r>
      <rPr>
        <b/>
        <sz val="11"/>
        <color theme="1"/>
        <rFont val="Calibri"/>
        <family val="2"/>
        <scheme val="minor"/>
      </rPr>
      <t>HeathSafety</t>
    </r>
    <r>
      <rPr>
        <sz val="11"/>
        <color theme="1"/>
        <rFont val="Calibri"/>
        <family val="2"/>
        <scheme val="minor"/>
      </rPr>
      <t xml:space="preserve"> - Health and Safety
</t>
    </r>
    <r>
      <rPr>
        <b/>
        <sz val="11"/>
        <color theme="1"/>
        <rFont val="Calibri"/>
        <family val="2"/>
        <scheme val="minor"/>
      </rPr>
      <t>Renewal</t>
    </r>
    <r>
      <rPr>
        <sz val="11"/>
        <color theme="1"/>
        <rFont val="Calibri"/>
        <family val="2"/>
        <scheme val="minor"/>
      </rPr>
      <t xml:space="preserve"> - Renewal
</t>
    </r>
    <r>
      <rPr>
        <b/>
        <sz val="11"/>
        <color theme="1"/>
        <rFont val="Calibri"/>
        <family val="2"/>
        <scheme val="minor"/>
      </rPr>
      <t>Review</t>
    </r>
    <r>
      <rPr>
        <sz val="11"/>
        <color theme="1"/>
        <rFont val="Calibri"/>
        <family val="2"/>
        <scheme val="minor"/>
      </rPr>
      <t xml:space="preserve"> - Review
</t>
    </r>
    <r>
      <rPr>
        <b/>
        <sz val="11"/>
        <color theme="1"/>
        <rFont val="Calibri"/>
        <family val="2"/>
        <scheme val="minor"/>
      </rPr>
      <t>Other</t>
    </r>
    <r>
      <rPr>
        <sz val="11"/>
        <color theme="1"/>
        <rFont val="Calibri"/>
        <family val="2"/>
        <scheme val="minor"/>
      </rPr>
      <t xml:space="preserve"> - Other
</t>
    </r>
  </si>
  <si>
    <r>
      <t>AK</t>
    </r>
    <r>
      <rPr>
        <sz val="11"/>
        <color theme="1"/>
        <rFont val="Calibri"/>
        <family val="2"/>
        <scheme val="minor"/>
      </rPr>
      <t xml:space="preserve"> - Alaska
</t>
    </r>
    <r>
      <rPr>
        <b/>
        <sz val="11"/>
        <color theme="1"/>
        <rFont val="Calibri"/>
        <family val="2"/>
        <scheme val="minor"/>
      </rPr>
      <t>AL</t>
    </r>
    <r>
      <rPr>
        <sz val="11"/>
        <color theme="1"/>
        <rFont val="Calibri"/>
        <family val="2"/>
        <scheme val="minor"/>
      </rPr>
      <t xml:space="preserve"> - Alabama
</t>
    </r>
    <r>
      <rPr>
        <b/>
        <sz val="11"/>
        <color theme="1"/>
        <rFont val="Calibri"/>
        <family val="2"/>
        <scheme val="minor"/>
      </rPr>
      <t>AR</t>
    </r>
    <r>
      <rPr>
        <sz val="11"/>
        <color theme="1"/>
        <rFont val="Calibri"/>
        <family val="2"/>
        <scheme val="minor"/>
      </rPr>
      <t xml:space="preserve"> - Arkansas
</t>
    </r>
    <r>
      <rPr>
        <b/>
        <sz val="11"/>
        <color theme="1"/>
        <rFont val="Calibri"/>
        <family val="2"/>
        <scheme val="minor"/>
      </rPr>
      <t>AS</t>
    </r>
    <r>
      <rPr>
        <sz val="11"/>
        <color theme="1"/>
        <rFont val="Calibri"/>
        <family val="2"/>
        <scheme val="minor"/>
      </rPr>
      <t xml:space="preserve"> - American Samoa
</t>
    </r>
    <r>
      <rPr>
        <b/>
        <sz val="11"/>
        <color theme="1"/>
        <rFont val="Calibri"/>
        <family val="2"/>
        <scheme val="minor"/>
      </rPr>
      <t>AZ</t>
    </r>
    <r>
      <rPr>
        <sz val="11"/>
        <color theme="1"/>
        <rFont val="Calibri"/>
        <family val="2"/>
        <scheme val="minor"/>
      </rPr>
      <t xml:space="preserve"> - Arizona
</t>
    </r>
    <r>
      <rPr>
        <b/>
        <sz val="11"/>
        <color theme="1"/>
        <rFont val="Calibri"/>
        <family val="2"/>
        <scheme val="minor"/>
      </rPr>
      <t>CA</t>
    </r>
    <r>
      <rPr>
        <sz val="11"/>
        <color theme="1"/>
        <rFont val="Calibri"/>
        <family val="2"/>
        <scheme val="minor"/>
      </rPr>
      <t xml:space="preserve"> - California
</t>
    </r>
    <r>
      <rPr>
        <b/>
        <sz val="11"/>
        <color theme="1"/>
        <rFont val="Calibri"/>
        <family val="2"/>
        <scheme val="minor"/>
      </rPr>
      <t>CO</t>
    </r>
    <r>
      <rPr>
        <sz val="11"/>
        <color theme="1"/>
        <rFont val="Calibri"/>
        <family val="2"/>
        <scheme val="minor"/>
      </rPr>
      <t xml:space="preserve"> - Colorado
</t>
    </r>
    <r>
      <rPr>
        <b/>
        <sz val="11"/>
        <color theme="1"/>
        <rFont val="Calibri"/>
        <family val="2"/>
        <scheme val="minor"/>
      </rPr>
      <t>CT</t>
    </r>
    <r>
      <rPr>
        <sz val="11"/>
        <color theme="1"/>
        <rFont val="Calibri"/>
        <family val="2"/>
        <scheme val="minor"/>
      </rPr>
      <t xml:space="preserve"> - Connecticut
</t>
    </r>
    <r>
      <rPr>
        <b/>
        <sz val="11"/>
        <color theme="1"/>
        <rFont val="Calibri"/>
        <family val="2"/>
        <scheme val="minor"/>
      </rPr>
      <t>DC</t>
    </r>
    <r>
      <rPr>
        <sz val="11"/>
        <color theme="1"/>
        <rFont val="Calibri"/>
        <family val="2"/>
        <scheme val="minor"/>
      </rPr>
      <t xml:space="preserve"> - District of Columbia
</t>
    </r>
    <r>
      <rPr>
        <b/>
        <sz val="11"/>
        <color theme="1"/>
        <rFont val="Calibri"/>
        <family val="2"/>
        <scheme val="minor"/>
      </rPr>
      <t>DE</t>
    </r>
    <r>
      <rPr>
        <sz val="11"/>
        <color theme="1"/>
        <rFont val="Calibri"/>
        <family val="2"/>
        <scheme val="minor"/>
      </rPr>
      <t xml:space="preserve"> - Delaware
</t>
    </r>
    <r>
      <rPr>
        <b/>
        <sz val="11"/>
        <color theme="1"/>
        <rFont val="Calibri"/>
        <family val="2"/>
        <scheme val="minor"/>
      </rPr>
      <t>FL</t>
    </r>
    <r>
      <rPr>
        <sz val="11"/>
        <color theme="1"/>
        <rFont val="Calibri"/>
        <family val="2"/>
        <scheme val="minor"/>
      </rPr>
      <t xml:space="preserve"> - Florida
</t>
    </r>
    <r>
      <rPr>
        <b/>
        <sz val="11"/>
        <color theme="1"/>
        <rFont val="Calibri"/>
        <family val="2"/>
        <scheme val="minor"/>
      </rPr>
      <t>FM</t>
    </r>
    <r>
      <rPr>
        <sz val="11"/>
        <color theme="1"/>
        <rFont val="Calibri"/>
        <family val="2"/>
        <scheme val="minor"/>
      </rPr>
      <t xml:space="preserve"> - Federated States of Micronesia
</t>
    </r>
    <r>
      <rPr>
        <b/>
        <sz val="11"/>
        <color theme="1"/>
        <rFont val="Calibri"/>
        <family val="2"/>
        <scheme val="minor"/>
      </rPr>
      <t>GA</t>
    </r>
    <r>
      <rPr>
        <sz val="11"/>
        <color theme="1"/>
        <rFont val="Calibri"/>
        <family val="2"/>
        <scheme val="minor"/>
      </rPr>
      <t xml:space="preserve"> - Georgia
</t>
    </r>
    <r>
      <rPr>
        <b/>
        <sz val="11"/>
        <color theme="1"/>
        <rFont val="Calibri"/>
        <family val="2"/>
        <scheme val="minor"/>
      </rPr>
      <t>GU</t>
    </r>
    <r>
      <rPr>
        <sz val="11"/>
        <color theme="1"/>
        <rFont val="Calibri"/>
        <family val="2"/>
        <scheme val="minor"/>
      </rPr>
      <t xml:space="preserve"> - Guam
</t>
    </r>
    <r>
      <rPr>
        <b/>
        <sz val="11"/>
        <color theme="1"/>
        <rFont val="Calibri"/>
        <family val="2"/>
        <scheme val="minor"/>
      </rPr>
      <t>HI</t>
    </r>
    <r>
      <rPr>
        <sz val="11"/>
        <color theme="1"/>
        <rFont val="Calibri"/>
        <family val="2"/>
        <scheme val="minor"/>
      </rPr>
      <t xml:space="preserve"> - Hawaii
</t>
    </r>
    <r>
      <rPr>
        <b/>
        <sz val="11"/>
        <color theme="1"/>
        <rFont val="Calibri"/>
        <family val="2"/>
        <scheme val="minor"/>
      </rPr>
      <t>IA</t>
    </r>
    <r>
      <rPr>
        <sz val="11"/>
        <color theme="1"/>
        <rFont val="Calibri"/>
        <family val="2"/>
        <scheme val="minor"/>
      </rPr>
      <t xml:space="preserve"> - Iowa
</t>
    </r>
    <r>
      <rPr>
        <b/>
        <sz val="11"/>
        <color theme="1"/>
        <rFont val="Calibri"/>
        <family val="2"/>
        <scheme val="minor"/>
      </rPr>
      <t>ID</t>
    </r>
    <r>
      <rPr>
        <sz val="11"/>
        <color theme="1"/>
        <rFont val="Calibri"/>
        <family val="2"/>
        <scheme val="minor"/>
      </rPr>
      <t xml:space="preserve"> - Idaho
</t>
    </r>
    <r>
      <rPr>
        <b/>
        <sz val="11"/>
        <color theme="1"/>
        <rFont val="Calibri"/>
        <family val="2"/>
        <scheme val="minor"/>
      </rPr>
      <t>IL</t>
    </r>
    <r>
      <rPr>
        <sz val="11"/>
        <color theme="1"/>
        <rFont val="Calibri"/>
        <family val="2"/>
        <scheme val="minor"/>
      </rPr>
      <t xml:space="preserve"> - Illinois
</t>
    </r>
    <r>
      <rPr>
        <b/>
        <sz val="11"/>
        <color theme="1"/>
        <rFont val="Calibri"/>
        <family val="2"/>
        <scheme val="minor"/>
      </rPr>
      <t>IN</t>
    </r>
    <r>
      <rPr>
        <sz val="11"/>
        <color theme="1"/>
        <rFont val="Calibri"/>
        <family val="2"/>
        <scheme val="minor"/>
      </rPr>
      <t xml:space="preserve"> - Indiana
</t>
    </r>
    <r>
      <rPr>
        <b/>
        <sz val="11"/>
        <color theme="1"/>
        <rFont val="Calibri"/>
        <family val="2"/>
        <scheme val="minor"/>
      </rPr>
      <t>KS</t>
    </r>
    <r>
      <rPr>
        <sz val="11"/>
        <color theme="1"/>
        <rFont val="Calibri"/>
        <family val="2"/>
        <scheme val="minor"/>
      </rPr>
      <t xml:space="preserve"> - Kansas
</t>
    </r>
    <r>
      <rPr>
        <b/>
        <sz val="11"/>
        <color theme="1"/>
        <rFont val="Calibri"/>
        <family val="2"/>
        <scheme val="minor"/>
      </rPr>
      <t>KY</t>
    </r>
    <r>
      <rPr>
        <sz val="11"/>
        <color theme="1"/>
        <rFont val="Calibri"/>
        <family val="2"/>
        <scheme val="minor"/>
      </rPr>
      <t xml:space="preserve"> - Kentucky
</t>
    </r>
    <r>
      <rPr>
        <b/>
        <sz val="11"/>
        <color theme="1"/>
        <rFont val="Calibri"/>
        <family val="2"/>
        <scheme val="minor"/>
      </rPr>
      <t>LA</t>
    </r>
    <r>
      <rPr>
        <sz val="11"/>
        <color theme="1"/>
        <rFont val="Calibri"/>
        <family val="2"/>
        <scheme val="minor"/>
      </rPr>
      <t xml:space="preserve"> - Louisiana
</t>
    </r>
    <r>
      <rPr>
        <b/>
        <sz val="11"/>
        <color theme="1"/>
        <rFont val="Calibri"/>
        <family val="2"/>
        <scheme val="minor"/>
      </rPr>
      <t>MA</t>
    </r>
    <r>
      <rPr>
        <sz val="11"/>
        <color theme="1"/>
        <rFont val="Calibri"/>
        <family val="2"/>
        <scheme val="minor"/>
      </rPr>
      <t xml:space="preserve"> - Massachusetts
</t>
    </r>
    <r>
      <rPr>
        <b/>
        <sz val="11"/>
        <color theme="1"/>
        <rFont val="Calibri"/>
        <family val="2"/>
        <scheme val="minor"/>
      </rPr>
      <t>MD</t>
    </r>
    <r>
      <rPr>
        <sz val="11"/>
        <color theme="1"/>
        <rFont val="Calibri"/>
        <family val="2"/>
        <scheme val="minor"/>
      </rPr>
      <t xml:space="preserve"> - Maryland
</t>
    </r>
    <r>
      <rPr>
        <b/>
        <sz val="11"/>
        <color theme="1"/>
        <rFont val="Calibri"/>
        <family val="2"/>
        <scheme val="minor"/>
      </rPr>
      <t>ME</t>
    </r>
    <r>
      <rPr>
        <sz val="11"/>
        <color theme="1"/>
        <rFont val="Calibri"/>
        <family val="2"/>
        <scheme val="minor"/>
      </rPr>
      <t xml:space="preserve"> - Maine
</t>
    </r>
    <r>
      <rPr>
        <b/>
        <sz val="11"/>
        <color theme="1"/>
        <rFont val="Calibri"/>
        <family val="2"/>
        <scheme val="minor"/>
      </rPr>
      <t>MH</t>
    </r>
    <r>
      <rPr>
        <sz val="11"/>
        <color theme="1"/>
        <rFont val="Calibri"/>
        <family val="2"/>
        <scheme val="minor"/>
      </rPr>
      <t xml:space="preserve"> - Marshall Islands
</t>
    </r>
    <r>
      <rPr>
        <b/>
        <sz val="11"/>
        <color theme="1"/>
        <rFont val="Calibri"/>
        <family val="2"/>
        <scheme val="minor"/>
      </rPr>
      <t>MI</t>
    </r>
    <r>
      <rPr>
        <sz val="11"/>
        <color theme="1"/>
        <rFont val="Calibri"/>
        <family val="2"/>
        <scheme val="minor"/>
      </rPr>
      <t xml:space="preserve"> - Michigan
</t>
    </r>
    <r>
      <rPr>
        <b/>
        <sz val="11"/>
        <color theme="1"/>
        <rFont val="Calibri"/>
        <family val="2"/>
        <scheme val="minor"/>
      </rPr>
      <t>MN</t>
    </r>
    <r>
      <rPr>
        <sz val="11"/>
        <color theme="1"/>
        <rFont val="Calibri"/>
        <family val="2"/>
        <scheme val="minor"/>
      </rPr>
      <t xml:space="preserve"> - Minnesota
</t>
    </r>
    <r>
      <rPr>
        <b/>
        <sz val="11"/>
        <color theme="1"/>
        <rFont val="Calibri"/>
        <family val="2"/>
        <scheme val="minor"/>
      </rPr>
      <t>MO</t>
    </r>
    <r>
      <rPr>
        <sz val="11"/>
        <color theme="1"/>
        <rFont val="Calibri"/>
        <family val="2"/>
        <scheme val="minor"/>
      </rPr>
      <t xml:space="preserve"> - Missouri
</t>
    </r>
    <r>
      <rPr>
        <b/>
        <sz val="11"/>
        <color theme="1"/>
        <rFont val="Calibri"/>
        <family val="2"/>
        <scheme val="minor"/>
      </rPr>
      <t>MP</t>
    </r>
    <r>
      <rPr>
        <sz val="11"/>
        <color theme="1"/>
        <rFont val="Calibri"/>
        <family val="2"/>
        <scheme val="minor"/>
      </rPr>
      <t xml:space="preserve"> - Northern Marianas
</t>
    </r>
    <r>
      <rPr>
        <b/>
        <sz val="11"/>
        <color theme="1"/>
        <rFont val="Calibri"/>
        <family val="2"/>
        <scheme val="minor"/>
      </rPr>
      <t>MS</t>
    </r>
    <r>
      <rPr>
        <sz val="11"/>
        <color theme="1"/>
        <rFont val="Calibri"/>
        <family val="2"/>
        <scheme val="minor"/>
      </rPr>
      <t xml:space="preserve"> - Mississippi
</t>
    </r>
    <r>
      <rPr>
        <b/>
        <sz val="11"/>
        <color theme="1"/>
        <rFont val="Calibri"/>
        <family val="2"/>
        <scheme val="minor"/>
      </rPr>
      <t>MT</t>
    </r>
    <r>
      <rPr>
        <sz val="11"/>
        <color theme="1"/>
        <rFont val="Calibri"/>
        <family val="2"/>
        <scheme val="minor"/>
      </rPr>
      <t xml:space="preserve"> - Montana
</t>
    </r>
    <r>
      <rPr>
        <b/>
        <sz val="11"/>
        <color theme="1"/>
        <rFont val="Calibri"/>
        <family val="2"/>
        <scheme val="minor"/>
      </rPr>
      <t>NC</t>
    </r>
    <r>
      <rPr>
        <sz val="11"/>
        <color theme="1"/>
        <rFont val="Calibri"/>
        <family val="2"/>
        <scheme val="minor"/>
      </rPr>
      <t xml:space="preserve"> - North Carolina
</t>
    </r>
    <r>
      <rPr>
        <b/>
        <sz val="11"/>
        <color theme="1"/>
        <rFont val="Calibri"/>
        <family val="2"/>
        <scheme val="minor"/>
      </rPr>
      <t>ND</t>
    </r>
    <r>
      <rPr>
        <sz val="11"/>
        <color theme="1"/>
        <rFont val="Calibri"/>
        <family val="2"/>
        <scheme val="minor"/>
      </rPr>
      <t xml:space="preserve"> - North Dakota
</t>
    </r>
    <r>
      <rPr>
        <b/>
        <sz val="11"/>
        <color theme="1"/>
        <rFont val="Calibri"/>
        <family val="2"/>
        <scheme val="minor"/>
      </rPr>
      <t>NE</t>
    </r>
    <r>
      <rPr>
        <sz val="11"/>
        <color theme="1"/>
        <rFont val="Calibri"/>
        <family val="2"/>
        <scheme val="minor"/>
      </rPr>
      <t xml:space="preserve"> - Nebraska
</t>
    </r>
    <r>
      <rPr>
        <b/>
        <sz val="11"/>
        <color theme="1"/>
        <rFont val="Calibri"/>
        <family val="2"/>
        <scheme val="minor"/>
      </rPr>
      <t>NH</t>
    </r>
    <r>
      <rPr>
        <sz val="11"/>
        <color theme="1"/>
        <rFont val="Calibri"/>
        <family val="2"/>
        <scheme val="minor"/>
      </rPr>
      <t xml:space="preserve"> - New Hampshire
</t>
    </r>
    <r>
      <rPr>
        <b/>
        <sz val="11"/>
        <color theme="1"/>
        <rFont val="Calibri"/>
        <family val="2"/>
        <scheme val="minor"/>
      </rPr>
      <t>NJ</t>
    </r>
    <r>
      <rPr>
        <sz val="11"/>
        <color theme="1"/>
        <rFont val="Calibri"/>
        <family val="2"/>
        <scheme val="minor"/>
      </rPr>
      <t xml:space="preserve"> - New Jersey
</t>
    </r>
    <r>
      <rPr>
        <b/>
        <sz val="11"/>
        <color theme="1"/>
        <rFont val="Calibri"/>
        <family val="2"/>
        <scheme val="minor"/>
      </rPr>
      <t>NM</t>
    </r>
    <r>
      <rPr>
        <sz val="11"/>
        <color theme="1"/>
        <rFont val="Calibri"/>
        <family val="2"/>
        <scheme val="minor"/>
      </rPr>
      <t xml:space="preserve"> - New Mexico
</t>
    </r>
    <r>
      <rPr>
        <b/>
        <sz val="11"/>
        <color theme="1"/>
        <rFont val="Calibri"/>
        <family val="2"/>
        <scheme val="minor"/>
      </rPr>
      <t>NV</t>
    </r>
    <r>
      <rPr>
        <sz val="11"/>
        <color theme="1"/>
        <rFont val="Calibri"/>
        <family val="2"/>
        <scheme val="minor"/>
      </rPr>
      <t xml:space="preserve"> - Nevada
</t>
    </r>
    <r>
      <rPr>
        <b/>
        <sz val="11"/>
        <color theme="1"/>
        <rFont val="Calibri"/>
        <family val="2"/>
        <scheme val="minor"/>
      </rPr>
      <t>NY</t>
    </r>
    <r>
      <rPr>
        <sz val="11"/>
        <color theme="1"/>
        <rFont val="Calibri"/>
        <family val="2"/>
        <scheme val="minor"/>
      </rPr>
      <t xml:space="preserve"> - New York
</t>
    </r>
    <r>
      <rPr>
        <b/>
        <sz val="11"/>
        <color theme="1"/>
        <rFont val="Calibri"/>
        <family val="2"/>
        <scheme val="minor"/>
      </rPr>
      <t>OH</t>
    </r>
    <r>
      <rPr>
        <sz val="11"/>
        <color theme="1"/>
        <rFont val="Calibri"/>
        <family val="2"/>
        <scheme val="minor"/>
      </rPr>
      <t xml:space="preserve"> - Ohio
</t>
    </r>
    <r>
      <rPr>
        <b/>
        <sz val="11"/>
        <color theme="1"/>
        <rFont val="Calibri"/>
        <family val="2"/>
        <scheme val="minor"/>
      </rPr>
      <t>OK</t>
    </r>
    <r>
      <rPr>
        <sz val="11"/>
        <color theme="1"/>
        <rFont val="Calibri"/>
        <family val="2"/>
        <scheme val="minor"/>
      </rPr>
      <t xml:space="preserve"> - Oklahoma
</t>
    </r>
    <r>
      <rPr>
        <b/>
        <sz val="11"/>
        <color theme="1"/>
        <rFont val="Calibri"/>
        <family val="2"/>
        <scheme val="minor"/>
      </rPr>
      <t>OR</t>
    </r>
    <r>
      <rPr>
        <sz val="11"/>
        <color theme="1"/>
        <rFont val="Calibri"/>
        <family val="2"/>
        <scheme val="minor"/>
      </rPr>
      <t xml:space="preserve"> - Oregon
</t>
    </r>
    <r>
      <rPr>
        <b/>
        <sz val="11"/>
        <color theme="1"/>
        <rFont val="Calibri"/>
        <family val="2"/>
        <scheme val="minor"/>
      </rPr>
      <t>PA</t>
    </r>
    <r>
      <rPr>
        <sz val="11"/>
        <color theme="1"/>
        <rFont val="Calibri"/>
        <family val="2"/>
        <scheme val="minor"/>
      </rPr>
      <t xml:space="preserve"> - Pennsylvania
</t>
    </r>
    <r>
      <rPr>
        <b/>
        <sz val="11"/>
        <color theme="1"/>
        <rFont val="Calibri"/>
        <family val="2"/>
        <scheme val="minor"/>
      </rPr>
      <t>PR</t>
    </r>
    <r>
      <rPr>
        <sz val="11"/>
        <color theme="1"/>
        <rFont val="Calibri"/>
        <family val="2"/>
        <scheme val="minor"/>
      </rPr>
      <t xml:space="preserve"> - Puerto Rico
</t>
    </r>
    <r>
      <rPr>
        <b/>
        <sz val="11"/>
        <color theme="1"/>
        <rFont val="Calibri"/>
        <family val="2"/>
        <scheme val="minor"/>
      </rPr>
      <t>PW</t>
    </r>
    <r>
      <rPr>
        <sz val="11"/>
        <color theme="1"/>
        <rFont val="Calibri"/>
        <family val="2"/>
        <scheme val="minor"/>
      </rPr>
      <t xml:space="preserve"> - Palau
</t>
    </r>
    <r>
      <rPr>
        <b/>
        <sz val="11"/>
        <color theme="1"/>
        <rFont val="Calibri"/>
        <family val="2"/>
        <scheme val="minor"/>
      </rPr>
      <t>RI</t>
    </r>
    <r>
      <rPr>
        <sz val="11"/>
        <color theme="1"/>
        <rFont val="Calibri"/>
        <family val="2"/>
        <scheme val="minor"/>
      </rPr>
      <t xml:space="preserve"> - Rhode Island
</t>
    </r>
    <r>
      <rPr>
        <b/>
        <sz val="11"/>
        <color theme="1"/>
        <rFont val="Calibri"/>
        <family val="2"/>
        <scheme val="minor"/>
      </rPr>
      <t>SC</t>
    </r>
    <r>
      <rPr>
        <sz val="11"/>
        <color theme="1"/>
        <rFont val="Calibri"/>
        <family val="2"/>
        <scheme val="minor"/>
      </rPr>
      <t xml:space="preserve"> - South Carolina
</t>
    </r>
    <r>
      <rPr>
        <b/>
        <sz val="11"/>
        <color theme="1"/>
        <rFont val="Calibri"/>
        <family val="2"/>
        <scheme val="minor"/>
      </rPr>
      <t>SD</t>
    </r>
    <r>
      <rPr>
        <sz val="11"/>
        <color theme="1"/>
        <rFont val="Calibri"/>
        <family val="2"/>
        <scheme val="minor"/>
      </rPr>
      <t xml:space="preserve"> - South Dakota
</t>
    </r>
    <r>
      <rPr>
        <b/>
        <sz val="11"/>
        <color theme="1"/>
        <rFont val="Calibri"/>
        <family val="2"/>
        <scheme val="minor"/>
      </rPr>
      <t>TN</t>
    </r>
    <r>
      <rPr>
        <sz val="11"/>
        <color theme="1"/>
        <rFont val="Calibri"/>
        <family val="2"/>
        <scheme val="minor"/>
      </rPr>
      <t xml:space="preserve"> - Tennessee
</t>
    </r>
    <r>
      <rPr>
        <b/>
        <sz val="11"/>
        <color theme="1"/>
        <rFont val="Calibri"/>
        <family val="2"/>
        <scheme val="minor"/>
      </rPr>
      <t>TX</t>
    </r>
    <r>
      <rPr>
        <sz val="11"/>
        <color theme="1"/>
        <rFont val="Calibri"/>
        <family val="2"/>
        <scheme val="minor"/>
      </rPr>
      <t xml:space="preserve"> - Texas
</t>
    </r>
    <r>
      <rPr>
        <b/>
        <sz val="11"/>
        <color theme="1"/>
        <rFont val="Calibri"/>
        <family val="2"/>
        <scheme val="minor"/>
      </rPr>
      <t>UT</t>
    </r>
    <r>
      <rPr>
        <sz val="11"/>
        <color theme="1"/>
        <rFont val="Calibri"/>
        <family val="2"/>
        <scheme val="minor"/>
      </rPr>
      <t xml:space="preserve"> - Utah
</t>
    </r>
    <r>
      <rPr>
        <b/>
        <sz val="11"/>
        <color theme="1"/>
        <rFont val="Calibri"/>
        <family val="2"/>
        <scheme val="minor"/>
      </rPr>
      <t>VA</t>
    </r>
    <r>
      <rPr>
        <sz val="11"/>
        <color theme="1"/>
        <rFont val="Calibri"/>
        <family val="2"/>
        <scheme val="minor"/>
      </rPr>
      <t xml:space="preserve"> - Virginia
</t>
    </r>
    <r>
      <rPr>
        <b/>
        <sz val="11"/>
        <color theme="1"/>
        <rFont val="Calibri"/>
        <family val="2"/>
        <scheme val="minor"/>
      </rPr>
      <t>VI</t>
    </r>
    <r>
      <rPr>
        <sz val="11"/>
        <color theme="1"/>
        <rFont val="Calibri"/>
        <family val="2"/>
        <scheme val="minor"/>
      </rPr>
      <t xml:space="preserve"> - Virgin Islands
</t>
    </r>
    <r>
      <rPr>
        <b/>
        <sz val="11"/>
        <color theme="1"/>
        <rFont val="Calibri"/>
        <family val="2"/>
        <scheme val="minor"/>
      </rPr>
      <t>VT</t>
    </r>
    <r>
      <rPr>
        <sz val="11"/>
        <color theme="1"/>
        <rFont val="Calibri"/>
        <family val="2"/>
        <scheme val="minor"/>
      </rPr>
      <t xml:space="preserve"> - Vermont
</t>
    </r>
    <r>
      <rPr>
        <b/>
        <sz val="11"/>
        <color theme="1"/>
        <rFont val="Calibri"/>
        <family val="2"/>
        <scheme val="minor"/>
      </rPr>
      <t>WA</t>
    </r>
    <r>
      <rPr>
        <sz val="11"/>
        <color theme="1"/>
        <rFont val="Calibri"/>
        <family val="2"/>
        <scheme val="minor"/>
      </rPr>
      <t xml:space="preserve"> - Washington
</t>
    </r>
    <r>
      <rPr>
        <b/>
        <sz val="11"/>
        <color theme="1"/>
        <rFont val="Calibri"/>
        <family val="2"/>
        <scheme val="minor"/>
      </rPr>
      <t>WI</t>
    </r>
    <r>
      <rPr>
        <sz val="11"/>
        <color theme="1"/>
        <rFont val="Calibri"/>
        <family val="2"/>
        <scheme val="minor"/>
      </rPr>
      <t xml:space="preserve"> - Wisconsin
</t>
    </r>
    <r>
      <rPr>
        <b/>
        <sz val="11"/>
        <color theme="1"/>
        <rFont val="Calibri"/>
        <family val="2"/>
        <scheme val="minor"/>
      </rPr>
      <t>WV</t>
    </r>
    <r>
      <rPr>
        <sz val="11"/>
        <color theme="1"/>
        <rFont val="Calibri"/>
        <family val="2"/>
        <scheme val="minor"/>
      </rPr>
      <t xml:space="preserve"> - West Virginia
</t>
    </r>
    <r>
      <rPr>
        <b/>
        <sz val="11"/>
        <color theme="1"/>
        <rFont val="Calibri"/>
        <family val="2"/>
        <scheme val="minor"/>
      </rPr>
      <t>WY</t>
    </r>
    <r>
      <rPr>
        <sz val="11"/>
        <color theme="1"/>
        <rFont val="Calibri"/>
        <family val="2"/>
        <scheme val="minor"/>
      </rPr>
      <t xml:space="preserve"> - Wyoming
</t>
    </r>
  </si>
  <si>
    <r>
      <t>Yes</t>
    </r>
    <r>
      <rPr>
        <sz val="11"/>
        <color theme="1"/>
        <rFont val="Calibri"/>
        <family val="2"/>
        <scheme val="minor"/>
      </rPr>
      <t xml:space="preserve"> - Yes
</t>
    </r>
    <r>
      <rPr>
        <b/>
        <sz val="11"/>
        <color theme="1"/>
        <rFont val="Calibri"/>
        <family val="2"/>
        <scheme val="minor"/>
      </rPr>
      <t>No</t>
    </r>
    <r>
      <rPr>
        <sz val="11"/>
        <color theme="1"/>
        <rFont val="Calibri"/>
        <family val="2"/>
        <scheme val="minor"/>
      </rPr>
      <t xml:space="preserve"> - No
</t>
    </r>
    <r>
      <rPr>
        <b/>
        <sz val="11"/>
        <color theme="1"/>
        <rFont val="Calibri"/>
        <family val="2"/>
        <scheme val="minor"/>
      </rPr>
      <t>NotEligible</t>
    </r>
    <r>
      <rPr>
        <sz val="11"/>
        <color theme="1"/>
        <rFont val="Calibri"/>
        <family val="2"/>
        <scheme val="minor"/>
      </rPr>
      <t xml:space="preserve"> - Not Eligible
</t>
    </r>
    <r>
      <rPr>
        <b/>
        <sz val="11"/>
        <color theme="1"/>
        <rFont val="Calibri"/>
        <family val="2"/>
        <scheme val="minor"/>
      </rPr>
      <t>NoOperatingQRIS</t>
    </r>
    <r>
      <rPr>
        <sz val="11"/>
        <color theme="1"/>
        <rFont val="Calibri"/>
        <family val="2"/>
        <scheme val="minor"/>
      </rPr>
      <t xml:space="preserve"> - No Operating QRIS
</t>
    </r>
    <r>
      <rPr>
        <b/>
        <sz val="11"/>
        <color theme="1"/>
        <rFont val="Calibri"/>
        <family val="2"/>
        <scheme val="minor"/>
      </rPr>
      <t>InformationUnavailable</t>
    </r>
    <r>
      <rPr>
        <sz val="11"/>
        <color theme="1"/>
        <rFont val="Calibri"/>
        <family val="2"/>
        <scheme val="minor"/>
      </rPr>
      <t xml:space="preserve"> - Information Unavailable
</t>
    </r>
  </si>
  <si>
    <r>
      <t>Family</t>
    </r>
    <r>
      <rPr>
        <sz val="11"/>
        <color theme="1"/>
        <rFont val="Calibri"/>
        <family val="2"/>
        <scheme val="minor"/>
      </rPr>
      <t xml:space="preserve"> - Family
</t>
    </r>
    <r>
      <rPr>
        <b/>
        <sz val="11"/>
        <color theme="1"/>
        <rFont val="Calibri"/>
        <family val="2"/>
        <scheme val="minor"/>
      </rPr>
      <t>Program</t>
    </r>
    <r>
      <rPr>
        <sz val="11"/>
        <color theme="1"/>
        <rFont val="Calibri"/>
        <family val="2"/>
        <scheme val="minor"/>
      </rPr>
      <t xml:space="preserve"> - Program
</t>
    </r>
    <r>
      <rPr>
        <b/>
        <sz val="11"/>
        <color theme="1"/>
        <rFont val="Calibri"/>
        <family val="2"/>
        <scheme val="minor"/>
      </rPr>
      <t>BeyondProgramControl</t>
    </r>
    <r>
      <rPr>
        <sz val="11"/>
        <color theme="1"/>
        <rFont val="Calibri"/>
        <family val="2"/>
        <scheme val="minor"/>
      </rPr>
      <t xml:space="preserve"> - Other beyond the control of the program
</t>
    </r>
    <r>
      <rPr>
        <b/>
        <sz val="11"/>
        <color theme="1"/>
        <rFont val="Calibri"/>
        <family val="2"/>
        <scheme val="minor"/>
      </rPr>
      <t>00748</t>
    </r>
    <r>
      <rPr>
        <sz val="11"/>
        <color theme="1"/>
        <rFont val="Calibri"/>
        <family val="2"/>
        <scheme val="minor"/>
      </rPr>
      <t xml:space="preserve"> - Promotion or advancement
</t>
    </r>
  </si>
  <si>
    <r>
      <t>03451</t>
    </r>
    <r>
      <rPr>
        <sz val="11"/>
        <color theme="1"/>
        <rFont val="Calibri"/>
        <family val="2"/>
        <scheme val="minor"/>
      </rPr>
      <t xml:space="preserve"> - Absent
</t>
    </r>
    <r>
      <rPr>
        <b/>
        <sz val="11"/>
        <color theme="1"/>
        <rFont val="Calibri"/>
        <family val="2"/>
        <scheme val="minor"/>
      </rPr>
      <t>03455</t>
    </r>
    <r>
      <rPr>
        <sz val="11"/>
        <color theme="1"/>
        <rFont val="Calibri"/>
        <family val="2"/>
        <scheme val="minor"/>
      </rPr>
      <t xml:space="preserve"> - Disruptive behavior
</t>
    </r>
    <r>
      <rPr>
        <b/>
        <sz val="11"/>
        <color theme="1"/>
        <rFont val="Calibri"/>
        <family val="2"/>
        <scheme val="minor"/>
      </rPr>
      <t>03454</t>
    </r>
    <r>
      <rPr>
        <sz val="11"/>
        <color theme="1"/>
        <rFont val="Calibri"/>
        <family val="2"/>
        <scheme val="minor"/>
      </rPr>
      <t xml:space="preserve"> - Medical waiver
</t>
    </r>
    <r>
      <rPr>
        <b/>
        <sz val="11"/>
        <color theme="1"/>
        <rFont val="Calibri"/>
        <family val="2"/>
        <scheme val="minor"/>
      </rPr>
      <t>03456</t>
    </r>
    <r>
      <rPr>
        <sz val="11"/>
        <color theme="1"/>
        <rFont val="Calibri"/>
        <family val="2"/>
        <scheme val="minor"/>
      </rPr>
      <t xml:space="preserve"> - Previously passed the examination
</t>
    </r>
    <r>
      <rPr>
        <b/>
        <sz val="11"/>
        <color theme="1"/>
        <rFont val="Calibri"/>
        <family val="2"/>
        <scheme val="minor"/>
      </rPr>
      <t>03452</t>
    </r>
    <r>
      <rPr>
        <sz val="11"/>
        <color theme="1"/>
        <rFont val="Calibri"/>
        <family val="2"/>
        <scheme val="minor"/>
      </rPr>
      <t xml:space="preserve"> - Refusal by parent
</t>
    </r>
    <r>
      <rPr>
        <b/>
        <sz val="11"/>
        <color theme="1"/>
        <rFont val="Calibri"/>
        <family val="2"/>
        <scheme val="minor"/>
      </rPr>
      <t>03453</t>
    </r>
    <r>
      <rPr>
        <sz val="11"/>
        <color theme="1"/>
        <rFont val="Calibri"/>
        <family val="2"/>
        <scheme val="minor"/>
      </rPr>
      <t xml:space="preserve"> - Refusal by student
</t>
    </r>
    <r>
      <rPr>
        <b/>
        <sz val="11"/>
        <color theme="1"/>
        <rFont val="Calibri"/>
        <family val="2"/>
        <scheme val="minor"/>
      </rPr>
      <t>09999</t>
    </r>
    <r>
      <rPr>
        <sz val="11"/>
        <color theme="1"/>
        <rFont val="Calibri"/>
        <family val="2"/>
        <scheme val="minor"/>
      </rPr>
      <t xml:space="preserve"> - Other
</t>
    </r>
  </si>
  <si>
    <r>
      <t>00997</t>
    </r>
    <r>
      <rPr>
        <sz val="11"/>
        <color theme="1"/>
        <rFont val="Calibri"/>
        <family val="2"/>
        <scheme val="minor"/>
      </rPr>
      <t xml:space="preserve"> - Business
</t>
    </r>
    <r>
      <rPr>
        <b/>
        <sz val="11"/>
        <color theme="1"/>
        <rFont val="Calibri"/>
        <family val="2"/>
        <scheme val="minor"/>
      </rPr>
      <t>00752</t>
    </r>
    <r>
      <rPr>
        <sz val="11"/>
        <color theme="1"/>
        <rFont val="Calibri"/>
        <family val="2"/>
        <scheme val="minor"/>
      </rPr>
      <t xml:space="preserve"> - Community facility
</t>
    </r>
    <r>
      <rPr>
        <b/>
        <sz val="11"/>
        <color theme="1"/>
        <rFont val="Calibri"/>
        <family val="2"/>
        <scheme val="minor"/>
      </rPr>
      <t>00753</t>
    </r>
    <r>
      <rPr>
        <sz val="11"/>
        <color theme="1"/>
        <rFont val="Calibri"/>
        <family val="2"/>
        <scheme val="minor"/>
      </rPr>
      <t xml:space="preserve"> - Home of student
</t>
    </r>
    <r>
      <rPr>
        <b/>
        <sz val="11"/>
        <color theme="1"/>
        <rFont val="Calibri"/>
        <family val="2"/>
        <scheme val="minor"/>
      </rPr>
      <t>00754</t>
    </r>
    <r>
      <rPr>
        <sz val="11"/>
        <color theme="1"/>
        <rFont val="Calibri"/>
        <family val="2"/>
        <scheme val="minor"/>
      </rPr>
      <t xml:space="preserve"> - Hospital
</t>
    </r>
    <r>
      <rPr>
        <b/>
        <sz val="11"/>
        <color theme="1"/>
        <rFont val="Calibri"/>
        <family val="2"/>
        <scheme val="minor"/>
      </rPr>
      <t>03018</t>
    </r>
    <r>
      <rPr>
        <sz val="11"/>
        <color theme="1"/>
        <rFont val="Calibri"/>
        <family val="2"/>
        <scheme val="minor"/>
      </rPr>
      <t xml:space="preserve"> - Library/media center
</t>
    </r>
    <r>
      <rPr>
        <b/>
        <sz val="11"/>
        <color theme="1"/>
        <rFont val="Calibri"/>
        <family val="2"/>
        <scheme val="minor"/>
      </rPr>
      <t>03506</t>
    </r>
    <r>
      <rPr>
        <sz val="11"/>
        <color theme="1"/>
        <rFont val="Calibri"/>
        <family val="2"/>
        <scheme val="minor"/>
      </rPr>
      <t xml:space="preserve"> - Mobile
</t>
    </r>
    <r>
      <rPr>
        <b/>
        <sz val="11"/>
        <color theme="1"/>
        <rFont val="Calibri"/>
        <family val="2"/>
        <scheme val="minor"/>
      </rPr>
      <t>09999</t>
    </r>
    <r>
      <rPr>
        <sz val="11"/>
        <color theme="1"/>
        <rFont val="Calibri"/>
        <family val="2"/>
        <scheme val="minor"/>
      </rPr>
      <t xml:space="preserve"> - Other
</t>
    </r>
    <r>
      <rPr>
        <b/>
        <sz val="11"/>
        <color theme="1"/>
        <rFont val="Calibri"/>
        <family val="2"/>
        <scheme val="minor"/>
      </rPr>
      <t>00341</t>
    </r>
    <r>
      <rPr>
        <sz val="11"/>
        <color theme="1"/>
        <rFont val="Calibri"/>
        <family val="2"/>
        <scheme val="minor"/>
      </rPr>
      <t xml:space="preserve"> - Other K-12 educational institution
</t>
    </r>
    <r>
      <rPr>
        <b/>
        <sz val="11"/>
        <color theme="1"/>
        <rFont val="Calibri"/>
        <family val="2"/>
        <scheme val="minor"/>
      </rPr>
      <t>00342</t>
    </r>
    <r>
      <rPr>
        <sz val="11"/>
        <color theme="1"/>
        <rFont val="Calibri"/>
        <family val="2"/>
        <scheme val="minor"/>
      </rPr>
      <t xml:space="preserve"> - Postsecondary facility
</t>
    </r>
    <r>
      <rPr>
        <b/>
        <sz val="11"/>
        <color theme="1"/>
        <rFont val="Calibri"/>
        <family val="2"/>
        <scheme val="minor"/>
      </rPr>
      <t>00675</t>
    </r>
    <r>
      <rPr>
        <sz val="11"/>
        <color theme="1"/>
        <rFont val="Calibri"/>
        <family val="2"/>
        <scheme val="minor"/>
      </rPr>
      <t xml:space="preserve"> - School
</t>
    </r>
  </si>
  <si>
    <r>
      <t>00737</t>
    </r>
    <r>
      <rPr>
        <sz val="11"/>
        <color theme="1"/>
        <rFont val="Calibri"/>
        <family val="2"/>
        <scheme val="minor"/>
      </rPr>
      <t xml:space="preserve"> - Athletic awards
</t>
    </r>
    <r>
      <rPr>
        <b/>
        <sz val="11"/>
        <color theme="1"/>
        <rFont val="Calibri"/>
        <family val="2"/>
        <scheme val="minor"/>
      </rPr>
      <t>00738</t>
    </r>
    <r>
      <rPr>
        <sz val="11"/>
        <color theme="1"/>
        <rFont val="Calibri"/>
        <family val="2"/>
        <scheme val="minor"/>
      </rPr>
      <t xml:space="preserve"> - Awarding of units of value
</t>
    </r>
    <r>
      <rPr>
        <b/>
        <sz val="11"/>
        <color theme="1"/>
        <rFont val="Calibri"/>
        <family val="2"/>
        <scheme val="minor"/>
      </rPr>
      <t>00740</t>
    </r>
    <r>
      <rPr>
        <sz val="11"/>
        <color theme="1"/>
        <rFont val="Calibri"/>
        <family val="2"/>
        <scheme val="minor"/>
      </rPr>
      <t xml:space="preserve"> - Citizenship award/recognition
</t>
    </r>
    <r>
      <rPr>
        <b/>
        <sz val="11"/>
        <color theme="1"/>
        <rFont val="Calibri"/>
        <family val="2"/>
        <scheme val="minor"/>
      </rPr>
      <t>00741</t>
    </r>
    <r>
      <rPr>
        <sz val="11"/>
        <color theme="1"/>
        <rFont val="Calibri"/>
        <family val="2"/>
        <scheme val="minor"/>
      </rPr>
      <t xml:space="preserve"> - Completion of requirement, but no units of value awarded
</t>
    </r>
    <r>
      <rPr>
        <b/>
        <sz val="11"/>
        <color theme="1"/>
        <rFont val="Calibri"/>
        <family val="2"/>
        <scheme val="minor"/>
      </rPr>
      <t>00742</t>
    </r>
    <r>
      <rPr>
        <sz val="11"/>
        <color theme="1"/>
        <rFont val="Calibri"/>
        <family val="2"/>
        <scheme val="minor"/>
      </rPr>
      <t xml:space="preserve"> - Certificate
</t>
    </r>
    <r>
      <rPr>
        <b/>
        <sz val="11"/>
        <color theme="1"/>
        <rFont val="Calibri"/>
        <family val="2"/>
        <scheme val="minor"/>
      </rPr>
      <t>00743</t>
    </r>
    <r>
      <rPr>
        <sz val="11"/>
        <color theme="1"/>
        <rFont val="Calibri"/>
        <family val="2"/>
        <scheme val="minor"/>
      </rPr>
      <t xml:space="preserve"> - Honor award
</t>
    </r>
    <r>
      <rPr>
        <b/>
        <sz val="11"/>
        <color theme="1"/>
        <rFont val="Calibri"/>
        <family val="2"/>
        <scheme val="minor"/>
      </rPr>
      <t>02048</t>
    </r>
    <r>
      <rPr>
        <sz val="11"/>
        <color theme="1"/>
        <rFont val="Calibri"/>
        <family val="2"/>
        <scheme val="minor"/>
      </rPr>
      <t xml:space="preserve"> - Letter of commendation
</t>
    </r>
    <r>
      <rPr>
        <b/>
        <sz val="11"/>
        <color theme="1"/>
        <rFont val="Calibri"/>
        <family val="2"/>
        <scheme val="minor"/>
      </rPr>
      <t>00745</t>
    </r>
    <r>
      <rPr>
        <sz val="11"/>
        <color theme="1"/>
        <rFont val="Calibri"/>
        <family val="2"/>
        <scheme val="minor"/>
      </rPr>
      <t xml:space="preserve"> - Medals
</t>
    </r>
    <r>
      <rPr>
        <b/>
        <sz val="11"/>
        <color theme="1"/>
        <rFont val="Calibri"/>
        <family val="2"/>
        <scheme val="minor"/>
      </rPr>
      <t>00746</t>
    </r>
    <r>
      <rPr>
        <sz val="11"/>
        <color theme="1"/>
        <rFont val="Calibri"/>
        <family val="2"/>
        <scheme val="minor"/>
      </rPr>
      <t xml:space="preserve"> - Monogram/letter
</t>
    </r>
    <r>
      <rPr>
        <b/>
        <sz val="11"/>
        <color theme="1"/>
        <rFont val="Calibri"/>
        <family val="2"/>
        <scheme val="minor"/>
      </rPr>
      <t>00747</t>
    </r>
    <r>
      <rPr>
        <sz val="11"/>
        <color theme="1"/>
        <rFont val="Calibri"/>
        <family val="2"/>
        <scheme val="minor"/>
      </rPr>
      <t xml:space="preserve"> - Points
</t>
    </r>
    <r>
      <rPr>
        <b/>
        <sz val="11"/>
        <color theme="1"/>
        <rFont val="Calibri"/>
        <family val="2"/>
        <scheme val="minor"/>
      </rPr>
      <t>00748</t>
    </r>
    <r>
      <rPr>
        <sz val="11"/>
        <color theme="1"/>
        <rFont val="Calibri"/>
        <family val="2"/>
        <scheme val="minor"/>
      </rPr>
      <t xml:space="preserve"> - Promotion or advancement
</t>
    </r>
    <r>
      <rPr>
        <b/>
        <sz val="11"/>
        <color theme="1"/>
        <rFont val="Calibri"/>
        <family val="2"/>
        <scheme val="minor"/>
      </rPr>
      <t>09999</t>
    </r>
    <r>
      <rPr>
        <sz val="11"/>
        <color theme="1"/>
        <rFont val="Calibri"/>
        <family val="2"/>
        <scheme val="minor"/>
      </rPr>
      <t xml:space="preserve"> - Other
</t>
    </r>
  </si>
  <si>
    <r>
      <t>Yes</t>
    </r>
    <r>
      <rPr>
        <sz val="11"/>
        <color theme="1"/>
        <rFont val="Calibri"/>
        <family val="2"/>
        <scheme val="minor"/>
      </rPr>
      <t xml:space="preserve"> - Reconstituted school
</t>
    </r>
    <r>
      <rPr>
        <b/>
        <sz val="11"/>
        <color theme="1"/>
        <rFont val="Calibri"/>
        <family val="2"/>
        <scheme val="minor"/>
      </rPr>
      <t>No</t>
    </r>
    <r>
      <rPr>
        <sz val="11"/>
        <color theme="1"/>
        <rFont val="Calibri"/>
        <family val="2"/>
        <scheme val="minor"/>
      </rPr>
      <t xml:space="preserve"> - Not a reconstituted school
</t>
    </r>
  </si>
  <si>
    <r>
      <t>WaitingList</t>
    </r>
    <r>
      <rPr>
        <sz val="11"/>
        <color theme="1"/>
        <rFont val="Calibri"/>
        <family val="2"/>
        <scheme val="minor"/>
      </rPr>
      <t xml:space="preserve"> - Waiting list
</t>
    </r>
    <r>
      <rPr>
        <b/>
        <sz val="11"/>
        <color theme="1"/>
        <rFont val="Calibri"/>
        <family val="2"/>
        <scheme val="minor"/>
      </rPr>
      <t>ParentDeclined</t>
    </r>
    <r>
      <rPr>
        <sz val="11"/>
        <color theme="1"/>
        <rFont val="Calibri"/>
        <family val="2"/>
        <scheme val="minor"/>
      </rPr>
      <t xml:space="preserve"> - Parent declined service
</t>
    </r>
    <r>
      <rPr>
        <b/>
        <sz val="11"/>
        <color theme="1"/>
        <rFont val="Calibri"/>
        <family val="2"/>
        <scheme val="minor"/>
      </rPr>
      <t>Enrolled</t>
    </r>
    <r>
      <rPr>
        <sz val="11"/>
        <color theme="1"/>
        <rFont val="Calibri"/>
        <family val="2"/>
        <scheme val="minor"/>
      </rPr>
      <t xml:space="preserve"> - Enrolled
</t>
    </r>
    <r>
      <rPr>
        <b/>
        <sz val="11"/>
        <color theme="1"/>
        <rFont val="Calibri"/>
        <family val="2"/>
        <scheme val="minor"/>
      </rPr>
      <t>Unreachable</t>
    </r>
    <r>
      <rPr>
        <sz val="11"/>
        <color theme="1"/>
        <rFont val="Calibri"/>
        <family val="2"/>
        <scheme val="minor"/>
      </rPr>
      <t xml:space="preserve"> - Unable to contact parent/family/guardian
</t>
    </r>
    <r>
      <rPr>
        <b/>
        <sz val="11"/>
        <color theme="1"/>
        <rFont val="Calibri"/>
        <family val="2"/>
        <scheme val="minor"/>
      </rPr>
      <t>NotEligible</t>
    </r>
    <r>
      <rPr>
        <sz val="11"/>
        <color theme="1"/>
        <rFont val="Calibri"/>
        <family val="2"/>
        <scheme val="minor"/>
      </rPr>
      <t xml:space="preserve"> - Not eligible
</t>
    </r>
    <r>
      <rPr>
        <b/>
        <sz val="11"/>
        <color theme="1"/>
        <rFont val="Calibri"/>
        <family val="2"/>
        <scheme val="minor"/>
      </rPr>
      <t>Other</t>
    </r>
    <r>
      <rPr>
        <sz val="11"/>
        <color theme="1"/>
        <rFont val="Calibri"/>
        <family val="2"/>
        <scheme val="minor"/>
      </rPr>
      <t xml:space="preserve"> - Other
</t>
    </r>
  </si>
  <si>
    <r>
      <t>Accountability</t>
    </r>
    <r>
      <rPr>
        <sz val="11"/>
        <color theme="1"/>
        <rFont val="Calibri"/>
        <family val="2"/>
        <scheme val="minor"/>
      </rPr>
      <t xml:space="preserve"> - Accountability
</t>
    </r>
    <r>
      <rPr>
        <b/>
        <sz val="11"/>
        <color theme="1"/>
        <rFont val="Calibri"/>
        <family val="2"/>
        <scheme val="minor"/>
      </rPr>
      <t>Attendance</t>
    </r>
    <r>
      <rPr>
        <sz val="11"/>
        <color theme="1"/>
        <rFont val="Calibri"/>
        <family val="2"/>
        <scheme val="minor"/>
      </rPr>
      <t xml:space="preserve"> - Attendance
</t>
    </r>
    <r>
      <rPr>
        <b/>
        <sz val="11"/>
        <color theme="1"/>
        <rFont val="Calibri"/>
        <family val="2"/>
        <scheme val="minor"/>
      </rPr>
      <t>Funding</t>
    </r>
    <r>
      <rPr>
        <sz val="11"/>
        <color theme="1"/>
        <rFont val="Calibri"/>
        <family val="2"/>
        <scheme val="minor"/>
      </rPr>
      <t xml:space="preserve"> - Funding
</t>
    </r>
    <r>
      <rPr>
        <b/>
        <sz val="11"/>
        <color theme="1"/>
        <rFont val="Calibri"/>
        <family val="2"/>
        <scheme val="minor"/>
      </rPr>
      <t>Graduation</t>
    </r>
    <r>
      <rPr>
        <sz val="11"/>
        <color theme="1"/>
        <rFont val="Calibri"/>
        <family val="2"/>
        <scheme val="minor"/>
      </rPr>
      <t xml:space="preserve"> - Graduation
</t>
    </r>
    <r>
      <rPr>
        <b/>
        <sz val="11"/>
        <color theme="1"/>
        <rFont val="Calibri"/>
        <family val="2"/>
        <scheme val="minor"/>
      </rPr>
      <t>IndividualizedEducationProgram</t>
    </r>
    <r>
      <rPr>
        <sz val="11"/>
        <color theme="1"/>
        <rFont val="Calibri"/>
        <family val="2"/>
        <scheme val="minor"/>
      </rPr>
      <t xml:space="preserve"> - Individualized education program (IEP)
</t>
    </r>
    <r>
      <rPr>
        <b/>
        <sz val="11"/>
        <color theme="1"/>
        <rFont val="Calibri"/>
        <family val="2"/>
        <scheme val="minor"/>
      </rPr>
      <t>Transportation</t>
    </r>
    <r>
      <rPr>
        <sz val="11"/>
        <color theme="1"/>
        <rFont val="Calibri"/>
        <family val="2"/>
        <scheme val="minor"/>
      </rPr>
      <t xml:space="preserve"> - Transportation
</t>
    </r>
  </si>
  <si>
    <r>
      <t>RA1</t>
    </r>
    <r>
      <rPr>
        <sz val="11"/>
        <color theme="1"/>
        <rFont val="Calibri"/>
        <family val="2"/>
        <scheme val="minor"/>
      </rPr>
      <t xml:space="preserve"> - Replacement of all or most of the school staff (which may include the principal)
</t>
    </r>
    <r>
      <rPr>
        <b/>
        <sz val="11"/>
        <color theme="1"/>
        <rFont val="Calibri"/>
        <family val="2"/>
        <scheme val="minor"/>
      </rPr>
      <t>RA2</t>
    </r>
    <r>
      <rPr>
        <sz val="11"/>
        <color theme="1"/>
        <rFont val="Calibri"/>
        <family val="2"/>
        <scheme val="minor"/>
      </rPr>
      <t xml:space="preserve"> - Reopening the school as a public charter school
</t>
    </r>
    <r>
      <rPr>
        <b/>
        <sz val="11"/>
        <color theme="1"/>
        <rFont val="Calibri"/>
        <family val="2"/>
        <scheme val="minor"/>
      </rPr>
      <t>RA3</t>
    </r>
    <r>
      <rPr>
        <sz val="11"/>
        <color theme="1"/>
        <rFont val="Calibri"/>
        <family val="2"/>
        <scheme val="minor"/>
      </rPr>
      <t xml:space="preserve"> - Entering into a contract with a private entity to operate the school
</t>
    </r>
    <r>
      <rPr>
        <b/>
        <sz val="11"/>
        <color theme="1"/>
        <rFont val="Calibri"/>
        <family val="2"/>
        <scheme val="minor"/>
      </rPr>
      <t>RA4</t>
    </r>
    <r>
      <rPr>
        <sz val="11"/>
        <color theme="1"/>
        <rFont val="Calibri"/>
        <family val="2"/>
        <scheme val="minor"/>
      </rPr>
      <t xml:space="preserve"> - Take of the school by the state
</t>
    </r>
    <r>
      <rPr>
        <b/>
        <sz val="11"/>
        <color theme="1"/>
        <rFont val="Calibri"/>
        <family val="2"/>
        <scheme val="minor"/>
      </rPr>
      <t>RA5</t>
    </r>
    <r>
      <rPr>
        <sz val="11"/>
        <color theme="1"/>
        <rFont val="Calibri"/>
        <family val="2"/>
        <scheme val="minor"/>
      </rPr>
      <t xml:space="preserve"> - Other major restructuring of the school governance
</t>
    </r>
  </si>
  <si>
    <r>
      <t>B</t>
    </r>
    <r>
      <rPr>
        <sz val="11"/>
        <color theme="1"/>
        <rFont val="Calibri"/>
        <family val="2"/>
        <scheme val="minor"/>
      </rPr>
      <t xml:space="preserve"> - Basic or remedial
</t>
    </r>
    <r>
      <rPr>
        <b/>
        <sz val="11"/>
        <color theme="1"/>
        <rFont val="Calibri"/>
        <family val="2"/>
        <scheme val="minor"/>
      </rPr>
      <t>E</t>
    </r>
    <r>
      <rPr>
        <sz val="11"/>
        <color theme="1"/>
        <rFont val="Calibri"/>
        <family val="2"/>
        <scheme val="minor"/>
      </rPr>
      <t xml:space="preserve"> - Enriched or advanced
</t>
    </r>
    <r>
      <rPr>
        <b/>
        <sz val="11"/>
        <color theme="1"/>
        <rFont val="Calibri"/>
        <family val="2"/>
        <scheme val="minor"/>
      </rPr>
      <t>G</t>
    </r>
    <r>
      <rPr>
        <sz val="11"/>
        <color theme="1"/>
        <rFont val="Calibri"/>
        <family val="2"/>
        <scheme val="minor"/>
      </rPr>
      <t xml:space="preserve"> - General or regular
</t>
    </r>
    <r>
      <rPr>
        <b/>
        <sz val="11"/>
        <color theme="1"/>
        <rFont val="Calibri"/>
        <family val="2"/>
        <scheme val="minor"/>
      </rPr>
      <t>H</t>
    </r>
    <r>
      <rPr>
        <sz val="11"/>
        <color theme="1"/>
        <rFont val="Calibri"/>
        <family val="2"/>
        <scheme val="minor"/>
      </rPr>
      <t xml:space="preserve"> - Honors
</t>
    </r>
    <r>
      <rPr>
        <b/>
        <sz val="11"/>
        <color theme="1"/>
        <rFont val="Calibri"/>
        <family val="2"/>
        <scheme val="minor"/>
      </rPr>
      <t>C</t>
    </r>
    <r>
      <rPr>
        <sz val="11"/>
        <color theme="1"/>
        <rFont val="Calibri"/>
        <family val="2"/>
        <scheme val="minor"/>
      </rPr>
      <t xml:space="preserve"> - College
</t>
    </r>
    <r>
      <rPr>
        <b/>
        <sz val="11"/>
        <color theme="1"/>
        <rFont val="Calibri"/>
        <family val="2"/>
        <scheme val="minor"/>
      </rPr>
      <t>X</t>
    </r>
    <r>
      <rPr>
        <sz val="11"/>
        <color theme="1"/>
        <rFont val="Calibri"/>
        <family val="2"/>
        <scheme val="minor"/>
      </rPr>
      <t xml:space="preserve"> - No specified level of rigor
</t>
    </r>
  </si>
  <si>
    <r>
      <t>01</t>
    </r>
    <r>
      <rPr>
        <sz val="11"/>
        <color theme="1"/>
        <rFont val="Calibri"/>
        <family val="2"/>
        <scheme val="minor"/>
      </rPr>
      <t xml:space="preserve"> - English Language and Literature
</t>
    </r>
    <r>
      <rPr>
        <b/>
        <sz val="11"/>
        <color theme="1"/>
        <rFont val="Calibri"/>
        <family val="2"/>
        <scheme val="minor"/>
      </rPr>
      <t>02</t>
    </r>
    <r>
      <rPr>
        <sz val="11"/>
        <color theme="1"/>
        <rFont val="Calibri"/>
        <family val="2"/>
        <scheme val="minor"/>
      </rPr>
      <t xml:space="preserve"> - Mathematics
</t>
    </r>
    <r>
      <rPr>
        <b/>
        <sz val="11"/>
        <color theme="1"/>
        <rFont val="Calibri"/>
        <family val="2"/>
        <scheme val="minor"/>
      </rPr>
      <t>03</t>
    </r>
    <r>
      <rPr>
        <sz val="11"/>
        <color theme="1"/>
        <rFont val="Calibri"/>
        <family val="2"/>
        <scheme val="minor"/>
      </rPr>
      <t xml:space="preserve"> - Life and Physical Sciences
</t>
    </r>
    <r>
      <rPr>
        <b/>
        <sz val="11"/>
        <color theme="1"/>
        <rFont val="Calibri"/>
        <family val="2"/>
        <scheme val="minor"/>
      </rPr>
      <t>04</t>
    </r>
    <r>
      <rPr>
        <sz val="11"/>
        <color theme="1"/>
        <rFont val="Calibri"/>
        <family val="2"/>
        <scheme val="minor"/>
      </rPr>
      <t xml:space="preserve"> - Social Sciences and History
</t>
    </r>
    <r>
      <rPr>
        <b/>
        <sz val="11"/>
        <color theme="1"/>
        <rFont val="Calibri"/>
        <family val="2"/>
        <scheme val="minor"/>
      </rPr>
      <t>05</t>
    </r>
    <r>
      <rPr>
        <sz val="11"/>
        <color theme="1"/>
        <rFont val="Calibri"/>
        <family val="2"/>
        <scheme val="minor"/>
      </rPr>
      <t xml:space="preserve"> - Fine and Performing Arts
</t>
    </r>
    <r>
      <rPr>
        <b/>
        <sz val="11"/>
        <color theme="1"/>
        <rFont val="Calibri"/>
        <family val="2"/>
        <scheme val="minor"/>
      </rPr>
      <t>06</t>
    </r>
    <r>
      <rPr>
        <sz val="11"/>
        <color theme="1"/>
        <rFont val="Calibri"/>
        <family val="2"/>
        <scheme val="minor"/>
      </rPr>
      <t xml:space="preserve"> - Foreign Language and Literature
</t>
    </r>
    <r>
      <rPr>
        <b/>
        <sz val="11"/>
        <color theme="1"/>
        <rFont val="Calibri"/>
        <family val="2"/>
        <scheme val="minor"/>
      </rPr>
      <t>07</t>
    </r>
    <r>
      <rPr>
        <sz val="11"/>
        <color theme="1"/>
        <rFont val="Calibri"/>
        <family val="2"/>
        <scheme val="minor"/>
      </rPr>
      <t xml:space="preserve"> - Religious Education and Theology
</t>
    </r>
    <r>
      <rPr>
        <b/>
        <sz val="11"/>
        <color theme="1"/>
        <rFont val="Calibri"/>
        <family val="2"/>
        <scheme val="minor"/>
      </rPr>
      <t>08</t>
    </r>
    <r>
      <rPr>
        <sz val="11"/>
        <color theme="1"/>
        <rFont val="Calibri"/>
        <family val="2"/>
        <scheme val="minor"/>
      </rPr>
      <t xml:space="preserve"> - Physical, Health, and Safety Education
</t>
    </r>
    <r>
      <rPr>
        <b/>
        <sz val="11"/>
        <color theme="1"/>
        <rFont val="Calibri"/>
        <family val="2"/>
        <scheme val="minor"/>
      </rPr>
      <t>09</t>
    </r>
    <r>
      <rPr>
        <sz val="11"/>
        <color theme="1"/>
        <rFont val="Calibri"/>
        <family val="2"/>
        <scheme val="minor"/>
      </rPr>
      <t xml:space="preserve"> - Military Science
</t>
    </r>
    <r>
      <rPr>
        <b/>
        <sz val="11"/>
        <color theme="1"/>
        <rFont val="Calibri"/>
        <family val="2"/>
        <scheme val="minor"/>
      </rPr>
      <t>10</t>
    </r>
    <r>
      <rPr>
        <sz val="11"/>
        <color theme="1"/>
        <rFont val="Calibri"/>
        <family val="2"/>
        <scheme val="minor"/>
      </rPr>
      <t xml:space="preserve"> - Computer and Information Sciences
</t>
    </r>
    <r>
      <rPr>
        <b/>
        <sz val="11"/>
        <color theme="1"/>
        <rFont val="Calibri"/>
        <family val="2"/>
        <scheme val="minor"/>
      </rPr>
      <t>11</t>
    </r>
    <r>
      <rPr>
        <sz val="11"/>
        <color theme="1"/>
        <rFont val="Calibri"/>
        <family val="2"/>
        <scheme val="minor"/>
      </rPr>
      <t xml:space="preserve"> - Communication and Audio/Visual Technology
</t>
    </r>
    <r>
      <rPr>
        <b/>
        <sz val="11"/>
        <color theme="1"/>
        <rFont val="Calibri"/>
        <family val="2"/>
        <scheme val="minor"/>
      </rPr>
      <t>12</t>
    </r>
    <r>
      <rPr>
        <sz val="11"/>
        <color theme="1"/>
        <rFont val="Calibri"/>
        <family val="2"/>
        <scheme val="minor"/>
      </rPr>
      <t xml:space="preserve"> - Business and Marketing
</t>
    </r>
    <r>
      <rPr>
        <b/>
        <sz val="11"/>
        <color theme="1"/>
        <rFont val="Calibri"/>
        <family val="2"/>
        <scheme val="minor"/>
      </rPr>
      <t>13</t>
    </r>
    <r>
      <rPr>
        <sz val="11"/>
        <color theme="1"/>
        <rFont val="Calibri"/>
        <family val="2"/>
        <scheme val="minor"/>
      </rPr>
      <t xml:space="preserve"> - Manufacturing
</t>
    </r>
    <r>
      <rPr>
        <b/>
        <sz val="11"/>
        <color theme="1"/>
        <rFont val="Calibri"/>
        <family val="2"/>
        <scheme val="minor"/>
      </rPr>
      <t>14</t>
    </r>
    <r>
      <rPr>
        <sz val="11"/>
        <color theme="1"/>
        <rFont val="Calibri"/>
        <family val="2"/>
        <scheme val="minor"/>
      </rPr>
      <t xml:space="preserve"> - Health Care Sciences
</t>
    </r>
    <r>
      <rPr>
        <b/>
        <sz val="11"/>
        <color theme="1"/>
        <rFont val="Calibri"/>
        <family val="2"/>
        <scheme val="minor"/>
      </rPr>
      <t>15</t>
    </r>
    <r>
      <rPr>
        <sz val="11"/>
        <color theme="1"/>
        <rFont val="Calibri"/>
        <family val="2"/>
        <scheme val="minor"/>
      </rPr>
      <t xml:space="preserve"> - Public, Protective, and Government Service
</t>
    </r>
    <r>
      <rPr>
        <b/>
        <sz val="11"/>
        <color theme="1"/>
        <rFont val="Calibri"/>
        <family val="2"/>
        <scheme val="minor"/>
      </rPr>
      <t>16</t>
    </r>
    <r>
      <rPr>
        <sz val="11"/>
        <color theme="1"/>
        <rFont val="Calibri"/>
        <family val="2"/>
        <scheme val="minor"/>
      </rPr>
      <t xml:space="preserve"> - Hospitality and Tourism
</t>
    </r>
    <r>
      <rPr>
        <b/>
        <sz val="11"/>
        <color theme="1"/>
        <rFont val="Calibri"/>
        <family val="2"/>
        <scheme val="minor"/>
      </rPr>
      <t>17</t>
    </r>
    <r>
      <rPr>
        <sz val="11"/>
        <color theme="1"/>
        <rFont val="Calibri"/>
        <family val="2"/>
        <scheme val="minor"/>
      </rPr>
      <t xml:space="preserve"> - Architecture and Construction
</t>
    </r>
    <r>
      <rPr>
        <b/>
        <sz val="11"/>
        <color theme="1"/>
        <rFont val="Calibri"/>
        <family val="2"/>
        <scheme val="minor"/>
      </rPr>
      <t>18</t>
    </r>
    <r>
      <rPr>
        <sz val="11"/>
        <color theme="1"/>
        <rFont val="Calibri"/>
        <family val="2"/>
        <scheme val="minor"/>
      </rPr>
      <t xml:space="preserve"> - Agriculture, Food, and Natural Resources
</t>
    </r>
    <r>
      <rPr>
        <b/>
        <sz val="11"/>
        <color theme="1"/>
        <rFont val="Calibri"/>
        <family val="2"/>
        <scheme val="minor"/>
      </rPr>
      <t>19</t>
    </r>
    <r>
      <rPr>
        <sz val="11"/>
        <color theme="1"/>
        <rFont val="Calibri"/>
        <family val="2"/>
        <scheme val="minor"/>
      </rPr>
      <t xml:space="preserve"> - Human Services
</t>
    </r>
    <r>
      <rPr>
        <b/>
        <sz val="11"/>
        <color theme="1"/>
        <rFont val="Calibri"/>
        <family val="2"/>
        <scheme val="minor"/>
      </rPr>
      <t>20</t>
    </r>
    <r>
      <rPr>
        <sz val="11"/>
        <color theme="1"/>
        <rFont val="Calibri"/>
        <family val="2"/>
        <scheme val="minor"/>
      </rPr>
      <t xml:space="preserve"> - Transportation, Distribution and Logistics
</t>
    </r>
    <r>
      <rPr>
        <b/>
        <sz val="11"/>
        <color theme="1"/>
        <rFont val="Calibri"/>
        <family val="2"/>
        <scheme val="minor"/>
      </rPr>
      <t>21</t>
    </r>
    <r>
      <rPr>
        <sz val="11"/>
        <color theme="1"/>
        <rFont val="Calibri"/>
        <family val="2"/>
        <scheme val="minor"/>
      </rPr>
      <t xml:space="preserve"> - Engineering and Technology
</t>
    </r>
    <r>
      <rPr>
        <b/>
        <sz val="11"/>
        <color theme="1"/>
        <rFont val="Calibri"/>
        <family val="2"/>
        <scheme val="minor"/>
      </rPr>
      <t>22</t>
    </r>
    <r>
      <rPr>
        <sz val="11"/>
        <color theme="1"/>
        <rFont val="Calibri"/>
        <family val="2"/>
        <scheme val="minor"/>
      </rPr>
      <t xml:space="preserve"> - Miscellaneous
</t>
    </r>
    <r>
      <rPr>
        <b/>
        <sz val="11"/>
        <color theme="1"/>
        <rFont val="Calibri"/>
        <family val="2"/>
        <scheme val="minor"/>
      </rPr>
      <t>23</t>
    </r>
    <r>
      <rPr>
        <sz val="11"/>
        <color theme="1"/>
        <rFont val="Calibri"/>
        <family val="2"/>
        <scheme val="minor"/>
      </rPr>
      <t xml:space="preserve"> - Non-Subject-Specific
</t>
    </r>
  </si>
  <si>
    <r>
      <t>School</t>
    </r>
    <r>
      <rPr>
        <sz val="11"/>
        <color theme="1"/>
        <rFont val="Calibri"/>
        <family val="2"/>
        <scheme val="minor"/>
      </rPr>
      <t xml:space="preserve"> - School-assigned number
</t>
    </r>
    <r>
      <rPr>
        <b/>
        <sz val="11"/>
        <color theme="1"/>
        <rFont val="Calibri"/>
        <family val="2"/>
        <scheme val="minor"/>
      </rPr>
      <t>ACT</t>
    </r>
    <r>
      <rPr>
        <sz val="11"/>
        <color theme="1"/>
        <rFont val="Calibri"/>
        <family val="2"/>
        <scheme val="minor"/>
      </rPr>
      <t xml:space="preserve"> - College Board/ACT program code set of PK-grade 12 institutions
</t>
    </r>
    <r>
      <rPr>
        <b/>
        <sz val="11"/>
        <color theme="1"/>
        <rFont val="Calibri"/>
        <family val="2"/>
        <scheme val="minor"/>
      </rPr>
      <t>LEA</t>
    </r>
    <r>
      <rPr>
        <sz val="11"/>
        <color theme="1"/>
        <rFont val="Calibri"/>
        <family val="2"/>
        <scheme val="minor"/>
      </rPr>
      <t xml:space="preserve"> - Local Education Agency assigned number
</t>
    </r>
    <r>
      <rPr>
        <b/>
        <sz val="11"/>
        <color theme="1"/>
        <rFont val="Calibri"/>
        <family val="2"/>
        <scheme val="minor"/>
      </rPr>
      <t>SEA</t>
    </r>
    <r>
      <rPr>
        <sz val="11"/>
        <color theme="1"/>
        <rFont val="Calibri"/>
        <family val="2"/>
        <scheme val="minor"/>
      </rPr>
      <t xml:space="preserve"> - State Education Agency assigned number
</t>
    </r>
    <r>
      <rPr>
        <b/>
        <sz val="11"/>
        <color theme="1"/>
        <rFont val="Calibri"/>
        <family val="2"/>
        <scheme val="minor"/>
      </rPr>
      <t>NCES</t>
    </r>
    <r>
      <rPr>
        <sz val="11"/>
        <color theme="1"/>
        <rFont val="Calibri"/>
        <family val="2"/>
        <scheme val="minor"/>
      </rPr>
      <t xml:space="preserve"> - National Center for Education Statistics assigned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DUNS</t>
    </r>
    <r>
      <rPr>
        <sz val="11"/>
        <color theme="1"/>
        <rFont val="Calibri"/>
        <family val="2"/>
        <scheme val="minor"/>
      </rPr>
      <t xml:space="preserve"> - Dun and Bradstreet number
</t>
    </r>
    <r>
      <rPr>
        <b/>
        <sz val="11"/>
        <color theme="1"/>
        <rFont val="Calibri"/>
        <family val="2"/>
        <scheme val="minor"/>
      </rPr>
      <t>StateUniversitySystem</t>
    </r>
    <r>
      <rPr>
        <sz val="11"/>
        <color theme="1"/>
        <rFont val="Calibri"/>
        <family val="2"/>
        <scheme val="minor"/>
      </rPr>
      <t xml:space="preserve"> - State University System assigned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Other</t>
    </r>
    <r>
      <rPr>
        <sz val="11"/>
        <color theme="1"/>
        <rFont val="Calibri"/>
        <family val="2"/>
        <scheme val="minor"/>
      </rPr>
      <t xml:space="preserve"> - Other
</t>
    </r>
  </si>
  <si>
    <r>
      <t>Turnaround</t>
    </r>
    <r>
      <rPr>
        <sz val="11"/>
        <color theme="1"/>
        <rFont val="Calibri"/>
        <family val="2"/>
        <scheme val="minor"/>
      </rPr>
      <t xml:space="preserve"> - Turnaround model
</t>
    </r>
    <r>
      <rPr>
        <b/>
        <sz val="11"/>
        <color theme="1"/>
        <rFont val="Calibri"/>
        <family val="2"/>
        <scheme val="minor"/>
      </rPr>
      <t>Restart</t>
    </r>
    <r>
      <rPr>
        <sz val="11"/>
        <color theme="1"/>
        <rFont val="Calibri"/>
        <family val="2"/>
        <scheme val="minor"/>
      </rPr>
      <t xml:space="preserve"> - Restart model
</t>
    </r>
    <r>
      <rPr>
        <b/>
        <sz val="11"/>
        <color theme="1"/>
        <rFont val="Calibri"/>
        <family val="2"/>
        <scheme val="minor"/>
      </rPr>
      <t>Closure</t>
    </r>
    <r>
      <rPr>
        <sz val="11"/>
        <color theme="1"/>
        <rFont val="Calibri"/>
        <family val="2"/>
        <scheme val="minor"/>
      </rPr>
      <t xml:space="preserve"> - School closure model
</t>
    </r>
    <r>
      <rPr>
        <b/>
        <sz val="11"/>
        <color theme="1"/>
        <rFont val="Calibri"/>
        <family val="2"/>
        <scheme val="minor"/>
      </rPr>
      <t>Transformation</t>
    </r>
    <r>
      <rPr>
        <sz val="11"/>
        <color theme="1"/>
        <rFont val="Calibri"/>
        <family val="2"/>
        <scheme val="minor"/>
      </rPr>
      <t xml:space="preserve"> - Transformation model
</t>
    </r>
  </si>
  <si>
    <r>
      <t>CorrectiveAction</t>
    </r>
    <r>
      <rPr>
        <sz val="11"/>
        <color theme="1"/>
        <rFont val="Calibri"/>
        <family val="2"/>
        <scheme val="minor"/>
      </rPr>
      <t xml:space="preserve"> - Corrective action
</t>
    </r>
    <r>
      <rPr>
        <b/>
        <sz val="11"/>
        <color theme="1"/>
        <rFont val="Calibri"/>
        <family val="2"/>
        <scheme val="minor"/>
      </rPr>
      <t>Year1</t>
    </r>
    <r>
      <rPr>
        <sz val="11"/>
        <color theme="1"/>
        <rFont val="Calibri"/>
        <family val="2"/>
        <scheme val="minor"/>
      </rPr>
      <t xml:space="preserve"> - Improvement status Year 1
</t>
    </r>
    <r>
      <rPr>
        <b/>
        <sz val="11"/>
        <color theme="1"/>
        <rFont val="Calibri"/>
        <family val="2"/>
        <scheme val="minor"/>
      </rPr>
      <t>Year2</t>
    </r>
    <r>
      <rPr>
        <sz val="11"/>
        <color theme="1"/>
        <rFont val="Calibri"/>
        <family val="2"/>
        <scheme val="minor"/>
      </rPr>
      <t xml:space="preserve"> - Improvement status Year 2
</t>
    </r>
    <r>
      <rPr>
        <b/>
        <sz val="11"/>
        <color theme="1"/>
        <rFont val="Calibri"/>
        <family val="2"/>
        <scheme val="minor"/>
      </rPr>
      <t>Planning</t>
    </r>
    <r>
      <rPr>
        <sz val="11"/>
        <color theme="1"/>
        <rFont val="Calibri"/>
        <family val="2"/>
        <scheme val="minor"/>
      </rPr>
      <t xml:space="preserve"> - Planning for restructuring
</t>
    </r>
    <r>
      <rPr>
        <b/>
        <sz val="11"/>
        <color theme="1"/>
        <rFont val="Calibri"/>
        <family val="2"/>
        <scheme val="minor"/>
      </rPr>
      <t>Restructuring</t>
    </r>
    <r>
      <rPr>
        <sz val="11"/>
        <color theme="1"/>
        <rFont val="Calibri"/>
        <family val="2"/>
        <scheme val="minor"/>
      </rPr>
      <t xml:space="preserve"> - Restructuring
</t>
    </r>
    <r>
      <rPr>
        <b/>
        <sz val="11"/>
        <color theme="1"/>
        <rFont val="Calibri"/>
        <family val="2"/>
        <scheme val="minor"/>
      </rPr>
      <t>NA</t>
    </r>
    <r>
      <rPr>
        <sz val="11"/>
        <color theme="1"/>
        <rFont val="Calibri"/>
        <family val="2"/>
        <scheme val="minor"/>
      </rPr>
      <t xml:space="preserve"> - Not applicable
</t>
    </r>
  </si>
  <si>
    <r>
      <t>00013</t>
    </r>
    <r>
      <rPr>
        <sz val="11"/>
        <color theme="1"/>
        <rFont val="Calibri"/>
        <family val="2"/>
        <scheme val="minor"/>
      </rPr>
      <t xml:space="preserve"> - Adult
</t>
    </r>
    <r>
      <rPr>
        <b/>
        <sz val="11"/>
        <color theme="1"/>
        <rFont val="Calibri"/>
        <family val="2"/>
        <scheme val="minor"/>
      </rPr>
      <t>01302</t>
    </r>
    <r>
      <rPr>
        <sz val="11"/>
        <color theme="1"/>
        <rFont val="Calibri"/>
        <family val="2"/>
        <scheme val="minor"/>
      </rPr>
      <t xml:space="preserve"> - All levels
</t>
    </r>
    <r>
      <rPr>
        <b/>
        <sz val="11"/>
        <color theme="1"/>
        <rFont val="Calibri"/>
        <family val="2"/>
        <scheme val="minor"/>
      </rPr>
      <t>01304</t>
    </r>
    <r>
      <rPr>
        <sz val="11"/>
        <color theme="1"/>
        <rFont val="Calibri"/>
        <family val="2"/>
        <scheme val="minor"/>
      </rPr>
      <t xml:space="preserve"> - Elementary
</t>
    </r>
    <r>
      <rPr>
        <b/>
        <sz val="11"/>
        <color theme="1"/>
        <rFont val="Calibri"/>
        <family val="2"/>
        <scheme val="minor"/>
      </rPr>
      <t>02402</t>
    </r>
    <r>
      <rPr>
        <sz val="11"/>
        <color theme="1"/>
        <rFont val="Calibri"/>
        <family val="2"/>
        <scheme val="minor"/>
      </rPr>
      <t xml:space="preserve"> - High school
</t>
    </r>
    <r>
      <rPr>
        <b/>
        <sz val="11"/>
        <color theme="1"/>
        <rFont val="Calibri"/>
        <family val="2"/>
        <scheme val="minor"/>
      </rPr>
      <t>00787</t>
    </r>
    <r>
      <rPr>
        <sz val="11"/>
        <color theme="1"/>
        <rFont val="Calibri"/>
        <family val="2"/>
        <scheme val="minor"/>
      </rPr>
      <t xml:space="preserve"> - Infant/toddler
</t>
    </r>
    <r>
      <rPr>
        <b/>
        <sz val="11"/>
        <color theme="1"/>
        <rFont val="Calibri"/>
        <family val="2"/>
        <scheme val="minor"/>
      </rPr>
      <t>02399</t>
    </r>
    <r>
      <rPr>
        <sz val="11"/>
        <color theme="1"/>
        <rFont val="Calibri"/>
        <family val="2"/>
        <scheme val="minor"/>
      </rPr>
      <t xml:space="preserve"> - Intermediate
</t>
    </r>
    <r>
      <rPr>
        <b/>
        <sz val="11"/>
        <color theme="1"/>
        <rFont val="Calibri"/>
        <family val="2"/>
        <scheme val="minor"/>
      </rPr>
      <t>02602</t>
    </r>
    <r>
      <rPr>
        <sz val="11"/>
        <color theme="1"/>
        <rFont val="Calibri"/>
        <family val="2"/>
        <scheme val="minor"/>
      </rPr>
      <t xml:space="preserve"> - Junior high school
</t>
    </r>
    <r>
      <rPr>
        <b/>
        <sz val="11"/>
        <color theme="1"/>
        <rFont val="Calibri"/>
        <family val="2"/>
        <scheme val="minor"/>
      </rPr>
      <t>02400</t>
    </r>
    <r>
      <rPr>
        <sz val="11"/>
        <color theme="1"/>
        <rFont val="Calibri"/>
        <family val="2"/>
        <scheme val="minor"/>
      </rPr>
      <t xml:space="preserve"> - Middle
</t>
    </r>
    <r>
      <rPr>
        <b/>
        <sz val="11"/>
        <color theme="1"/>
        <rFont val="Calibri"/>
        <family val="2"/>
        <scheme val="minor"/>
      </rPr>
      <t>01981</t>
    </r>
    <r>
      <rPr>
        <sz val="11"/>
        <color theme="1"/>
        <rFont val="Calibri"/>
        <family val="2"/>
        <scheme val="minor"/>
      </rPr>
      <t xml:space="preserve"> - Pre-kindergarten/early childhood
</t>
    </r>
    <r>
      <rPr>
        <b/>
        <sz val="11"/>
        <color theme="1"/>
        <rFont val="Calibri"/>
        <family val="2"/>
        <scheme val="minor"/>
      </rPr>
      <t>02397</t>
    </r>
    <r>
      <rPr>
        <sz val="11"/>
        <color theme="1"/>
        <rFont val="Calibri"/>
        <family val="2"/>
        <scheme val="minor"/>
      </rPr>
      <t xml:space="preserve"> - Primary
</t>
    </r>
    <r>
      <rPr>
        <b/>
        <sz val="11"/>
        <color theme="1"/>
        <rFont val="Calibri"/>
        <family val="2"/>
        <scheme val="minor"/>
      </rPr>
      <t>02403</t>
    </r>
    <r>
      <rPr>
        <sz val="11"/>
        <color theme="1"/>
        <rFont val="Calibri"/>
        <family val="2"/>
        <scheme val="minor"/>
      </rPr>
      <t xml:space="preserve"> - Secondary
</t>
    </r>
    <r>
      <rPr>
        <b/>
        <sz val="11"/>
        <color theme="1"/>
        <rFont val="Calibri"/>
        <family val="2"/>
        <scheme val="minor"/>
      </rPr>
      <t>73066</t>
    </r>
    <r>
      <rPr>
        <sz val="11"/>
        <color theme="1"/>
        <rFont val="Calibri"/>
        <family val="2"/>
        <scheme val="minor"/>
      </rPr>
      <t xml:space="preserve"> - Joint secondary and postsecondary
</t>
    </r>
  </si>
  <si>
    <r>
      <t>Open</t>
    </r>
    <r>
      <rPr>
        <sz val="11"/>
        <color theme="1"/>
        <rFont val="Calibri"/>
        <family val="2"/>
        <scheme val="minor"/>
      </rPr>
      <t xml:space="preserve"> - Open
</t>
    </r>
    <r>
      <rPr>
        <b/>
        <sz val="11"/>
        <color theme="1"/>
        <rFont val="Calibri"/>
        <family val="2"/>
        <scheme val="minor"/>
      </rPr>
      <t>Closed</t>
    </r>
    <r>
      <rPr>
        <sz val="11"/>
        <color theme="1"/>
        <rFont val="Calibri"/>
        <family val="2"/>
        <scheme val="minor"/>
      </rPr>
      <t xml:space="preserve"> - Closed
</t>
    </r>
    <r>
      <rPr>
        <b/>
        <sz val="11"/>
        <color theme="1"/>
        <rFont val="Calibri"/>
        <family val="2"/>
        <scheme val="minor"/>
      </rPr>
      <t>New</t>
    </r>
    <r>
      <rPr>
        <sz val="11"/>
        <color theme="1"/>
        <rFont val="Calibri"/>
        <family val="2"/>
        <scheme val="minor"/>
      </rPr>
      <t xml:space="preserve"> - New
</t>
    </r>
    <r>
      <rPr>
        <b/>
        <sz val="11"/>
        <color theme="1"/>
        <rFont val="Calibri"/>
        <family val="2"/>
        <scheme val="minor"/>
      </rPr>
      <t>Added</t>
    </r>
    <r>
      <rPr>
        <sz val="11"/>
        <color theme="1"/>
        <rFont val="Calibri"/>
        <family val="2"/>
        <scheme val="minor"/>
      </rPr>
      <t xml:space="preserve"> - Added
</t>
    </r>
    <r>
      <rPr>
        <b/>
        <sz val="11"/>
        <color theme="1"/>
        <rFont val="Calibri"/>
        <family val="2"/>
        <scheme val="minor"/>
      </rPr>
      <t>ChangedAgency</t>
    </r>
    <r>
      <rPr>
        <sz val="11"/>
        <color theme="1"/>
        <rFont val="Calibri"/>
        <family val="2"/>
        <scheme val="minor"/>
      </rPr>
      <t xml:space="preserve"> - Changed Agency
</t>
    </r>
    <r>
      <rPr>
        <b/>
        <sz val="11"/>
        <color theme="1"/>
        <rFont val="Calibri"/>
        <family val="2"/>
        <scheme val="minor"/>
      </rPr>
      <t>Inactive</t>
    </r>
    <r>
      <rPr>
        <sz val="11"/>
        <color theme="1"/>
        <rFont val="Calibri"/>
        <family val="2"/>
        <scheme val="minor"/>
      </rPr>
      <t xml:space="preserve"> - Inactive
</t>
    </r>
    <r>
      <rPr>
        <b/>
        <sz val="11"/>
        <color theme="1"/>
        <rFont val="Calibri"/>
        <family val="2"/>
        <scheme val="minor"/>
      </rPr>
      <t>FutureSchool</t>
    </r>
    <r>
      <rPr>
        <sz val="11"/>
        <color theme="1"/>
        <rFont val="Calibri"/>
        <family val="2"/>
        <scheme val="minor"/>
      </rPr>
      <t xml:space="preserve"> - Future school
</t>
    </r>
    <r>
      <rPr>
        <b/>
        <sz val="11"/>
        <color theme="1"/>
        <rFont val="Calibri"/>
        <family val="2"/>
        <scheme val="minor"/>
      </rPr>
      <t>Reopened</t>
    </r>
    <r>
      <rPr>
        <sz val="11"/>
        <color theme="1"/>
        <rFont val="Calibri"/>
        <family val="2"/>
        <scheme val="minor"/>
      </rPr>
      <t xml:space="preserve"> - Reopened
</t>
    </r>
  </si>
  <si>
    <r>
      <t>Regular</t>
    </r>
    <r>
      <rPr>
        <sz val="11"/>
        <color theme="1"/>
        <rFont val="Calibri"/>
        <family val="2"/>
        <scheme val="minor"/>
      </rPr>
      <t xml:space="preserve"> - Regular School
</t>
    </r>
    <r>
      <rPr>
        <b/>
        <sz val="11"/>
        <color theme="1"/>
        <rFont val="Calibri"/>
        <family val="2"/>
        <scheme val="minor"/>
      </rPr>
      <t>SpecialEd</t>
    </r>
    <r>
      <rPr>
        <sz val="11"/>
        <color theme="1"/>
        <rFont val="Calibri"/>
        <family val="2"/>
        <scheme val="minor"/>
      </rPr>
      <t xml:space="preserve"> - Special Education School
</t>
    </r>
    <r>
      <rPr>
        <b/>
        <sz val="11"/>
        <color theme="1"/>
        <rFont val="Calibri"/>
        <family val="2"/>
        <scheme val="minor"/>
      </rPr>
      <t>CareerAndTechnical</t>
    </r>
    <r>
      <rPr>
        <sz val="11"/>
        <color theme="1"/>
        <rFont val="Calibri"/>
        <family val="2"/>
        <scheme val="minor"/>
      </rPr>
      <t xml:space="preserve"> - Career and Technical Education School
</t>
    </r>
    <r>
      <rPr>
        <b/>
        <sz val="11"/>
        <color theme="1"/>
        <rFont val="Calibri"/>
        <family val="2"/>
        <scheme val="minor"/>
      </rPr>
      <t>Alternative</t>
    </r>
    <r>
      <rPr>
        <sz val="11"/>
        <color theme="1"/>
        <rFont val="Calibri"/>
        <family val="2"/>
        <scheme val="minor"/>
      </rPr>
      <t xml:space="preserve"> - Alternative School
</t>
    </r>
  </si>
  <si>
    <r>
      <t>B</t>
    </r>
    <r>
      <rPr>
        <sz val="11"/>
        <color theme="1"/>
        <rFont val="Calibri"/>
        <family val="2"/>
        <scheme val="minor"/>
      </rPr>
      <t xml:space="preserve"> - Basic or remedial
</t>
    </r>
    <r>
      <rPr>
        <b/>
        <sz val="11"/>
        <color theme="1"/>
        <rFont val="Calibri"/>
        <family val="2"/>
        <scheme val="minor"/>
      </rPr>
      <t>E</t>
    </r>
    <r>
      <rPr>
        <sz val="11"/>
        <color theme="1"/>
        <rFont val="Calibri"/>
        <family val="2"/>
        <scheme val="minor"/>
      </rPr>
      <t xml:space="preserve"> - Enriched or advanced
</t>
    </r>
    <r>
      <rPr>
        <b/>
        <sz val="11"/>
        <color theme="1"/>
        <rFont val="Calibri"/>
        <family val="2"/>
        <scheme val="minor"/>
      </rPr>
      <t>G</t>
    </r>
    <r>
      <rPr>
        <sz val="11"/>
        <color theme="1"/>
        <rFont val="Calibri"/>
        <family val="2"/>
        <scheme val="minor"/>
      </rPr>
      <t xml:space="preserve"> - General or regular
</t>
    </r>
    <r>
      <rPr>
        <b/>
        <sz val="11"/>
        <color theme="1"/>
        <rFont val="Calibri"/>
        <family val="2"/>
        <scheme val="minor"/>
      </rPr>
      <t>H</t>
    </r>
    <r>
      <rPr>
        <sz val="11"/>
        <color theme="1"/>
        <rFont val="Calibri"/>
        <family val="2"/>
        <scheme val="minor"/>
      </rPr>
      <t xml:space="preserve"> - Honors
</t>
    </r>
  </si>
  <si>
    <r>
      <t>01</t>
    </r>
    <r>
      <rPr>
        <sz val="11"/>
        <color theme="1"/>
        <rFont val="Calibri"/>
        <family val="2"/>
        <scheme val="minor"/>
      </rPr>
      <t xml:space="preserve"> - English Language and Literature
</t>
    </r>
    <r>
      <rPr>
        <b/>
        <sz val="11"/>
        <color theme="1"/>
        <rFont val="Calibri"/>
        <family val="2"/>
        <scheme val="minor"/>
      </rPr>
      <t>02</t>
    </r>
    <r>
      <rPr>
        <sz val="11"/>
        <color theme="1"/>
        <rFont val="Calibri"/>
        <family val="2"/>
        <scheme val="minor"/>
      </rPr>
      <t xml:space="preserve"> - Mathematics
</t>
    </r>
    <r>
      <rPr>
        <b/>
        <sz val="11"/>
        <color theme="1"/>
        <rFont val="Calibri"/>
        <family val="2"/>
        <scheme val="minor"/>
      </rPr>
      <t>03</t>
    </r>
    <r>
      <rPr>
        <sz val="11"/>
        <color theme="1"/>
        <rFont val="Calibri"/>
        <family val="2"/>
        <scheme val="minor"/>
      </rPr>
      <t xml:space="preserve"> - Life and Physical Sciences
</t>
    </r>
    <r>
      <rPr>
        <b/>
        <sz val="11"/>
        <color theme="1"/>
        <rFont val="Calibri"/>
        <family val="2"/>
        <scheme val="minor"/>
      </rPr>
      <t>04</t>
    </r>
    <r>
      <rPr>
        <sz val="11"/>
        <color theme="1"/>
        <rFont val="Calibri"/>
        <family val="2"/>
        <scheme val="minor"/>
      </rPr>
      <t xml:space="preserve"> - Social Sciences and History
</t>
    </r>
    <r>
      <rPr>
        <b/>
        <sz val="11"/>
        <color theme="1"/>
        <rFont val="Calibri"/>
        <family val="2"/>
        <scheme val="minor"/>
      </rPr>
      <t>05</t>
    </r>
    <r>
      <rPr>
        <sz val="11"/>
        <color theme="1"/>
        <rFont val="Calibri"/>
        <family val="2"/>
        <scheme val="minor"/>
      </rPr>
      <t xml:space="preserve"> - Fine and Performing Arts
</t>
    </r>
    <r>
      <rPr>
        <b/>
        <sz val="11"/>
        <color theme="1"/>
        <rFont val="Calibri"/>
        <family val="2"/>
        <scheme val="minor"/>
      </rPr>
      <t>06</t>
    </r>
    <r>
      <rPr>
        <sz val="11"/>
        <color theme="1"/>
        <rFont val="Calibri"/>
        <family val="2"/>
        <scheme val="minor"/>
      </rPr>
      <t xml:space="preserve"> - Foreign Language and Literature
</t>
    </r>
    <r>
      <rPr>
        <b/>
        <sz val="11"/>
        <color theme="1"/>
        <rFont val="Calibri"/>
        <family val="2"/>
        <scheme val="minor"/>
      </rPr>
      <t>07</t>
    </r>
    <r>
      <rPr>
        <sz val="11"/>
        <color theme="1"/>
        <rFont val="Calibri"/>
        <family val="2"/>
        <scheme val="minor"/>
      </rPr>
      <t xml:space="preserve"> - Religious Education and Theology
</t>
    </r>
    <r>
      <rPr>
        <b/>
        <sz val="11"/>
        <color theme="1"/>
        <rFont val="Calibri"/>
        <family val="2"/>
        <scheme val="minor"/>
      </rPr>
      <t>08</t>
    </r>
    <r>
      <rPr>
        <sz val="11"/>
        <color theme="1"/>
        <rFont val="Calibri"/>
        <family val="2"/>
        <scheme val="minor"/>
      </rPr>
      <t xml:space="preserve"> - Physical, Health, and Safety Education
</t>
    </r>
    <r>
      <rPr>
        <b/>
        <sz val="11"/>
        <color theme="1"/>
        <rFont val="Calibri"/>
        <family val="2"/>
        <scheme val="minor"/>
      </rPr>
      <t>09</t>
    </r>
    <r>
      <rPr>
        <sz val="11"/>
        <color theme="1"/>
        <rFont val="Calibri"/>
        <family val="2"/>
        <scheme val="minor"/>
      </rPr>
      <t xml:space="preserve"> - Military Science
</t>
    </r>
    <r>
      <rPr>
        <b/>
        <sz val="11"/>
        <color theme="1"/>
        <rFont val="Calibri"/>
        <family val="2"/>
        <scheme val="minor"/>
      </rPr>
      <t>10</t>
    </r>
    <r>
      <rPr>
        <sz val="11"/>
        <color theme="1"/>
        <rFont val="Calibri"/>
        <family val="2"/>
        <scheme val="minor"/>
      </rPr>
      <t xml:space="preserve"> - Computer and Information Sciences
</t>
    </r>
    <r>
      <rPr>
        <b/>
        <sz val="11"/>
        <color theme="1"/>
        <rFont val="Calibri"/>
        <family val="2"/>
        <scheme val="minor"/>
      </rPr>
      <t>11</t>
    </r>
    <r>
      <rPr>
        <sz val="11"/>
        <color theme="1"/>
        <rFont val="Calibri"/>
        <family val="2"/>
        <scheme val="minor"/>
      </rPr>
      <t xml:space="preserve"> - Communication and Audio/Visual Technology
</t>
    </r>
    <r>
      <rPr>
        <b/>
        <sz val="11"/>
        <color theme="1"/>
        <rFont val="Calibri"/>
        <family val="2"/>
        <scheme val="minor"/>
      </rPr>
      <t>12</t>
    </r>
    <r>
      <rPr>
        <sz val="11"/>
        <color theme="1"/>
        <rFont val="Calibri"/>
        <family val="2"/>
        <scheme val="minor"/>
      </rPr>
      <t xml:space="preserve"> - Business and Marketing
</t>
    </r>
    <r>
      <rPr>
        <b/>
        <sz val="11"/>
        <color theme="1"/>
        <rFont val="Calibri"/>
        <family val="2"/>
        <scheme val="minor"/>
      </rPr>
      <t>13</t>
    </r>
    <r>
      <rPr>
        <sz val="11"/>
        <color theme="1"/>
        <rFont val="Calibri"/>
        <family val="2"/>
        <scheme val="minor"/>
      </rPr>
      <t xml:space="preserve"> - Manufacturing
</t>
    </r>
    <r>
      <rPr>
        <b/>
        <sz val="11"/>
        <color theme="1"/>
        <rFont val="Calibri"/>
        <family val="2"/>
        <scheme val="minor"/>
      </rPr>
      <t>14</t>
    </r>
    <r>
      <rPr>
        <sz val="11"/>
        <color theme="1"/>
        <rFont val="Calibri"/>
        <family val="2"/>
        <scheme val="minor"/>
      </rPr>
      <t xml:space="preserve"> - Health Care Sciences
</t>
    </r>
    <r>
      <rPr>
        <b/>
        <sz val="11"/>
        <color theme="1"/>
        <rFont val="Calibri"/>
        <family val="2"/>
        <scheme val="minor"/>
      </rPr>
      <t>15</t>
    </r>
    <r>
      <rPr>
        <sz val="11"/>
        <color theme="1"/>
        <rFont val="Calibri"/>
        <family val="2"/>
        <scheme val="minor"/>
      </rPr>
      <t xml:space="preserve"> - Public, Protective, and Government Service
</t>
    </r>
    <r>
      <rPr>
        <b/>
        <sz val="11"/>
        <color theme="1"/>
        <rFont val="Calibri"/>
        <family val="2"/>
        <scheme val="minor"/>
      </rPr>
      <t>16</t>
    </r>
    <r>
      <rPr>
        <sz val="11"/>
        <color theme="1"/>
        <rFont val="Calibri"/>
        <family val="2"/>
        <scheme val="minor"/>
      </rPr>
      <t xml:space="preserve"> - Hospitality and Tourism
</t>
    </r>
    <r>
      <rPr>
        <b/>
        <sz val="11"/>
        <color theme="1"/>
        <rFont val="Calibri"/>
        <family val="2"/>
        <scheme val="minor"/>
      </rPr>
      <t>17</t>
    </r>
    <r>
      <rPr>
        <sz val="11"/>
        <color theme="1"/>
        <rFont val="Calibri"/>
        <family val="2"/>
        <scheme val="minor"/>
      </rPr>
      <t xml:space="preserve"> - Architecture and Construction
</t>
    </r>
    <r>
      <rPr>
        <b/>
        <sz val="11"/>
        <color theme="1"/>
        <rFont val="Calibri"/>
        <family val="2"/>
        <scheme val="minor"/>
      </rPr>
      <t>18</t>
    </r>
    <r>
      <rPr>
        <sz val="11"/>
        <color theme="1"/>
        <rFont val="Calibri"/>
        <family val="2"/>
        <scheme val="minor"/>
      </rPr>
      <t xml:space="preserve"> - Agriculture, Food, and Natural Resources
</t>
    </r>
    <r>
      <rPr>
        <b/>
        <sz val="11"/>
        <color theme="1"/>
        <rFont val="Calibri"/>
        <family val="2"/>
        <scheme val="minor"/>
      </rPr>
      <t>19</t>
    </r>
    <r>
      <rPr>
        <sz val="11"/>
        <color theme="1"/>
        <rFont val="Calibri"/>
        <family val="2"/>
        <scheme val="minor"/>
      </rPr>
      <t xml:space="preserve"> - Human Services
</t>
    </r>
    <r>
      <rPr>
        <b/>
        <sz val="11"/>
        <color theme="1"/>
        <rFont val="Calibri"/>
        <family val="2"/>
        <scheme val="minor"/>
      </rPr>
      <t>20</t>
    </r>
    <r>
      <rPr>
        <sz val="11"/>
        <color theme="1"/>
        <rFont val="Calibri"/>
        <family val="2"/>
        <scheme val="minor"/>
      </rPr>
      <t xml:space="preserve"> - Transportation, Distribution and Logistics
</t>
    </r>
    <r>
      <rPr>
        <b/>
        <sz val="11"/>
        <color theme="1"/>
        <rFont val="Calibri"/>
        <family val="2"/>
        <scheme val="minor"/>
      </rPr>
      <t>21</t>
    </r>
    <r>
      <rPr>
        <sz val="11"/>
        <color theme="1"/>
        <rFont val="Calibri"/>
        <family val="2"/>
        <scheme val="minor"/>
      </rPr>
      <t xml:space="preserve"> - Engineering and Technology
</t>
    </r>
    <r>
      <rPr>
        <b/>
        <sz val="11"/>
        <color theme="1"/>
        <rFont val="Calibri"/>
        <family val="2"/>
        <scheme val="minor"/>
      </rPr>
      <t>22</t>
    </r>
    <r>
      <rPr>
        <sz val="11"/>
        <color theme="1"/>
        <rFont val="Calibri"/>
        <family val="2"/>
        <scheme val="minor"/>
      </rPr>
      <t xml:space="preserve"> - Miscellaneous
</t>
    </r>
  </si>
  <si>
    <r>
      <t>03066</t>
    </r>
    <r>
      <rPr>
        <sz val="11"/>
        <color theme="1"/>
        <rFont val="Calibri"/>
        <family val="2"/>
        <scheme val="minor"/>
      </rPr>
      <t xml:space="preserve"> - Alcohol-related
</t>
    </r>
    <r>
      <rPr>
        <b/>
        <sz val="11"/>
        <color theme="1"/>
        <rFont val="Calibri"/>
        <family val="2"/>
        <scheme val="minor"/>
      </rPr>
      <t>03067</t>
    </r>
    <r>
      <rPr>
        <sz val="11"/>
        <color theme="1"/>
        <rFont val="Calibri"/>
        <family val="2"/>
        <scheme val="minor"/>
      </rPr>
      <t xml:space="preserve"> - Drug-related
</t>
    </r>
    <r>
      <rPr>
        <b/>
        <sz val="11"/>
        <color theme="1"/>
        <rFont val="Calibri"/>
        <family val="2"/>
        <scheme val="minor"/>
      </rPr>
      <t>03068</t>
    </r>
    <r>
      <rPr>
        <sz val="11"/>
        <color theme="1"/>
        <rFont val="Calibri"/>
        <family val="2"/>
        <scheme val="minor"/>
      </rPr>
      <t xml:space="preserve"> - Gang-related
</t>
    </r>
    <r>
      <rPr>
        <b/>
        <sz val="11"/>
        <color theme="1"/>
        <rFont val="Calibri"/>
        <family val="2"/>
        <scheme val="minor"/>
      </rPr>
      <t>13778</t>
    </r>
    <r>
      <rPr>
        <sz val="11"/>
        <color theme="1"/>
        <rFont val="Calibri"/>
        <family val="2"/>
        <scheme val="minor"/>
      </rPr>
      <t xml:space="preserve"> - Hate-related (Disability)
</t>
    </r>
    <r>
      <rPr>
        <b/>
        <sz val="11"/>
        <color theme="1"/>
        <rFont val="Calibri"/>
        <family val="2"/>
        <scheme val="minor"/>
      </rPr>
      <t>13777</t>
    </r>
    <r>
      <rPr>
        <sz val="11"/>
        <color theme="1"/>
        <rFont val="Calibri"/>
        <family val="2"/>
        <scheme val="minor"/>
      </rPr>
      <t xml:space="preserve"> - Hate-related (Other)
</t>
    </r>
    <r>
      <rPr>
        <b/>
        <sz val="11"/>
        <color theme="1"/>
        <rFont val="Calibri"/>
        <family val="2"/>
        <scheme val="minor"/>
      </rPr>
      <t>13779</t>
    </r>
    <r>
      <rPr>
        <sz val="11"/>
        <color theme="1"/>
        <rFont val="Calibri"/>
        <family val="2"/>
        <scheme val="minor"/>
      </rPr>
      <t xml:space="preserve"> - Hate-related (Race, Color, or National Origin)
</t>
    </r>
    <r>
      <rPr>
        <b/>
        <sz val="11"/>
        <color theme="1"/>
        <rFont val="Calibri"/>
        <family val="2"/>
        <scheme val="minor"/>
      </rPr>
      <t>13780</t>
    </r>
    <r>
      <rPr>
        <sz val="11"/>
        <color theme="1"/>
        <rFont val="Calibri"/>
        <family val="2"/>
        <scheme val="minor"/>
      </rPr>
      <t xml:space="preserve"> - Hate-related (Sex)
</t>
    </r>
    <r>
      <rPr>
        <b/>
        <sz val="11"/>
        <color theme="1"/>
        <rFont val="Calibri"/>
        <family val="2"/>
        <scheme val="minor"/>
      </rPr>
      <t>03070</t>
    </r>
    <r>
      <rPr>
        <sz val="11"/>
        <color theme="1"/>
        <rFont val="Calibri"/>
        <family val="2"/>
        <scheme val="minor"/>
      </rPr>
      <t xml:space="preserve"> - Weapon-related
</t>
    </r>
  </si>
  <si>
    <r>
      <t>FullDayFullYear</t>
    </r>
    <r>
      <rPr>
        <sz val="11"/>
        <color theme="1"/>
        <rFont val="Calibri"/>
        <family val="2"/>
        <scheme val="minor"/>
      </rPr>
      <t xml:space="preserve"> - Full-day/full-year
</t>
    </r>
    <r>
      <rPr>
        <b/>
        <sz val="11"/>
        <color theme="1"/>
        <rFont val="Calibri"/>
        <family val="2"/>
        <scheme val="minor"/>
      </rPr>
      <t>FullDayPartYear</t>
    </r>
    <r>
      <rPr>
        <sz val="11"/>
        <color theme="1"/>
        <rFont val="Calibri"/>
        <family val="2"/>
        <scheme val="minor"/>
      </rPr>
      <t xml:space="preserve"> - Full-day/part-year
</t>
    </r>
    <r>
      <rPr>
        <b/>
        <sz val="11"/>
        <color theme="1"/>
        <rFont val="Calibri"/>
        <family val="2"/>
        <scheme val="minor"/>
      </rPr>
      <t>PartDayFullYear</t>
    </r>
    <r>
      <rPr>
        <sz val="11"/>
        <color theme="1"/>
        <rFont val="Calibri"/>
        <family val="2"/>
        <scheme val="minor"/>
      </rPr>
      <t xml:space="preserve"> - Part-day/full-year
</t>
    </r>
    <r>
      <rPr>
        <b/>
        <sz val="11"/>
        <color theme="1"/>
        <rFont val="Calibri"/>
        <family val="2"/>
        <scheme val="minor"/>
      </rPr>
      <t>PartDayPartYear</t>
    </r>
    <r>
      <rPr>
        <sz val="11"/>
        <color theme="1"/>
        <rFont val="Calibri"/>
        <family val="2"/>
        <scheme val="minor"/>
      </rPr>
      <t xml:space="preserve"> - Part-day/part-year
</t>
    </r>
    <r>
      <rPr>
        <b/>
        <sz val="11"/>
        <color theme="1"/>
        <rFont val="Calibri"/>
        <family val="2"/>
        <scheme val="minor"/>
      </rPr>
      <t>HomeBased</t>
    </r>
    <r>
      <rPr>
        <sz val="11"/>
        <color theme="1"/>
        <rFont val="Calibri"/>
        <family val="2"/>
        <scheme val="minor"/>
      </rPr>
      <t xml:space="preserve"> - Home based
</t>
    </r>
    <r>
      <rPr>
        <b/>
        <sz val="11"/>
        <color theme="1"/>
        <rFont val="Calibri"/>
        <family val="2"/>
        <scheme val="minor"/>
      </rPr>
      <t>NA</t>
    </r>
    <r>
      <rPr>
        <sz val="11"/>
        <color theme="1"/>
        <rFont val="Calibri"/>
        <family val="2"/>
        <scheme val="minor"/>
      </rPr>
      <t xml:space="preserve"> - Not applicable
</t>
    </r>
  </si>
  <si>
    <r>
      <t>FullSchoolYear</t>
    </r>
    <r>
      <rPr>
        <sz val="11"/>
        <color theme="1"/>
        <rFont val="Calibri"/>
        <family val="2"/>
        <scheme val="minor"/>
      </rPr>
      <t xml:space="preserve"> - Full School Year
</t>
    </r>
    <r>
      <rPr>
        <b/>
        <sz val="11"/>
        <color theme="1"/>
        <rFont val="Calibri"/>
        <family val="2"/>
        <scheme val="minor"/>
      </rPr>
      <t>Intersession</t>
    </r>
    <r>
      <rPr>
        <sz val="11"/>
        <color theme="1"/>
        <rFont val="Calibri"/>
        <family val="2"/>
        <scheme val="minor"/>
      </rPr>
      <t xml:space="preserve"> - Intersession
</t>
    </r>
    <r>
      <rPr>
        <b/>
        <sz val="11"/>
        <color theme="1"/>
        <rFont val="Calibri"/>
        <family val="2"/>
        <scheme val="minor"/>
      </rPr>
      <t>LongSession</t>
    </r>
    <r>
      <rPr>
        <sz val="11"/>
        <color theme="1"/>
        <rFont val="Calibri"/>
        <family val="2"/>
        <scheme val="minor"/>
      </rPr>
      <t xml:space="preserve"> - Long Session
</t>
    </r>
    <r>
      <rPr>
        <b/>
        <sz val="11"/>
        <color theme="1"/>
        <rFont val="Calibri"/>
        <family val="2"/>
        <scheme val="minor"/>
      </rPr>
      <t>MiniTerm</t>
    </r>
    <r>
      <rPr>
        <sz val="11"/>
        <color theme="1"/>
        <rFont val="Calibri"/>
        <family val="2"/>
        <scheme val="minor"/>
      </rPr>
      <t xml:space="preserve"> - Mini Term
</t>
    </r>
    <r>
      <rPr>
        <b/>
        <sz val="11"/>
        <color theme="1"/>
        <rFont val="Calibri"/>
        <family val="2"/>
        <scheme val="minor"/>
      </rPr>
      <t>Quarter</t>
    </r>
    <r>
      <rPr>
        <sz val="11"/>
        <color theme="1"/>
        <rFont val="Calibri"/>
        <family val="2"/>
        <scheme val="minor"/>
      </rPr>
      <t xml:space="preserve"> - Quarter
</t>
    </r>
    <r>
      <rPr>
        <b/>
        <sz val="11"/>
        <color theme="1"/>
        <rFont val="Calibri"/>
        <family val="2"/>
        <scheme val="minor"/>
      </rPr>
      <t>Quinmester</t>
    </r>
    <r>
      <rPr>
        <sz val="11"/>
        <color theme="1"/>
        <rFont val="Calibri"/>
        <family val="2"/>
        <scheme val="minor"/>
      </rPr>
      <t xml:space="preserve"> - Quinmester
</t>
    </r>
    <r>
      <rPr>
        <b/>
        <sz val="11"/>
        <color theme="1"/>
        <rFont val="Calibri"/>
        <family val="2"/>
        <scheme val="minor"/>
      </rPr>
      <t>Semester</t>
    </r>
    <r>
      <rPr>
        <sz val="11"/>
        <color theme="1"/>
        <rFont val="Calibri"/>
        <family val="2"/>
        <scheme val="minor"/>
      </rPr>
      <t xml:space="preserve"> - Semester
</t>
    </r>
    <r>
      <rPr>
        <b/>
        <sz val="11"/>
        <color theme="1"/>
        <rFont val="Calibri"/>
        <family val="2"/>
        <scheme val="minor"/>
      </rPr>
      <t>SummerTerm</t>
    </r>
    <r>
      <rPr>
        <sz val="11"/>
        <color theme="1"/>
        <rFont val="Calibri"/>
        <family val="2"/>
        <scheme val="minor"/>
      </rPr>
      <t xml:space="preserve"> - Summer Term
</t>
    </r>
    <r>
      <rPr>
        <b/>
        <sz val="11"/>
        <color theme="1"/>
        <rFont val="Calibri"/>
        <family val="2"/>
        <scheme val="minor"/>
      </rPr>
      <t>Trimester</t>
    </r>
    <r>
      <rPr>
        <sz val="11"/>
        <color theme="1"/>
        <rFont val="Calibri"/>
        <family val="2"/>
        <scheme val="minor"/>
      </rPr>
      <t xml:space="preserve"> - Trimester
</t>
    </r>
    <r>
      <rPr>
        <b/>
        <sz val="11"/>
        <color theme="1"/>
        <rFont val="Calibri"/>
        <family val="2"/>
        <scheme val="minor"/>
      </rPr>
      <t>TwelveMonth</t>
    </r>
    <r>
      <rPr>
        <sz val="11"/>
        <color theme="1"/>
        <rFont val="Calibri"/>
        <family val="2"/>
        <scheme val="minor"/>
      </rPr>
      <t xml:space="preserve"> - Twelve Month
</t>
    </r>
    <r>
      <rPr>
        <b/>
        <sz val="11"/>
        <color theme="1"/>
        <rFont val="Calibri"/>
        <family val="2"/>
        <scheme val="minor"/>
      </rPr>
      <t>Other</t>
    </r>
    <r>
      <rPr>
        <sz val="11"/>
        <color theme="1"/>
        <rFont val="Calibri"/>
        <family val="2"/>
        <scheme val="minor"/>
      </rPr>
      <t xml:space="preserve"> - Other
</t>
    </r>
  </si>
  <si>
    <r>
      <t>Male</t>
    </r>
    <r>
      <rPr>
        <sz val="11"/>
        <color theme="1"/>
        <rFont val="Calibri"/>
        <family val="2"/>
        <scheme val="minor"/>
      </rPr>
      <t xml:space="preserve"> - Male
</t>
    </r>
    <r>
      <rPr>
        <b/>
        <sz val="11"/>
        <color theme="1"/>
        <rFont val="Calibri"/>
        <family val="2"/>
        <scheme val="minor"/>
      </rPr>
      <t>Female</t>
    </r>
    <r>
      <rPr>
        <sz val="11"/>
        <color theme="1"/>
        <rFont val="Calibri"/>
        <family val="2"/>
        <scheme val="minor"/>
      </rPr>
      <t xml:space="preserve"> - Female
</t>
    </r>
    <r>
      <rPr>
        <b/>
        <sz val="11"/>
        <color theme="1"/>
        <rFont val="Calibri"/>
        <family val="2"/>
        <scheme val="minor"/>
      </rPr>
      <t>NotSelected</t>
    </r>
    <r>
      <rPr>
        <sz val="11"/>
        <color theme="1"/>
        <rFont val="Calibri"/>
        <family val="2"/>
        <scheme val="minor"/>
      </rPr>
      <t xml:space="preserve"> - Not selected
</t>
    </r>
  </si>
  <si>
    <r>
      <t>Wages</t>
    </r>
    <r>
      <rPr>
        <sz val="11"/>
        <color theme="1"/>
        <rFont val="Calibri"/>
        <family val="2"/>
        <scheme val="minor"/>
      </rPr>
      <t xml:space="preserve"> - Wages
</t>
    </r>
    <r>
      <rPr>
        <b/>
        <sz val="11"/>
        <color theme="1"/>
        <rFont val="Calibri"/>
        <family val="2"/>
        <scheme val="minor"/>
      </rPr>
      <t>Alimony</t>
    </r>
    <r>
      <rPr>
        <sz val="11"/>
        <color theme="1"/>
        <rFont val="Calibri"/>
        <family val="2"/>
        <scheme val="minor"/>
      </rPr>
      <t xml:space="preserve"> - Alimony
</t>
    </r>
    <r>
      <rPr>
        <b/>
        <sz val="11"/>
        <color theme="1"/>
        <rFont val="Calibri"/>
        <family val="2"/>
        <scheme val="minor"/>
      </rPr>
      <t>ChildSupport</t>
    </r>
    <r>
      <rPr>
        <sz val="11"/>
        <color theme="1"/>
        <rFont val="Calibri"/>
        <family val="2"/>
        <scheme val="minor"/>
      </rPr>
      <t xml:space="preserve"> - Child support
</t>
    </r>
    <r>
      <rPr>
        <b/>
        <sz val="11"/>
        <color theme="1"/>
        <rFont val="Calibri"/>
        <family val="2"/>
        <scheme val="minor"/>
      </rPr>
      <t>WorkersComp</t>
    </r>
    <r>
      <rPr>
        <sz val="11"/>
        <color theme="1"/>
        <rFont val="Calibri"/>
        <family val="2"/>
        <scheme val="minor"/>
      </rPr>
      <t xml:space="preserve"> - Worker's compensation
</t>
    </r>
    <r>
      <rPr>
        <b/>
        <sz val="11"/>
        <color theme="1"/>
        <rFont val="Calibri"/>
        <family val="2"/>
        <scheme val="minor"/>
      </rPr>
      <t>Unemployment</t>
    </r>
    <r>
      <rPr>
        <sz val="11"/>
        <color theme="1"/>
        <rFont val="Calibri"/>
        <family val="2"/>
        <scheme val="minor"/>
      </rPr>
      <t xml:space="preserve"> - Unemployment
</t>
    </r>
    <r>
      <rPr>
        <b/>
        <sz val="11"/>
        <color theme="1"/>
        <rFont val="Calibri"/>
        <family val="2"/>
        <scheme val="minor"/>
      </rPr>
      <t>SSI</t>
    </r>
    <r>
      <rPr>
        <sz val="11"/>
        <color theme="1"/>
        <rFont val="Calibri"/>
        <family val="2"/>
        <scheme val="minor"/>
      </rPr>
      <t xml:space="preserve"> - Supplemental security income
</t>
    </r>
    <r>
      <rPr>
        <b/>
        <sz val="11"/>
        <color theme="1"/>
        <rFont val="Calibri"/>
        <family val="2"/>
        <scheme val="minor"/>
      </rPr>
      <t>TANF</t>
    </r>
    <r>
      <rPr>
        <sz val="11"/>
        <color theme="1"/>
        <rFont val="Calibri"/>
        <family val="2"/>
        <scheme val="minor"/>
      </rPr>
      <t xml:space="preserve"> - Temporary assistance for needy families
</t>
    </r>
    <r>
      <rPr>
        <b/>
        <sz val="11"/>
        <color theme="1"/>
        <rFont val="Calibri"/>
        <family val="2"/>
        <scheme val="minor"/>
      </rPr>
      <t>Agricultural</t>
    </r>
    <r>
      <rPr>
        <sz val="11"/>
        <color theme="1"/>
        <rFont val="Calibri"/>
        <family val="2"/>
        <scheme val="minor"/>
      </rPr>
      <t xml:space="preserve"> - Agricultural
</t>
    </r>
    <r>
      <rPr>
        <b/>
        <sz val="11"/>
        <color theme="1"/>
        <rFont val="Calibri"/>
        <family val="2"/>
        <scheme val="minor"/>
      </rPr>
      <t>Other</t>
    </r>
    <r>
      <rPr>
        <sz val="11"/>
        <color theme="1"/>
        <rFont val="Calibri"/>
        <family val="2"/>
        <scheme val="minor"/>
      </rPr>
      <t xml:space="preserve"> - Other
</t>
    </r>
  </si>
  <si>
    <r>
      <t>ELL</t>
    </r>
    <r>
      <rPr>
        <sz val="11"/>
        <color theme="1"/>
        <rFont val="Calibri"/>
        <family val="2"/>
        <scheme val="minor"/>
      </rPr>
      <t xml:space="preserve"> - English language learners
</t>
    </r>
    <r>
      <rPr>
        <b/>
        <sz val="11"/>
        <color theme="1"/>
        <rFont val="Calibri"/>
        <family val="2"/>
        <scheme val="minor"/>
      </rPr>
      <t>CWD</t>
    </r>
    <r>
      <rPr>
        <sz val="11"/>
        <color theme="1"/>
        <rFont val="Calibri"/>
        <family val="2"/>
        <scheme val="minor"/>
      </rPr>
      <t xml:space="preserve"> - Children with disabilities
</t>
    </r>
    <r>
      <rPr>
        <b/>
        <sz val="11"/>
        <color theme="1"/>
        <rFont val="Calibri"/>
        <family val="2"/>
        <scheme val="minor"/>
      </rPr>
      <t>Homeless</t>
    </r>
    <r>
      <rPr>
        <sz val="11"/>
        <color theme="1"/>
        <rFont val="Calibri"/>
        <family val="2"/>
        <scheme val="minor"/>
      </rPr>
      <t xml:space="preserve"> - Homeless
</t>
    </r>
    <r>
      <rPr>
        <b/>
        <sz val="11"/>
        <color theme="1"/>
        <rFont val="Calibri"/>
        <family val="2"/>
        <scheme val="minor"/>
      </rPr>
      <t>MentalHealth</t>
    </r>
    <r>
      <rPr>
        <sz val="11"/>
        <color theme="1"/>
        <rFont val="Calibri"/>
        <family val="2"/>
        <scheme val="minor"/>
      </rPr>
      <t xml:space="preserve"> - Mental health
</t>
    </r>
    <r>
      <rPr>
        <b/>
        <sz val="11"/>
        <color theme="1"/>
        <rFont val="Calibri"/>
        <family val="2"/>
        <scheme val="minor"/>
      </rPr>
      <t>SpecialHealthNeeds</t>
    </r>
    <r>
      <rPr>
        <sz val="11"/>
        <color theme="1"/>
        <rFont val="Calibri"/>
        <family val="2"/>
        <scheme val="minor"/>
      </rPr>
      <t xml:space="preserve"> - Special health needs
</t>
    </r>
    <r>
      <rPr>
        <b/>
        <sz val="11"/>
        <color theme="1"/>
        <rFont val="Calibri"/>
        <family val="2"/>
        <scheme val="minor"/>
      </rPr>
      <t>Foster</t>
    </r>
    <r>
      <rPr>
        <sz val="11"/>
        <color theme="1"/>
        <rFont val="Calibri"/>
        <family val="2"/>
        <scheme val="minor"/>
      </rPr>
      <t xml:space="preserve"> - Foster
</t>
    </r>
    <r>
      <rPr>
        <b/>
        <sz val="11"/>
        <color theme="1"/>
        <rFont val="Calibri"/>
        <family val="2"/>
        <scheme val="minor"/>
      </rPr>
      <t>Other</t>
    </r>
    <r>
      <rPr>
        <sz val="11"/>
        <color theme="1"/>
        <rFont val="Calibri"/>
        <family val="2"/>
        <scheme val="minor"/>
      </rPr>
      <t xml:space="preserve"> - Other
</t>
    </r>
  </si>
  <si>
    <r>
      <t>3TO5</t>
    </r>
    <r>
      <rPr>
        <sz val="11"/>
        <color theme="1"/>
        <rFont val="Calibri"/>
        <family val="2"/>
        <scheme val="minor"/>
      </rPr>
      <t xml:space="preserve"> - 3 through 5
</t>
    </r>
    <r>
      <rPr>
        <b/>
        <sz val="11"/>
        <color theme="1"/>
        <rFont val="Calibri"/>
        <family val="2"/>
        <scheme val="minor"/>
      </rPr>
      <t>6TO21</t>
    </r>
    <r>
      <rPr>
        <sz val="11"/>
        <color theme="1"/>
        <rFont val="Calibri"/>
        <family val="2"/>
        <scheme val="minor"/>
      </rPr>
      <t xml:space="preserve"> - 6 through 21
</t>
    </r>
  </si>
  <si>
    <r>
      <t>HighSchoolDiploma</t>
    </r>
    <r>
      <rPr>
        <sz val="11"/>
        <color theme="1"/>
        <rFont val="Calibri"/>
        <family val="2"/>
        <scheme val="minor"/>
      </rPr>
      <t xml:space="preserve"> - Graduated with regular high school diploma
</t>
    </r>
    <r>
      <rPr>
        <b/>
        <sz val="11"/>
        <color theme="1"/>
        <rFont val="Calibri"/>
        <family val="2"/>
        <scheme val="minor"/>
      </rPr>
      <t>ReceivedCertificate</t>
    </r>
    <r>
      <rPr>
        <sz val="11"/>
        <color theme="1"/>
        <rFont val="Calibri"/>
        <family val="2"/>
        <scheme val="minor"/>
      </rPr>
      <t xml:space="preserve"> - Received a certificate
</t>
    </r>
    <r>
      <rPr>
        <b/>
        <sz val="11"/>
        <color theme="1"/>
        <rFont val="Calibri"/>
        <family val="2"/>
        <scheme val="minor"/>
      </rPr>
      <t>ReachedMaximumAge</t>
    </r>
    <r>
      <rPr>
        <sz val="11"/>
        <color theme="1"/>
        <rFont val="Calibri"/>
        <family val="2"/>
        <scheme val="minor"/>
      </rPr>
      <t xml:space="preserve"> - Reached maximum age
</t>
    </r>
    <r>
      <rPr>
        <b/>
        <sz val="11"/>
        <color theme="1"/>
        <rFont val="Calibri"/>
        <family val="2"/>
        <scheme val="minor"/>
      </rPr>
      <t>Died</t>
    </r>
    <r>
      <rPr>
        <sz val="11"/>
        <color theme="1"/>
        <rFont val="Calibri"/>
        <family val="2"/>
        <scheme val="minor"/>
      </rPr>
      <t xml:space="preserve"> - Died
</t>
    </r>
    <r>
      <rPr>
        <b/>
        <sz val="11"/>
        <color theme="1"/>
        <rFont val="Calibri"/>
        <family val="2"/>
        <scheme val="minor"/>
      </rPr>
      <t>MovedAndContinuing</t>
    </r>
    <r>
      <rPr>
        <sz val="11"/>
        <color theme="1"/>
        <rFont val="Calibri"/>
        <family val="2"/>
        <scheme val="minor"/>
      </rPr>
      <t xml:space="preserve"> - Moved, known to be continuing
</t>
    </r>
    <r>
      <rPr>
        <b/>
        <sz val="11"/>
        <color theme="1"/>
        <rFont val="Calibri"/>
        <family val="2"/>
        <scheme val="minor"/>
      </rPr>
      <t>DroppedOut</t>
    </r>
    <r>
      <rPr>
        <sz val="11"/>
        <color theme="1"/>
        <rFont val="Calibri"/>
        <family val="2"/>
        <scheme val="minor"/>
      </rPr>
      <t xml:space="preserve"> - Dropped out
</t>
    </r>
    <r>
      <rPr>
        <b/>
        <sz val="11"/>
        <color theme="1"/>
        <rFont val="Calibri"/>
        <family val="2"/>
        <scheme val="minor"/>
      </rPr>
      <t>Transferred</t>
    </r>
    <r>
      <rPr>
        <sz val="11"/>
        <color theme="1"/>
        <rFont val="Calibri"/>
        <family val="2"/>
        <scheme val="minor"/>
      </rPr>
      <t xml:space="preserve"> - Transferred to regular education
</t>
    </r>
    <r>
      <rPr>
        <b/>
        <sz val="11"/>
        <color theme="1"/>
        <rFont val="Calibri"/>
        <family val="2"/>
        <scheme val="minor"/>
      </rPr>
      <t>PartCNoLongerEligible</t>
    </r>
    <r>
      <rPr>
        <sz val="11"/>
        <color theme="1"/>
        <rFont val="Calibri"/>
        <family val="2"/>
        <scheme val="minor"/>
      </rPr>
      <t xml:space="preserve"> - No longer eligible for Part C prior to reaching age three.
</t>
    </r>
    <r>
      <rPr>
        <b/>
        <sz val="11"/>
        <color theme="1"/>
        <rFont val="Calibri"/>
        <family val="2"/>
        <scheme val="minor"/>
      </rPr>
      <t>PartBEligibleExitingPartC</t>
    </r>
    <r>
      <rPr>
        <sz val="11"/>
        <color theme="1"/>
        <rFont val="Calibri"/>
        <family val="2"/>
        <scheme val="minor"/>
      </rPr>
      <t xml:space="preserve"> - Part B eligible, exiting Part C.
</t>
    </r>
    <r>
      <rPr>
        <b/>
        <sz val="11"/>
        <color theme="1"/>
        <rFont val="Calibri"/>
        <family val="2"/>
        <scheme val="minor"/>
      </rPr>
      <t>PartBEligibleContinuingPartC</t>
    </r>
    <r>
      <rPr>
        <sz val="11"/>
        <color theme="1"/>
        <rFont val="Calibri"/>
        <family val="2"/>
        <scheme val="minor"/>
      </rPr>
      <t xml:space="preserve"> - Part B eligible, continuing in Part C.
</t>
    </r>
    <r>
      <rPr>
        <b/>
        <sz val="11"/>
        <color theme="1"/>
        <rFont val="Calibri"/>
        <family val="2"/>
        <scheme val="minor"/>
      </rPr>
      <t>NotPartBElgibleExitingPartCWithReferrrals</t>
    </r>
    <r>
      <rPr>
        <sz val="11"/>
        <color theme="1"/>
        <rFont val="Calibri"/>
        <family val="2"/>
        <scheme val="minor"/>
      </rPr>
      <t xml:space="preserve"> - Not eligible for Part B, exit with referrals to other programs.
</t>
    </r>
    <r>
      <rPr>
        <b/>
        <sz val="11"/>
        <color theme="1"/>
        <rFont val="Calibri"/>
        <family val="2"/>
        <scheme val="minor"/>
      </rPr>
      <t>NotPartBElgibleExitingPartCWithoutReferrrals</t>
    </r>
    <r>
      <rPr>
        <sz val="11"/>
        <color theme="1"/>
        <rFont val="Calibri"/>
        <family val="2"/>
        <scheme val="minor"/>
      </rPr>
      <t xml:space="preserve"> - Not eligible for Part B, exit with no referrals.
</t>
    </r>
    <r>
      <rPr>
        <b/>
        <sz val="11"/>
        <color theme="1"/>
        <rFont val="Calibri"/>
        <family val="2"/>
        <scheme val="minor"/>
      </rPr>
      <t>PartBEligibilityNotDeterminedExitingPartC</t>
    </r>
    <r>
      <rPr>
        <sz val="11"/>
        <color theme="1"/>
        <rFont val="Calibri"/>
        <family val="2"/>
        <scheme val="minor"/>
      </rPr>
      <t xml:space="preserve"> - Part B eligibility not determined.
</t>
    </r>
    <r>
      <rPr>
        <b/>
        <sz val="11"/>
        <color theme="1"/>
        <rFont val="Calibri"/>
        <family val="2"/>
        <scheme val="minor"/>
      </rPr>
      <t>WithdrawalByParent</t>
    </r>
    <r>
      <rPr>
        <sz val="11"/>
        <color theme="1"/>
        <rFont val="Calibri"/>
        <family val="2"/>
        <scheme val="minor"/>
      </rPr>
      <t xml:space="preserve"> - Withdrawal by parent (or guardian).
</t>
    </r>
    <r>
      <rPr>
        <b/>
        <sz val="11"/>
        <color theme="1"/>
        <rFont val="Calibri"/>
        <family val="2"/>
        <scheme val="minor"/>
      </rPr>
      <t>MovedOutOfState</t>
    </r>
    <r>
      <rPr>
        <sz val="11"/>
        <color theme="1"/>
        <rFont val="Calibri"/>
        <family val="2"/>
        <scheme val="minor"/>
      </rPr>
      <t xml:space="preserve"> - Moved out of State
</t>
    </r>
    <r>
      <rPr>
        <b/>
        <sz val="11"/>
        <color theme="1"/>
        <rFont val="Calibri"/>
        <family val="2"/>
        <scheme val="minor"/>
      </rPr>
      <t>Unreachable</t>
    </r>
    <r>
      <rPr>
        <sz val="11"/>
        <color theme="1"/>
        <rFont val="Calibri"/>
        <family val="2"/>
        <scheme val="minor"/>
      </rPr>
      <t xml:space="preserve"> - Attempts to contact the parent and/or child were unsuccessful.
</t>
    </r>
  </si>
  <si>
    <r>
      <t>PSYCH</t>
    </r>
    <r>
      <rPr>
        <sz val="11"/>
        <color theme="1"/>
        <rFont val="Calibri"/>
        <family val="2"/>
        <scheme val="minor"/>
      </rPr>
      <t xml:space="preserve"> - Psychologists
</t>
    </r>
    <r>
      <rPr>
        <b/>
        <sz val="11"/>
        <color theme="1"/>
        <rFont val="Calibri"/>
        <family val="2"/>
        <scheme val="minor"/>
      </rPr>
      <t>SOCIALWORK</t>
    </r>
    <r>
      <rPr>
        <sz val="11"/>
        <color theme="1"/>
        <rFont val="Calibri"/>
        <family val="2"/>
        <scheme val="minor"/>
      </rPr>
      <t xml:space="preserve"> - Social Workers
</t>
    </r>
    <r>
      <rPr>
        <b/>
        <sz val="11"/>
        <color theme="1"/>
        <rFont val="Calibri"/>
        <family val="2"/>
        <scheme val="minor"/>
      </rPr>
      <t>OCCTHERAP</t>
    </r>
    <r>
      <rPr>
        <sz val="11"/>
        <color theme="1"/>
        <rFont val="Calibri"/>
        <family val="2"/>
        <scheme val="minor"/>
      </rPr>
      <t xml:space="preserve"> - Occupational Therapists
</t>
    </r>
    <r>
      <rPr>
        <b/>
        <sz val="11"/>
        <color theme="1"/>
        <rFont val="Calibri"/>
        <family val="2"/>
        <scheme val="minor"/>
      </rPr>
      <t>AUDIO</t>
    </r>
    <r>
      <rPr>
        <sz val="11"/>
        <color theme="1"/>
        <rFont val="Calibri"/>
        <family val="2"/>
        <scheme val="minor"/>
      </rPr>
      <t xml:space="preserve"> - Audiologists
</t>
    </r>
    <r>
      <rPr>
        <b/>
        <sz val="11"/>
        <color theme="1"/>
        <rFont val="Calibri"/>
        <family val="2"/>
        <scheme val="minor"/>
      </rPr>
      <t>PEANDREC</t>
    </r>
    <r>
      <rPr>
        <sz val="11"/>
        <color theme="1"/>
        <rFont val="Calibri"/>
        <family val="2"/>
        <scheme val="minor"/>
      </rPr>
      <t xml:space="preserve"> - Physical Education Teachers and Recreation and Therapeutic Recreation Specialists
</t>
    </r>
    <r>
      <rPr>
        <b/>
        <sz val="11"/>
        <color theme="1"/>
        <rFont val="Calibri"/>
        <family val="2"/>
        <scheme val="minor"/>
      </rPr>
      <t>PHYSTHERAP</t>
    </r>
    <r>
      <rPr>
        <sz val="11"/>
        <color theme="1"/>
        <rFont val="Calibri"/>
        <family val="2"/>
        <scheme val="minor"/>
      </rPr>
      <t xml:space="preserve"> - Physical Therapists
</t>
    </r>
    <r>
      <rPr>
        <b/>
        <sz val="11"/>
        <color theme="1"/>
        <rFont val="Calibri"/>
        <family val="2"/>
        <scheme val="minor"/>
      </rPr>
      <t>SPEECHPATH</t>
    </r>
    <r>
      <rPr>
        <sz val="11"/>
        <color theme="1"/>
        <rFont val="Calibri"/>
        <family val="2"/>
        <scheme val="minor"/>
      </rPr>
      <t xml:space="preserve"> - Speech-Language Pathologists
</t>
    </r>
    <r>
      <rPr>
        <b/>
        <sz val="11"/>
        <color theme="1"/>
        <rFont val="Calibri"/>
        <family val="2"/>
        <scheme val="minor"/>
      </rPr>
      <t>INTERPRET</t>
    </r>
    <r>
      <rPr>
        <sz val="11"/>
        <color theme="1"/>
        <rFont val="Calibri"/>
        <family val="2"/>
        <scheme val="minor"/>
      </rPr>
      <t xml:space="preserve"> - Interpreters
</t>
    </r>
    <r>
      <rPr>
        <b/>
        <sz val="11"/>
        <color theme="1"/>
        <rFont val="Calibri"/>
        <family val="2"/>
        <scheme val="minor"/>
      </rPr>
      <t>COUNSELOR</t>
    </r>
    <r>
      <rPr>
        <sz val="11"/>
        <color theme="1"/>
        <rFont val="Calibri"/>
        <family val="2"/>
        <scheme val="minor"/>
      </rPr>
      <t xml:space="preserve"> - Counselors and Rehabilitation Counselors
</t>
    </r>
    <r>
      <rPr>
        <b/>
        <sz val="11"/>
        <color theme="1"/>
        <rFont val="Calibri"/>
        <family val="2"/>
        <scheme val="minor"/>
      </rPr>
      <t>ORIENTMOBIL</t>
    </r>
    <r>
      <rPr>
        <sz val="11"/>
        <color theme="1"/>
        <rFont val="Calibri"/>
        <family val="2"/>
        <scheme val="minor"/>
      </rPr>
      <t xml:space="preserve"> - Orientation and Mobility Specialists
</t>
    </r>
    <r>
      <rPr>
        <b/>
        <sz val="11"/>
        <color theme="1"/>
        <rFont val="Calibri"/>
        <family val="2"/>
        <scheme val="minor"/>
      </rPr>
      <t>MEDNURSE</t>
    </r>
    <r>
      <rPr>
        <sz val="11"/>
        <color theme="1"/>
        <rFont val="Calibri"/>
        <family val="2"/>
        <scheme val="minor"/>
      </rPr>
      <t xml:space="preserve"> - Medical/Nursing Service Staff
</t>
    </r>
  </si>
  <si>
    <r>
      <t>SSN</t>
    </r>
    <r>
      <rPr>
        <sz val="11"/>
        <color theme="1"/>
        <rFont val="Calibri"/>
        <family val="2"/>
        <scheme val="minor"/>
      </rPr>
      <t xml:space="preserve"> - Social Security Administration number
</t>
    </r>
    <r>
      <rPr>
        <b/>
        <sz val="11"/>
        <color theme="1"/>
        <rFont val="Calibri"/>
        <family val="2"/>
        <scheme val="minor"/>
      </rPr>
      <t>USVisa</t>
    </r>
    <r>
      <rPr>
        <sz val="11"/>
        <color theme="1"/>
        <rFont val="Calibri"/>
        <family val="2"/>
        <scheme val="minor"/>
      </rPr>
      <t xml:space="preserve"> - US government Visa number
</t>
    </r>
    <r>
      <rPr>
        <b/>
        <sz val="11"/>
        <color theme="1"/>
        <rFont val="Calibri"/>
        <family val="2"/>
        <scheme val="minor"/>
      </rPr>
      <t>PIN</t>
    </r>
    <r>
      <rPr>
        <sz val="11"/>
        <color theme="1"/>
        <rFont val="Calibri"/>
        <family val="2"/>
        <scheme val="minor"/>
      </rPr>
      <t xml:space="preserve"> - Personal identification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DriversLicense</t>
    </r>
    <r>
      <rPr>
        <sz val="11"/>
        <color theme="1"/>
        <rFont val="Calibri"/>
        <family val="2"/>
        <scheme val="minor"/>
      </rPr>
      <t xml:space="preserve"> - Driver's license number
</t>
    </r>
    <r>
      <rPr>
        <b/>
        <sz val="11"/>
        <color theme="1"/>
        <rFont val="Calibri"/>
        <family val="2"/>
        <scheme val="minor"/>
      </rPr>
      <t>Medicaid</t>
    </r>
    <r>
      <rPr>
        <sz val="11"/>
        <color theme="1"/>
        <rFont val="Calibri"/>
        <family val="2"/>
        <scheme val="minor"/>
      </rPr>
      <t xml:space="preserve"> - Medicaid number
</t>
    </r>
    <r>
      <rPr>
        <b/>
        <sz val="11"/>
        <color theme="1"/>
        <rFont val="Calibri"/>
        <family val="2"/>
        <scheme val="minor"/>
      </rPr>
      <t>HealthRecord</t>
    </r>
    <r>
      <rPr>
        <sz val="11"/>
        <color theme="1"/>
        <rFont val="Calibri"/>
        <family val="2"/>
        <scheme val="minor"/>
      </rPr>
      <t xml:space="preserve"> - Health record number
</t>
    </r>
    <r>
      <rPr>
        <b/>
        <sz val="11"/>
        <color theme="1"/>
        <rFont val="Calibri"/>
        <family val="2"/>
        <scheme val="minor"/>
      </rPr>
      <t>ProfessionalCertificate</t>
    </r>
    <r>
      <rPr>
        <sz val="11"/>
        <color theme="1"/>
        <rFont val="Calibri"/>
        <family val="2"/>
        <scheme val="minor"/>
      </rPr>
      <t xml:space="preserve"> - Professional certificate or license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OtherFederal</t>
    </r>
    <r>
      <rPr>
        <sz val="11"/>
        <color theme="1"/>
        <rFont val="Calibri"/>
        <family val="2"/>
        <scheme val="minor"/>
      </rPr>
      <t xml:space="preserve"> - Other federally assigned number
</t>
    </r>
    <r>
      <rPr>
        <b/>
        <sz val="11"/>
        <color theme="1"/>
        <rFont val="Calibri"/>
        <family val="2"/>
        <scheme val="minor"/>
      </rPr>
      <t>SelectiveService</t>
    </r>
    <r>
      <rPr>
        <sz val="11"/>
        <color theme="1"/>
        <rFont val="Calibri"/>
        <family val="2"/>
        <scheme val="minor"/>
      </rPr>
      <t xml:space="preserve"> - Selective Service Number
</t>
    </r>
    <r>
      <rPr>
        <b/>
        <sz val="11"/>
        <color theme="1"/>
        <rFont val="Calibri"/>
        <family val="2"/>
        <scheme val="minor"/>
      </rPr>
      <t>CanadianSIN</t>
    </r>
    <r>
      <rPr>
        <sz val="11"/>
        <color theme="1"/>
        <rFont val="Calibri"/>
        <family val="2"/>
        <scheme val="minor"/>
      </rPr>
      <t xml:space="preserve"> - Canadian Social Insurance Number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</si>
  <si>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Alabama
</t>
    </r>
    <r>
      <rPr>
        <b/>
        <sz val="11"/>
        <color theme="1"/>
        <rFont val="Calibri"/>
        <family val="2"/>
        <scheme val="minor"/>
      </rPr>
      <t>02</t>
    </r>
    <r>
      <rPr>
        <sz val="11"/>
        <color theme="1"/>
        <rFont val="Calibri"/>
        <family val="2"/>
        <scheme val="minor"/>
      </rPr>
      <t xml:space="preserve"> - Alaska
</t>
    </r>
    <r>
      <rPr>
        <b/>
        <sz val="11"/>
        <color theme="1"/>
        <rFont val="Calibri"/>
        <family val="2"/>
        <scheme val="minor"/>
      </rPr>
      <t>04</t>
    </r>
    <r>
      <rPr>
        <sz val="11"/>
        <color theme="1"/>
        <rFont val="Calibri"/>
        <family val="2"/>
        <scheme val="minor"/>
      </rPr>
      <t xml:space="preserve"> - Arizona
</t>
    </r>
    <r>
      <rPr>
        <b/>
        <sz val="11"/>
        <color theme="1"/>
        <rFont val="Calibri"/>
        <family val="2"/>
        <scheme val="minor"/>
      </rPr>
      <t>05</t>
    </r>
    <r>
      <rPr>
        <sz val="11"/>
        <color theme="1"/>
        <rFont val="Calibri"/>
        <family val="2"/>
        <scheme val="minor"/>
      </rPr>
      <t xml:space="preserve"> - Arkansas
</t>
    </r>
    <r>
      <rPr>
        <b/>
        <sz val="11"/>
        <color theme="1"/>
        <rFont val="Calibri"/>
        <family val="2"/>
        <scheme val="minor"/>
      </rPr>
      <t>06</t>
    </r>
    <r>
      <rPr>
        <sz val="11"/>
        <color theme="1"/>
        <rFont val="Calibri"/>
        <family val="2"/>
        <scheme val="minor"/>
      </rPr>
      <t xml:space="preserve"> - California
</t>
    </r>
    <r>
      <rPr>
        <b/>
        <sz val="11"/>
        <color theme="1"/>
        <rFont val="Calibri"/>
        <family val="2"/>
        <scheme val="minor"/>
      </rPr>
      <t>08</t>
    </r>
    <r>
      <rPr>
        <sz val="11"/>
        <color theme="1"/>
        <rFont val="Calibri"/>
        <family val="2"/>
        <scheme val="minor"/>
      </rPr>
      <t xml:space="preserve"> - Colorado
</t>
    </r>
    <r>
      <rPr>
        <b/>
        <sz val="11"/>
        <color theme="1"/>
        <rFont val="Calibri"/>
        <family val="2"/>
        <scheme val="minor"/>
      </rPr>
      <t>09</t>
    </r>
    <r>
      <rPr>
        <sz val="11"/>
        <color theme="1"/>
        <rFont val="Calibri"/>
        <family val="2"/>
        <scheme val="minor"/>
      </rPr>
      <t xml:space="preserve"> - Connecticut
</t>
    </r>
    <r>
      <rPr>
        <b/>
        <sz val="11"/>
        <color theme="1"/>
        <rFont val="Calibri"/>
        <family val="2"/>
        <scheme val="minor"/>
      </rPr>
      <t>10</t>
    </r>
    <r>
      <rPr>
        <sz val="11"/>
        <color theme="1"/>
        <rFont val="Calibri"/>
        <family val="2"/>
        <scheme val="minor"/>
      </rPr>
      <t xml:space="preserve"> - Delaware
</t>
    </r>
    <r>
      <rPr>
        <b/>
        <sz val="11"/>
        <color theme="1"/>
        <rFont val="Calibri"/>
        <family val="2"/>
        <scheme val="minor"/>
      </rPr>
      <t>11</t>
    </r>
    <r>
      <rPr>
        <sz val="11"/>
        <color theme="1"/>
        <rFont val="Calibri"/>
        <family val="2"/>
        <scheme val="minor"/>
      </rPr>
      <t xml:space="preserve"> - District of Columbia
</t>
    </r>
    <r>
      <rPr>
        <b/>
        <sz val="11"/>
        <color theme="1"/>
        <rFont val="Calibri"/>
        <family val="2"/>
        <scheme val="minor"/>
      </rPr>
      <t>12</t>
    </r>
    <r>
      <rPr>
        <sz val="11"/>
        <color theme="1"/>
        <rFont val="Calibri"/>
        <family val="2"/>
        <scheme val="minor"/>
      </rPr>
      <t xml:space="preserve"> - Florida
</t>
    </r>
    <r>
      <rPr>
        <b/>
        <sz val="11"/>
        <color theme="1"/>
        <rFont val="Calibri"/>
        <family val="2"/>
        <scheme val="minor"/>
      </rPr>
      <t>13</t>
    </r>
    <r>
      <rPr>
        <sz val="11"/>
        <color theme="1"/>
        <rFont val="Calibri"/>
        <family val="2"/>
        <scheme val="minor"/>
      </rPr>
      <t xml:space="preserve"> - Georgia
</t>
    </r>
    <r>
      <rPr>
        <b/>
        <sz val="11"/>
        <color theme="1"/>
        <rFont val="Calibri"/>
        <family val="2"/>
        <scheme val="minor"/>
      </rPr>
      <t>15</t>
    </r>
    <r>
      <rPr>
        <sz val="11"/>
        <color theme="1"/>
        <rFont val="Calibri"/>
        <family val="2"/>
        <scheme val="minor"/>
      </rPr>
      <t xml:space="preserve"> - Hawaii
</t>
    </r>
    <r>
      <rPr>
        <b/>
        <sz val="11"/>
        <color theme="1"/>
        <rFont val="Calibri"/>
        <family val="2"/>
        <scheme val="minor"/>
      </rPr>
      <t>16</t>
    </r>
    <r>
      <rPr>
        <sz val="11"/>
        <color theme="1"/>
        <rFont val="Calibri"/>
        <family val="2"/>
        <scheme val="minor"/>
      </rPr>
      <t xml:space="preserve"> - Idaho
</t>
    </r>
    <r>
      <rPr>
        <b/>
        <sz val="11"/>
        <color theme="1"/>
        <rFont val="Calibri"/>
        <family val="2"/>
        <scheme val="minor"/>
      </rPr>
      <t>17</t>
    </r>
    <r>
      <rPr>
        <sz val="11"/>
        <color theme="1"/>
        <rFont val="Calibri"/>
        <family val="2"/>
        <scheme val="minor"/>
      </rPr>
      <t xml:space="preserve"> - Illinois
</t>
    </r>
    <r>
      <rPr>
        <b/>
        <sz val="11"/>
        <color theme="1"/>
        <rFont val="Calibri"/>
        <family val="2"/>
        <scheme val="minor"/>
      </rPr>
      <t>18</t>
    </r>
    <r>
      <rPr>
        <sz val="11"/>
        <color theme="1"/>
        <rFont val="Calibri"/>
        <family val="2"/>
        <scheme val="minor"/>
      </rPr>
      <t xml:space="preserve"> - Indiana
</t>
    </r>
    <r>
      <rPr>
        <b/>
        <sz val="11"/>
        <color theme="1"/>
        <rFont val="Calibri"/>
        <family val="2"/>
        <scheme val="minor"/>
      </rPr>
      <t>19</t>
    </r>
    <r>
      <rPr>
        <sz val="11"/>
        <color theme="1"/>
        <rFont val="Calibri"/>
        <family val="2"/>
        <scheme val="minor"/>
      </rPr>
      <t xml:space="preserve"> - Iowa
</t>
    </r>
    <r>
      <rPr>
        <b/>
        <sz val="11"/>
        <color theme="1"/>
        <rFont val="Calibri"/>
        <family val="2"/>
        <scheme val="minor"/>
      </rPr>
      <t>20</t>
    </r>
    <r>
      <rPr>
        <sz val="11"/>
        <color theme="1"/>
        <rFont val="Calibri"/>
        <family val="2"/>
        <scheme val="minor"/>
      </rPr>
      <t xml:space="preserve"> - Kansas 
</t>
    </r>
    <r>
      <rPr>
        <b/>
        <sz val="11"/>
        <color theme="1"/>
        <rFont val="Calibri"/>
        <family val="2"/>
        <scheme val="minor"/>
      </rPr>
      <t>21</t>
    </r>
    <r>
      <rPr>
        <sz val="11"/>
        <color theme="1"/>
        <rFont val="Calibri"/>
        <family val="2"/>
        <scheme val="minor"/>
      </rPr>
      <t xml:space="preserve"> - Kentucky
</t>
    </r>
    <r>
      <rPr>
        <b/>
        <sz val="11"/>
        <color theme="1"/>
        <rFont val="Calibri"/>
        <family val="2"/>
        <scheme val="minor"/>
      </rPr>
      <t>22</t>
    </r>
    <r>
      <rPr>
        <sz val="11"/>
        <color theme="1"/>
        <rFont val="Calibri"/>
        <family val="2"/>
        <scheme val="minor"/>
      </rPr>
      <t xml:space="preserve"> - Louisiana
</t>
    </r>
    <r>
      <rPr>
        <b/>
        <sz val="11"/>
        <color theme="1"/>
        <rFont val="Calibri"/>
        <family val="2"/>
        <scheme val="minor"/>
      </rPr>
      <t>23</t>
    </r>
    <r>
      <rPr>
        <sz val="11"/>
        <color theme="1"/>
        <rFont val="Calibri"/>
        <family val="2"/>
        <scheme val="minor"/>
      </rPr>
      <t xml:space="preserve"> - Maine
</t>
    </r>
    <r>
      <rPr>
        <b/>
        <sz val="11"/>
        <color theme="1"/>
        <rFont val="Calibri"/>
        <family val="2"/>
        <scheme val="minor"/>
      </rPr>
      <t>24</t>
    </r>
    <r>
      <rPr>
        <sz val="11"/>
        <color theme="1"/>
        <rFont val="Calibri"/>
        <family val="2"/>
        <scheme val="minor"/>
      </rPr>
      <t xml:space="preserve"> - Maryland
</t>
    </r>
    <r>
      <rPr>
        <b/>
        <sz val="11"/>
        <color theme="1"/>
        <rFont val="Calibri"/>
        <family val="2"/>
        <scheme val="minor"/>
      </rPr>
      <t>25</t>
    </r>
    <r>
      <rPr>
        <sz val="11"/>
        <color theme="1"/>
        <rFont val="Calibri"/>
        <family val="2"/>
        <scheme val="minor"/>
      </rPr>
      <t xml:space="preserve"> - Massachusetts
</t>
    </r>
    <r>
      <rPr>
        <b/>
        <sz val="11"/>
        <color theme="1"/>
        <rFont val="Calibri"/>
        <family val="2"/>
        <scheme val="minor"/>
      </rPr>
      <t>26</t>
    </r>
    <r>
      <rPr>
        <sz val="11"/>
        <color theme="1"/>
        <rFont val="Calibri"/>
        <family val="2"/>
        <scheme val="minor"/>
      </rPr>
      <t xml:space="preserve"> - Michigan
</t>
    </r>
    <r>
      <rPr>
        <b/>
        <sz val="11"/>
        <color theme="1"/>
        <rFont val="Calibri"/>
        <family val="2"/>
        <scheme val="minor"/>
      </rPr>
      <t>27</t>
    </r>
    <r>
      <rPr>
        <sz val="11"/>
        <color theme="1"/>
        <rFont val="Calibri"/>
        <family val="2"/>
        <scheme val="minor"/>
      </rPr>
      <t xml:space="preserve"> - Minnesota
</t>
    </r>
    <r>
      <rPr>
        <b/>
        <sz val="11"/>
        <color theme="1"/>
        <rFont val="Calibri"/>
        <family val="2"/>
        <scheme val="minor"/>
      </rPr>
      <t>28</t>
    </r>
    <r>
      <rPr>
        <sz val="11"/>
        <color theme="1"/>
        <rFont val="Calibri"/>
        <family val="2"/>
        <scheme val="minor"/>
      </rPr>
      <t xml:space="preserve"> - Mississippi
</t>
    </r>
    <r>
      <rPr>
        <b/>
        <sz val="11"/>
        <color theme="1"/>
        <rFont val="Calibri"/>
        <family val="2"/>
        <scheme val="minor"/>
      </rPr>
      <t>29</t>
    </r>
    <r>
      <rPr>
        <sz val="11"/>
        <color theme="1"/>
        <rFont val="Calibri"/>
        <family val="2"/>
        <scheme val="minor"/>
      </rPr>
      <t xml:space="preserve"> - Missouri
</t>
    </r>
    <r>
      <rPr>
        <b/>
        <sz val="11"/>
        <color theme="1"/>
        <rFont val="Calibri"/>
        <family val="2"/>
        <scheme val="minor"/>
      </rPr>
      <t>30</t>
    </r>
    <r>
      <rPr>
        <sz val="11"/>
        <color theme="1"/>
        <rFont val="Calibri"/>
        <family val="2"/>
        <scheme val="minor"/>
      </rPr>
      <t xml:space="preserve"> - Montana
</t>
    </r>
    <r>
      <rPr>
        <b/>
        <sz val="11"/>
        <color theme="1"/>
        <rFont val="Calibri"/>
        <family val="2"/>
        <scheme val="minor"/>
      </rPr>
      <t>31</t>
    </r>
    <r>
      <rPr>
        <sz val="11"/>
        <color theme="1"/>
        <rFont val="Calibri"/>
        <family val="2"/>
        <scheme val="minor"/>
      </rPr>
      <t xml:space="preserve"> - Nebraska
</t>
    </r>
    <r>
      <rPr>
        <b/>
        <sz val="11"/>
        <color theme="1"/>
        <rFont val="Calibri"/>
        <family val="2"/>
        <scheme val="minor"/>
      </rPr>
      <t>32</t>
    </r>
    <r>
      <rPr>
        <sz val="11"/>
        <color theme="1"/>
        <rFont val="Calibri"/>
        <family val="2"/>
        <scheme val="minor"/>
      </rPr>
      <t xml:space="preserve"> - Nevada
</t>
    </r>
    <r>
      <rPr>
        <b/>
        <sz val="11"/>
        <color theme="1"/>
        <rFont val="Calibri"/>
        <family val="2"/>
        <scheme val="minor"/>
      </rPr>
      <t>33</t>
    </r>
    <r>
      <rPr>
        <sz val="11"/>
        <color theme="1"/>
        <rFont val="Calibri"/>
        <family val="2"/>
        <scheme val="minor"/>
      </rPr>
      <t xml:space="preserve"> - New Hampshire
</t>
    </r>
    <r>
      <rPr>
        <b/>
        <sz val="11"/>
        <color theme="1"/>
        <rFont val="Calibri"/>
        <family val="2"/>
        <scheme val="minor"/>
      </rPr>
      <t>34</t>
    </r>
    <r>
      <rPr>
        <sz val="11"/>
        <color theme="1"/>
        <rFont val="Calibri"/>
        <family val="2"/>
        <scheme val="minor"/>
      </rPr>
      <t xml:space="preserve"> - New Jersey
</t>
    </r>
    <r>
      <rPr>
        <b/>
        <sz val="11"/>
        <color theme="1"/>
        <rFont val="Calibri"/>
        <family val="2"/>
        <scheme val="minor"/>
      </rPr>
      <t>35</t>
    </r>
    <r>
      <rPr>
        <sz val="11"/>
        <color theme="1"/>
        <rFont val="Calibri"/>
        <family val="2"/>
        <scheme val="minor"/>
      </rPr>
      <t xml:space="preserve"> - New Mexico
</t>
    </r>
    <r>
      <rPr>
        <b/>
        <sz val="11"/>
        <color theme="1"/>
        <rFont val="Calibri"/>
        <family val="2"/>
        <scheme val="minor"/>
      </rPr>
      <t>36</t>
    </r>
    <r>
      <rPr>
        <sz val="11"/>
        <color theme="1"/>
        <rFont val="Calibri"/>
        <family val="2"/>
        <scheme val="minor"/>
      </rPr>
      <t xml:space="preserve"> - New York
</t>
    </r>
    <r>
      <rPr>
        <b/>
        <sz val="11"/>
        <color theme="1"/>
        <rFont val="Calibri"/>
        <family val="2"/>
        <scheme val="minor"/>
      </rPr>
      <t>37</t>
    </r>
    <r>
      <rPr>
        <sz val="11"/>
        <color theme="1"/>
        <rFont val="Calibri"/>
        <family val="2"/>
        <scheme val="minor"/>
      </rPr>
      <t xml:space="preserve"> - North Carolina
</t>
    </r>
    <r>
      <rPr>
        <b/>
        <sz val="11"/>
        <color theme="1"/>
        <rFont val="Calibri"/>
        <family val="2"/>
        <scheme val="minor"/>
      </rPr>
      <t>38</t>
    </r>
    <r>
      <rPr>
        <sz val="11"/>
        <color theme="1"/>
        <rFont val="Calibri"/>
        <family val="2"/>
        <scheme val="minor"/>
      </rPr>
      <t xml:space="preserve"> - North Dakota
</t>
    </r>
    <r>
      <rPr>
        <b/>
        <sz val="11"/>
        <color theme="1"/>
        <rFont val="Calibri"/>
        <family val="2"/>
        <scheme val="minor"/>
      </rPr>
      <t>39</t>
    </r>
    <r>
      <rPr>
        <sz val="11"/>
        <color theme="1"/>
        <rFont val="Calibri"/>
        <family val="2"/>
        <scheme val="minor"/>
      </rPr>
      <t xml:space="preserve"> - Ohio
</t>
    </r>
    <r>
      <rPr>
        <b/>
        <sz val="11"/>
        <color theme="1"/>
        <rFont val="Calibri"/>
        <family val="2"/>
        <scheme val="minor"/>
      </rPr>
      <t>40</t>
    </r>
    <r>
      <rPr>
        <sz val="11"/>
        <color theme="1"/>
        <rFont val="Calibri"/>
        <family val="2"/>
        <scheme val="minor"/>
      </rPr>
      <t xml:space="preserve"> - Oklahoma
</t>
    </r>
    <r>
      <rPr>
        <b/>
        <sz val="11"/>
        <color theme="1"/>
        <rFont val="Calibri"/>
        <family val="2"/>
        <scheme val="minor"/>
      </rPr>
      <t>41</t>
    </r>
    <r>
      <rPr>
        <sz val="11"/>
        <color theme="1"/>
        <rFont val="Calibri"/>
        <family val="2"/>
        <scheme val="minor"/>
      </rPr>
      <t xml:space="preserve"> - Oregon
</t>
    </r>
    <r>
      <rPr>
        <b/>
        <sz val="11"/>
        <color theme="1"/>
        <rFont val="Calibri"/>
        <family val="2"/>
        <scheme val="minor"/>
      </rPr>
      <t>42</t>
    </r>
    <r>
      <rPr>
        <sz val="11"/>
        <color theme="1"/>
        <rFont val="Calibri"/>
        <family val="2"/>
        <scheme val="minor"/>
      </rPr>
      <t xml:space="preserve"> - Pennsylvania
</t>
    </r>
    <r>
      <rPr>
        <b/>
        <sz val="11"/>
        <color theme="1"/>
        <rFont val="Calibri"/>
        <family val="2"/>
        <scheme val="minor"/>
      </rPr>
      <t>44</t>
    </r>
    <r>
      <rPr>
        <sz val="11"/>
        <color theme="1"/>
        <rFont val="Calibri"/>
        <family val="2"/>
        <scheme val="minor"/>
      </rPr>
      <t xml:space="preserve"> - Rhode Island
</t>
    </r>
    <r>
      <rPr>
        <b/>
        <sz val="11"/>
        <color theme="1"/>
        <rFont val="Calibri"/>
        <family val="2"/>
        <scheme val="minor"/>
      </rPr>
      <t>45</t>
    </r>
    <r>
      <rPr>
        <sz val="11"/>
        <color theme="1"/>
        <rFont val="Calibri"/>
        <family val="2"/>
        <scheme val="minor"/>
      </rPr>
      <t xml:space="preserve"> - South Carolina
</t>
    </r>
    <r>
      <rPr>
        <b/>
        <sz val="11"/>
        <color theme="1"/>
        <rFont val="Calibri"/>
        <family val="2"/>
        <scheme val="minor"/>
      </rPr>
      <t>46</t>
    </r>
    <r>
      <rPr>
        <sz val="11"/>
        <color theme="1"/>
        <rFont val="Calibri"/>
        <family val="2"/>
        <scheme val="minor"/>
      </rPr>
      <t xml:space="preserve"> - South Dakota
</t>
    </r>
    <r>
      <rPr>
        <b/>
        <sz val="11"/>
        <color theme="1"/>
        <rFont val="Calibri"/>
        <family val="2"/>
        <scheme val="minor"/>
      </rPr>
      <t>47</t>
    </r>
    <r>
      <rPr>
        <sz val="11"/>
        <color theme="1"/>
        <rFont val="Calibri"/>
        <family val="2"/>
        <scheme val="minor"/>
      </rPr>
      <t xml:space="preserve"> - Tennessee
</t>
    </r>
    <r>
      <rPr>
        <b/>
        <sz val="11"/>
        <color theme="1"/>
        <rFont val="Calibri"/>
        <family val="2"/>
        <scheme val="minor"/>
      </rPr>
      <t>48</t>
    </r>
    <r>
      <rPr>
        <sz val="11"/>
        <color theme="1"/>
        <rFont val="Calibri"/>
        <family val="2"/>
        <scheme val="minor"/>
      </rPr>
      <t xml:space="preserve"> - Texas
</t>
    </r>
    <r>
      <rPr>
        <b/>
        <sz val="11"/>
        <color theme="1"/>
        <rFont val="Calibri"/>
        <family val="2"/>
        <scheme val="minor"/>
      </rPr>
      <t>49</t>
    </r>
    <r>
      <rPr>
        <sz val="11"/>
        <color theme="1"/>
        <rFont val="Calibri"/>
        <family val="2"/>
        <scheme val="minor"/>
      </rPr>
      <t xml:space="preserve"> - Utah
</t>
    </r>
    <r>
      <rPr>
        <b/>
        <sz val="11"/>
        <color theme="1"/>
        <rFont val="Calibri"/>
        <family val="2"/>
        <scheme val="minor"/>
      </rPr>
      <t>50</t>
    </r>
    <r>
      <rPr>
        <sz val="11"/>
        <color theme="1"/>
        <rFont val="Calibri"/>
        <family val="2"/>
        <scheme val="minor"/>
      </rPr>
      <t xml:space="preserve"> - Vermont
</t>
    </r>
    <r>
      <rPr>
        <b/>
        <sz val="11"/>
        <color theme="1"/>
        <rFont val="Calibri"/>
        <family val="2"/>
        <scheme val="minor"/>
      </rPr>
      <t>51</t>
    </r>
    <r>
      <rPr>
        <sz val="11"/>
        <color theme="1"/>
        <rFont val="Calibri"/>
        <family val="2"/>
        <scheme val="minor"/>
      </rPr>
      <t xml:space="preserve"> - Virginia
</t>
    </r>
    <r>
      <rPr>
        <b/>
        <sz val="11"/>
        <color theme="1"/>
        <rFont val="Calibri"/>
        <family val="2"/>
        <scheme val="minor"/>
      </rPr>
      <t>53</t>
    </r>
    <r>
      <rPr>
        <sz val="11"/>
        <color theme="1"/>
        <rFont val="Calibri"/>
        <family val="2"/>
        <scheme val="minor"/>
      </rPr>
      <t xml:space="preserve"> - Washington
</t>
    </r>
    <r>
      <rPr>
        <b/>
        <sz val="11"/>
        <color theme="1"/>
        <rFont val="Calibri"/>
        <family val="2"/>
        <scheme val="minor"/>
      </rPr>
      <t>54</t>
    </r>
    <r>
      <rPr>
        <sz val="11"/>
        <color theme="1"/>
        <rFont val="Calibri"/>
        <family val="2"/>
        <scheme val="minor"/>
      </rPr>
      <t xml:space="preserve"> - West Virginia
</t>
    </r>
    <r>
      <rPr>
        <b/>
        <sz val="11"/>
        <color theme="1"/>
        <rFont val="Calibri"/>
        <family val="2"/>
        <scheme val="minor"/>
      </rPr>
      <t>55</t>
    </r>
    <r>
      <rPr>
        <sz val="11"/>
        <color theme="1"/>
        <rFont val="Calibri"/>
        <family val="2"/>
        <scheme val="minor"/>
      </rPr>
      <t xml:space="preserve"> - Wisconsin
</t>
    </r>
    <r>
      <rPr>
        <b/>
        <sz val="11"/>
        <color theme="1"/>
        <rFont val="Calibri"/>
        <family val="2"/>
        <scheme val="minor"/>
      </rPr>
      <t>56</t>
    </r>
    <r>
      <rPr>
        <sz val="11"/>
        <color theme="1"/>
        <rFont val="Calibri"/>
        <family val="2"/>
        <scheme val="minor"/>
      </rPr>
      <t xml:space="preserve"> - Wyoming
</t>
    </r>
    <r>
      <rPr>
        <b/>
        <sz val="11"/>
        <color theme="1"/>
        <rFont val="Calibri"/>
        <family val="2"/>
        <scheme val="minor"/>
      </rPr>
      <t>60</t>
    </r>
    <r>
      <rPr>
        <sz val="11"/>
        <color theme="1"/>
        <rFont val="Calibri"/>
        <family val="2"/>
        <scheme val="minor"/>
      </rPr>
      <t xml:space="preserve"> - American Samoa
</t>
    </r>
    <r>
      <rPr>
        <b/>
        <sz val="11"/>
        <color theme="1"/>
        <rFont val="Calibri"/>
        <family val="2"/>
        <scheme val="minor"/>
      </rPr>
      <t>64</t>
    </r>
    <r>
      <rPr>
        <sz val="11"/>
        <color theme="1"/>
        <rFont val="Calibri"/>
        <family val="2"/>
        <scheme val="minor"/>
      </rPr>
      <t xml:space="preserve"> - Federated States of Micronesia
</t>
    </r>
    <r>
      <rPr>
        <b/>
        <sz val="11"/>
        <color theme="1"/>
        <rFont val="Calibri"/>
        <family val="2"/>
        <scheme val="minor"/>
      </rPr>
      <t>66</t>
    </r>
    <r>
      <rPr>
        <sz val="11"/>
        <color theme="1"/>
        <rFont val="Calibri"/>
        <family val="2"/>
        <scheme val="minor"/>
      </rPr>
      <t xml:space="preserve"> - Guam
</t>
    </r>
    <r>
      <rPr>
        <b/>
        <sz val="11"/>
        <color theme="1"/>
        <rFont val="Calibri"/>
        <family val="2"/>
        <scheme val="minor"/>
      </rPr>
      <t>68</t>
    </r>
    <r>
      <rPr>
        <sz val="11"/>
        <color theme="1"/>
        <rFont val="Calibri"/>
        <family val="2"/>
        <scheme val="minor"/>
      </rPr>
      <t xml:space="preserve"> - Marshall Islands
</t>
    </r>
    <r>
      <rPr>
        <b/>
        <sz val="11"/>
        <color theme="1"/>
        <rFont val="Calibri"/>
        <family val="2"/>
        <scheme val="minor"/>
      </rPr>
      <t>69</t>
    </r>
    <r>
      <rPr>
        <sz val="11"/>
        <color theme="1"/>
        <rFont val="Calibri"/>
        <family val="2"/>
        <scheme val="minor"/>
      </rPr>
      <t xml:space="preserve"> - Northern Mariana Islands
</t>
    </r>
    <r>
      <rPr>
        <b/>
        <sz val="11"/>
        <color theme="1"/>
        <rFont val="Calibri"/>
        <family val="2"/>
        <scheme val="minor"/>
      </rPr>
      <t>70</t>
    </r>
    <r>
      <rPr>
        <sz val="11"/>
        <color theme="1"/>
        <rFont val="Calibri"/>
        <family val="2"/>
        <scheme val="minor"/>
      </rPr>
      <t xml:space="preserve"> - Palau 
</t>
    </r>
    <r>
      <rPr>
        <b/>
        <sz val="11"/>
        <color theme="1"/>
        <rFont val="Calibri"/>
        <family val="2"/>
        <scheme val="minor"/>
      </rPr>
      <t>72</t>
    </r>
    <r>
      <rPr>
        <sz val="11"/>
        <color theme="1"/>
        <rFont val="Calibri"/>
        <family val="2"/>
        <scheme val="minor"/>
      </rPr>
      <t xml:space="preserve"> - Puerto Rico
</t>
    </r>
    <r>
      <rPr>
        <b/>
        <sz val="11"/>
        <color theme="1"/>
        <rFont val="Calibri"/>
        <family val="2"/>
        <scheme val="minor"/>
      </rPr>
      <t>78</t>
    </r>
    <r>
      <rPr>
        <sz val="11"/>
        <color theme="1"/>
        <rFont val="Calibri"/>
        <family val="2"/>
        <scheme val="minor"/>
      </rPr>
      <t xml:space="preserve"> - Virgin Islands of the U.S.
</t>
    </r>
  </si>
  <si>
    <r>
      <t>HighQuartile</t>
    </r>
    <r>
      <rPr>
        <sz val="11"/>
        <color theme="1"/>
        <rFont val="Calibri"/>
        <family val="2"/>
        <scheme val="minor"/>
      </rPr>
      <t xml:space="preserve"> - High poverty quartile school
</t>
    </r>
    <r>
      <rPr>
        <b/>
        <sz val="11"/>
        <color theme="1"/>
        <rFont val="Calibri"/>
        <family val="2"/>
        <scheme val="minor"/>
      </rPr>
      <t>LowQuartile</t>
    </r>
    <r>
      <rPr>
        <sz val="11"/>
        <color theme="1"/>
        <rFont val="Calibri"/>
        <family val="2"/>
        <scheme val="minor"/>
      </rPr>
      <t xml:space="preserve"> - Low poverty quartile school
</t>
    </r>
    <r>
      <rPr>
        <b/>
        <sz val="11"/>
        <color theme="1"/>
        <rFont val="Calibri"/>
        <family val="2"/>
        <scheme val="minor"/>
      </rPr>
      <t>Neither</t>
    </r>
    <r>
      <rPr>
        <sz val="11"/>
        <color theme="1"/>
        <rFont val="Calibri"/>
        <family val="2"/>
        <scheme val="minor"/>
      </rPr>
      <t xml:space="preserve"> - Neither high nor low poverty quartile school
</t>
    </r>
  </si>
  <si>
    <r>
      <t>CanadianSIN</t>
    </r>
    <r>
      <rPr>
        <sz val="11"/>
        <color theme="1"/>
        <rFont val="Calibri"/>
        <family val="2"/>
        <scheme val="minor"/>
      </rPr>
      <t xml:space="preserve"> - Canadian Social Insurance Number
</t>
    </r>
    <r>
      <rPr>
        <b/>
        <sz val="11"/>
        <color theme="1"/>
        <rFont val="Calibri"/>
        <family val="2"/>
        <scheme val="minor"/>
      </rPr>
      <t>District</t>
    </r>
    <r>
      <rPr>
        <sz val="11"/>
        <color theme="1"/>
        <rFont val="Calibri"/>
        <family val="2"/>
        <scheme val="minor"/>
      </rPr>
      <t xml:space="preserve"> - District-assigned number
</t>
    </r>
    <r>
      <rPr>
        <b/>
        <sz val="11"/>
        <color theme="1"/>
        <rFont val="Calibri"/>
        <family val="2"/>
        <scheme val="minor"/>
      </rPr>
      <t>Family</t>
    </r>
    <r>
      <rPr>
        <sz val="11"/>
        <color theme="1"/>
        <rFont val="Calibri"/>
        <family val="2"/>
        <scheme val="minor"/>
      </rPr>
      <t xml:space="preserve"> - Family unit number
</t>
    </r>
    <r>
      <rPr>
        <b/>
        <sz val="11"/>
        <color theme="1"/>
        <rFont val="Calibri"/>
        <family val="2"/>
        <scheme val="minor"/>
      </rPr>
      <t>Federal</t>
    </r>
    <r>
      <rPr>
        <sz val="11"/>
        <color theme="1"/>
        <rFont val="Calibri"/>
        <family val="2"/>
        <scheme val="minor"/>
      </rPr>
      <t xml:space="preserve"> - Federal identification number
</t>
    </r>
    <r>
      <rPr>
        <b/>
        <sz val="11"/>
        <color theme="1"/>
        <rFont val="Calibri"/>
        <family val="2"/>
        <scheme val="minor"/>
      </rPr>
      <t>NationalMigrant</t>
    </r>
    <r>
      <rPr>
        <sz val="11"/>
        <color theme="1"/>
        <rFont val="Calibri"/>
        <family val="2"/>
        <scheme val="minor"/>
      </rPr>
      <t xml:space="preserve"> - National migrant number
</t>
    </r>
    <r>
      <rPr>
        <b/>
        <sz val="11"/>
        <color theme="1"/>
        <rFont val="Calibri"/>
        <family val="2"/>
        <scheme val="minor"/>
      </rPr>
      <t>School</t>
    </r>
    <r>
      <rPr>
        <sz val="11"/>
        <color theme="1"/>
        <rFont val="Calibri"/>
        <family val="2"/>
        <scheme val="minor"/>
      </rPr>
      <t xml:space="preserve"> - School-assigned number
</t>
    </r>
    <r>
      <rPr>
        <b/>
        <sz val="11"/>
        <color theme="1"/>
        <rFont val="Calibri"/>
        <family val="2"/>
        <scheme val="minor"/>
      </rPr>
      <t>SSN</t>
    </r>
    <r>
      <rPr>
        <sz val="11"/>
        <color theme="1"/>
        <rFont val="Calibri"/>
        <family val="2"/>
        <scheme val="minor"/>
      </rPr>
      <t xml:space="preserve"> - Social Security Administration number
</t>
    </r>
    <r>
      <rPr>
        <b/>
        <sz val="11"/>
        <color theme="1"/>
        <rFont val="Calibri"/>
        <family val="2"/>
        <scheme val="minor"/>
      </rPr>
      <t>State</t>
    </r>
    <r>
      <rPr>
        <sz val="11"/>
        <color theme="1"/>
        <rFont val="Calibri"/>
        <family val="2"/>
        <scheme val="minor"/>
      </rPr>
      <t xml:space="preserve"> - State-assigned number
</t>
    </r>
    <r>
      <rPr>
        <b/>
        <sz val="11"/>
        <color theme="1"/>
        <rFont val="Calibri"/>
        <family val="2"/>
        <scheme val="minor"/>
      </rPr>
      <t>StateMigrant</t>
    </r>
    <r>
      <rPr>
        <sz val="11"/>
        <color theme="1"/>
        <rFont val="Calibri"/>
        <family val="2"/>
        <scheme val="minor"/>
      </rPr>
      <t xml:space="preserve"> - State migrant number
</t>
    </r>
  </si>
  <si>
    <r>
      <t>00290</t>
    </r>
    <r>
      <rPr>
        <sz val="11"/>
        <color theme="1"/>
        <rFont val="Calibri"/>
        <family val="2"/>
        <scheme val="minor"/>
      </rPr>
      <t xml:space="preserve"> - Adaptive physical education
</t>
    </r>
    <r>
      <rPr>
        <b/>
        <sz val="11"/>
        <color theme="1"/>
        <rFont val="Calibri"/>
        <family val="2"/>
        <scheme val="minor"/>
      </rPr>
      <t>00291</t>
    </r>
    <r>
      <rPr>
        <sz val="11"/>
        <color theme="1"/>
        <rFont val="Calibri"/>
        <family val="2"/>
        <scheme val="minor"/>
      </rPr>
      <t xml:space="preserve"> - Art therapy
</t>
    </r>
    <r>
      <rPr>
        <b/>
        <sz val="11"/>
        <color theme="1"/>
        <rFont val="Calibri"/>
        <family val="2"/>
        <scheme val="minor"/>
      </rPr>
      <t>00292</t>
    </r>
    <r>
      <rPr>
        <sz val="11"/>
        <color theme="1"/>
        <rFont val="Calibri"/>
        <family val="2"/>
        <scheme val="minor"/>
      </rPr>
      <t xml:space="preserve"> - Assistive technology services
</t>
    </r>
    <r>
      <rPr>
        <b/>
        <sz val="11"/>
        <color theme="1"/>
        <rFont val="Calibri"/>
        <family val="2"/>
        <scheme val="minor"/>
      </rPr>
      <t>00293</t>
    </r>
    <r>
      <rPr>
        <sz val="11"/>
        <color theme="1"/>
        <rFont val="Calibri"/>
        <family val="2"/>
        <scheme val="minor"/>
      </rPr>
      <t xml:space="preserve"> - Audiological services
</t>
    </r>
    <r>
      <rPr>
        <b/>
        <sz val="11"/>
        <color theme="1"/>
        <rFont val="Calibri"/>
        <family val="2"/>
        <scheme val="minor"/>
      </rPr>
      <t>73050</t>
    </r>
    <r>
      <rPr>
        <sz val="11"/>
        <color theme="1"/>
        <rFont val="Calibri"/>
        <family val="2"/>
        <scheme val="minor"/>
      </rPr>
      <t xml:space="preserve"> - Augmentative Communication Service
</t>
    </r>
    <r>
      <rPr>
        <b/>
        <sz val="11"/>
        <color theme="1"/>
        <rFont val="Calibri"/>
        <family val="2"/>
        <scheme val="minor"/>
      </rPr>
      <t>73051</t>
    </r>
    <r>
      <rPr>
        <sz val="11"/>
        <color theme="1"/>
        <rFont val="Calibri"/>
        <family val="2"/>
        <scheme val="minor"/>
      </rPr>
      <t xml:space="preserve"> - Autism Spectrum Disorder Service
</t>
    </r>
    <r>
      <rPr>
        <b/>
        <sz val="11"/>
        <color theme="1"/>
        <rFont val="Calibri"/>
        <family val="2"/>
        <scheme val="minor"/>
      </rPr>
      <t>73052</t>
    </r>
    <r>
      <rPr>
        <sz val="11"/>
        <color theme="1"/>
        <rFont val="Calibri"/>
        <family val="2"/>
        <scheme val="minor"/>
      </rPr>
      <t xml:space="preserve"> - Behavior and Behavioral Consultation Service
</t>
    </r>
    <r>
      <rPr>
        <b/>
        <sz val="11"/>
        <color theme="1"/>
        <rFont val="Calibri"/>
        <family val="2"/>
        <scheme val="minor"/>
      </rPr>
      <t>73053</t>
    </r>
    <r>
      <rPr>
        <sz val="11"/>
        <color theme="1"/>
        <rFont val="Calibri"/>
        <family val="2"/>
        <scheme val="minor"/>
      </rPr>
      <t xml:space="preserve"> - Braille Service
</t>
    </r>
    <r>
      <rPr>
        <b/>
        <sz val="11"/>
        <color theme="1"/>
        <rFont val="Calibri"/>
        <family val="2"/>
        <scheme val="minor"/>
      </rPr>
      <t>00878</t>
    </r>
    <r>
      <rPr>
        <sz val="11"/>
        <color theme="1"/>
        <rFont val="Calibri"/>
        <family val="2"/>
        <scheme val="minor"/>
      </rPr>
      <t xml:space="preserve"> - Case management services
</t>
    </r>
    <r>
      <rPr>
        <b/>
        <sz val="11"/>
        <color theme="1"/>
        <rFont val="Calibri"/>
        <family val="2"/>
        <scheme val="minor"/>
      </rPr>
      <t>00295</t>
    </r>
    <r>
      <rPr>
        <sz val="11"/>
        <color theme="1"/>
        <rFont val="Calibri"/>
        <family val="2"/>
        <scheme val="minor"/>
      </rPr>
      <t xml:space="preserve"> - Children's protective services
</t>
    </r>
    <r>
      <rPr>
        <b/>
        <sz val="11"/>
        <color theme="1"/>
        <rFont val="Calibri"/>
        <family val="2"/>
        <scheme val="minor"/>
      </rPr>
      <t>00881</t>
    </r>
    <r>
      <rPr>
        <sz val="11"/>
        <color theme="1"/>
        <rFont val="Calibri"/>
        <family val="2"/>
        <scheme val="minor"/>
      </rPr>
      <t xml:space="preserve"> - Communication services
</t>
    </r>
    <r>
      <rPr>
        <b/>
        <sz val="11"/>
        <color theme="1"/>
        <rFont val="Calibri"/>
        <family val="2"/>
        <scheme val="minor"/>
      </rPr>
      <t>00882</t>
    </r>
    <r>
      <rPr>
        <sz val="11"/>
        <color theme="1"/>
        <rFont val="Calibri"/>
        <family val="2"/>
        <scheme val="minor"/>
      </rPr>
      <t xml:space="preserve"> - Community recreational services
</t>
    </r>
    <r>
      <rPr>
        <b/>
        <sz val="11"/>
        <color theme="1"/>
        <rFont val="Calibri"/>
        <family val="2"/>
        <scheme val="minor"/>
      </rPr>
      <t>73048</t>
    </r>
    <r>
      <rPr>
        <sz val="11"/>
        <color theme="1"/>
        <rFont val="Calibri"/>
        <family val="2"/>
        <scheme val="minor"/>
      </rPr>
      <t xml:space="preserve"> - Curriculum planning
</t>
    </r>
    <r>
      <rPr>
        <b/>
        <sz val="11"/>
        <color theme="1"/>
        <rFont val="Calibri"/>
        <family val="2"/>
        <scheme val="minor"/>
      </rPr>
      <t>00334</t>
    </r>
    <r>
      <rPr>
        <sz val="11"/>
        <color theme="1"/>
        <rFont val="Calibri"/>
        <family val="2"/>
        <scheme val="minor"/>
      </rPr>
      <t xml:space="preserve"> - Developmental childcare program
</t>
    </r>
    <r>
      <rPr>
        <b/>
        <sz val="11"/>
        <color theme="1"/>
        <rFont val="Calibri"/>
        <family val="2"/>
        <scheme val="minor"/>
      </rPr>
      <t>73047</t>
    </r>
    <r>
      <rPr>
        <sz val="11"/>
        <color theme="1"/>
        <rFont val="Calibri"/>
        <family val="2"/>
        <scheme val="minor"/>
      </rPr>
      <t xml:space="preserve"> - Early Intervention / Early Childhood Special Education Special Service
</t>
    </r>
    <r>
      <rPr>
        <b/>
        <sz val="11"/>
        <color theme="1"/>
        <rFont val="Calibri"/>
        <family val="2"/>
        <scheme val="minor"/>
      </rPr>
      <t>00297</t>
    </r>
    <r>
      <rPr>
        <sz val="11"/>
        <color theme="1"/>
        <rFont val="Calibri"/>
        <family val="2"/>
        <scheme val="minor"/>
      </rPr>
      <t xml:space="preserve"> - Early intervention services
</t>
    </r>
    <r>
      <rPr>
        <b/>
        <sz val="11"/>
        <color theme="1"/>
        <rFont val="Calibri"/>
        <family val="2"/>
        <scheme val="minor"/>
      </rPr>
      <t>00298</t>
    </r>
    <r>
      <rPr>
        <sz val="11"/>
        <color theme="1"/>
        <rFont val="Calibri"/>
        <family val="2"/>
        <scheme val="minor"/>
      </rPr>
      <t xml:space="preserve"> - Educational therapy
</t>
    </r>
    <r>
      <rPr>
        <b/>
        <sz val="11"/>
        <color theme="1"/>
        <rFont val="Calibri"/>
        <family val="2"/>
        <scheme val="minor"/>
      </rPr>
      <t>73054</t>
    </r>
    <r>
      <rPr>
        <sz val="11"/>
        <color theme="1"/>
        <rFont val="Calibri"/>
        <family val="2"/>
        <scheme val="minor"/>
      </rPr>
      <t xml:space="preserve"> - ESL/Migrant Service
</t>
    </r>
    <r>
      <rPr>
        <b/>
        <sz val="11"/>
        <color theme="1"/>
        <rFont val="Calibri"/>
        <family val="2"/>
        <scheme val="minor"/>
      </rPr>
      <t>00299</t>
    </r>
    <r>
      <rPr>
        <sz val="11"/>
        <color theme="1"/>
        <rFont val="Calibri"/>
        <family val="2"/>
        <scheme val="minor"/>
      </rPr>
      <t xml:space="preserve"> - Family counseling
</t>
    </r>
    <r>
      <rPr>
        <b/>
        <sz val="11"/>
        <color theme="1"/>
        <rFont val="Calibri"/>
        <family val="2"/>
        <scheme val="minor"/>
      </rPr>
      <t>00333</t>
    </r>
    <r>
      <rPr>
        <sz val="11"/>
        <color theme="1"/>
        <rFont val="Calibri"/>
        <family val="2"/>
        <scheme val="minor"/>
      </rPr>
      <t xml:space="preserve"> - Family training, counseling, and home visits
</t>
    </r>
    <r>
      <rPr>
        <b/>
        <sz val="11"/>
        <color theme="1"/>
        <rFont val="Calibri"/>
        <family val="2"/>
        <scheme val="minor"/>
      </rPr>
      <t>00303</t>
    </r>
    <r>
      <rPr>
        <sz val="11"/>
        <color theme="1"/>
        <rFont val="Calibri"/>
        <family val="2"/>
        <scheme val="minor"/>
      </rPr>
      <t xml:space="preserve"> - Health care
</t>
    </r>
    <r>
      <rPr>
        <b/>
        <sz val="11"/>
        <color theme="1"/>
        <rFont val="Calibri"/>
        <family val="2"/>
        <scheme val="minor"/>
      </rPr>
      <t>00883</t>
    </r>
    <r>
      <rPr>
        <sz val="11"/>
        <color theme="1"/>
        <rFont val="Calibri"/>
        <family val="2"/>
        <scheme val="minor"/>
      </rPr>
      <t xml:space="preserve"> - Independent living
</t>
    </r>
    <r>
      <rPr>
        <b/>
        <sz val="11"/>
        <color theme="1"/>
        <rFont val="Calibri"/>
        <family val="2"/>
        <scheme val="minor"/>
      </rPr>
      <t>73049</t>
    </r>
    <r>
      <rPr>
        <sz val="11"/>
        <color theme="1"/>
        <rFont val="Calibri"/>
        <family val="2"/>
        <scheme val="minor"/>
      </rPr>
      <t xml:space="preserve"> - Instructional Aide/Assistant/Intervener Service
</t>
    </r>
    <r>
      <rPr>
        <b/>
        <sz val="11"/>
        <color theme="1"/>
        <rFont val="Calibri"/>
        <family val="2"/>
        <scheme val="minor"/>
      </rPr>
      <t>00304</t>
    </r>
    <r>
      <rPr>
        <sz val="11"/>
        <color theme="1"/>
        <rFont val="Calibri"/>
        <family val="2"/>
        <scheme val="minor"/>
      </rPr>
      <t xml:space="preserve"> - Interpretation for the hearing impaired
</t>
    </r>
    <r>
      <rPr>
        <b/>
        <sz val="11"/>
        <color theme="1"/>
        <rFont val="Calibri"/>
        <family val="2"/>
        <scheme val="minor"/>
      </rPr>
      <t>00332</t>
    </r>
    <r>
      <rPr>
        <sz val="11"/>
        <color theme="1"/>
        <rFont val="Calibri"/>
        <family val="2"/>
        <scheme val="minor"/>
      </rPr>
      <t xml:space="preserve"> - Medical services only for diagnostic or evaluation purposes
</t>
    </r>
    <r>
      <rPr>
        <b/>
        <sz val="11"/>
        <color theme="1"/>
        <rFont val="Calibri"/>
        <family val="2"/>
        <scheme val="minor"/>
      </rPr>
      <t>00305</t>
    </r>
    <r>
      <rPr>
        <sz val="11"/>
        <color theme="1"/>
        <rFont val="Calibri"/>
        <family val="2"/>
        <scheme val="minor"/>
      </rPr>
      <t xml:space="preserve"> - Mental health counseling
</t>
    </r>
    <r>
      <rPr>
        <b/>
        <sz val="11"/>
        <color theme="1"/>
        <rFont val="Calibri"/>
        <family val="2"/>
        <scheme val="minor"/>
      </rPr>
      <t>00884</t>
    </r>
    <r>
      <rPr>
        <sz val="11"/>
        <color theme="1"/>
        <rFont val="Calibri"/>
        <family val="2"/>
        <scheme val="minor"/>
      </rPr>
      <t xml:space="preserve"> - Mental health services
</t>
    </r>
    <r>
      <rPr>
        <b/>
        <sz val="11"/>
        <color theme="1"/>
        <rFont val="Calibri"/>
        <family val="2"/>
        <scheme val="minor"/>
      </rPr>
      <t>00306</t>
    </r>
    <r>
      <rPr>
        <sz val="11"/>
        <color theme="1"/>
        <rFont val="Calibri"/>
        <family val="2"/>
        <scheme val="minor"/>
      </rPr>
      <t xml:space="preserve"> - Music therapy
</t>
    </r>
    <r>
      <rPr>
        <b/>
        <sz val="11"/>
        <color theme="1"/>
        <rFont val="Calibri"/>
        <family val="2"/>
        <scheme val="minor"/>
      </rPr>
      <t>00300</t>
    </r>
    <r>
      <rPr>
        <sz val="11"/>
        <color theme="1"/>
        <rFont val="Calibri"/>
        <family val="2"/>
        <scheme val="minor"/>
      </rPr>
      <t xml:space="preserve"> - National School Nutrition programs
</t>
    </r>
    <r>
      <rPr>
        <b/>
        <sz val="11"/>
        <color theme="1"/>
        <rFont val="Calibri"/>
        <family val="2"/>
        <scheme val="minor"/>
      </rPr>
      <t>00308</t>
    </r>
    <r>
      <rPr>
        <sz val="11"/>
        <color theme="1"/>
        <rFont val="Calibri"/>
        <family val="2"/>
        <scheme val="minor"/>
      </rPr>
      <t xml:space="preserve"> - Note-taking assistance
</t>
    </r>
    <r>
      <rPr>
        <b/>
        <sz val="11"/>
        <color theme="1"/>
        <rFont val="Calibri"/>
        <family val="2"/>
        <scheme val="minor"/>
      </rPr>
      <t>00335</t>
    </r>
    <r>
      <rPr>
        <sz val="11"/>
        <color theme="1"/>
        <rFont val="Calibri"/>
        <family val="2"/>
        <scheme val="minor"/>
      </rPr>
      <t xml:space="preserve"> - Nursing service
</t>
    </r>
    <r>
      <rPr>
        <b/>
        <sz val="11"/>
        <color theme="1"/>
        <rFont val="Calibri"/>
        <family val="2"/>
        <scheme val="minor"/>
      </rPr>
      <t>00336</t>
    </r>
    <r>
      <rPr>
        <sz val="11"/>
        <color theme="1"/>
        <rFont val="Calibri"/>
        <family val="2"/>
        <scheme val="minor"/>
      </rPr>
      <t xml:space="preserve"> - Nutrition services
</t>
    </r>
    <r>
      <rPr>
        <b/>
        <sz val="11"/>
        <color theme="1"/>
        <rFont val="Calibri"/>
        <family val="2"/>
        <scheme val="minor"/>
      </rPr>
      <t>00309</t>
    </r>
    <r>
      <rPr>
        <sz val="11"/>
        <color theme="1"/>
        <rFont val="Calibri"/>
        <family val="2"/>
        <scheme val="minor"/>
      </rPr>
      <t xml:space="preserve"> - Occupational therapy
</t>
    </r>
    <r>
      <rPr>
        <b/>
        <sz val="11"/>
        <color theme="1"/>
        <rFont val="Calibri"/>
        <family val="2"/>
        <scheme val="minor"/>
      </rPr>
      <t>00310</t>
    </r>
    <r>
      <rPr>
        <sz val="11"/>
        <color theme="1"/>
        <rFont val="Calibri"/>
        <family val="2"/>
        <scheme val="minor"/>
      </rPr>
      <t xml:space="preserve"> - Orientation and mobility services
</t>
    </r>
    <r>
      <rPr>
        <b/>
        <sz val="11"/>
        <color theme="1"/>
        <rFont val="Calibri"/>
        <family val="2"/>
        <scheme val="minor"/>
      </rPr>
      <t>00311</t>
    </r>
    <r>
      <rPr>
        <sz val="11"/>
        <color theme="1"/>
        <rFont val="Calibri"/>
        <family val="2"/>
        <scheme val="minor"/>
      </rPr>
      <t xml:space="preserve"> - Parenting skills assistance
</t>
    </r>
    <r>
      <rPr>
        <b/>
        <sz val="11"/>
        <color theme="1"/>
        <rFont val="Calibri"/>
        <family val="2"/>
        <scheme val="minor"/>
      </rPr>
      <t>00312</t>
    </r>
    <r>
      <rPr>
        <sz val="11"/>
        <color theme="1"/>
        <rFont val="Calibri"/>
        <family val="2"/>
        <scheme val="minor"/>
      </rPr>
      <t xml:space="preserve"> - Peer services
</t>
    </r>
    <r>
      <rPr>
        <b/>
        <sz val="11"/>
        <color theme="1"/>
        <rFont val="Calibri"/>
        <family val="2"/>
        <scheme val="minor"/>
      </rPr>
      <t>00313</t>
    </r>
    <r>
      <rPr>
        <sz val="11"/>
        <color theme="1"/>
        <rFont val="Calibri"/>
        <family val="2"/>
        <scheme val="minor"/>
      </rPr>
      <t xml:space="preserve"> - Physical therapy
</t>
    </r>
    <r>
      <rPr>
        <b/>
        <sz val="11"/>
        <color theme="1"/>
        <rFont val="Calibri"/>
        <family val="2"/>
        <scheme val="minor"/>
      </rPr>
      <t>00331</t>
    </r>
    <r>
      <rPr>
        <sz val="11"/>
        <color theme="1"/>
        <rFont val="Calibri"/>
        <family val="2"/>
        <scheme val="minor"/>
      </rPr>
      <t xml:space="preserve"> - Psychological services
</t>
    </r>
    <r>
      <rPr>
        <b/>
        <sz val="11"/>
        <color theme="1"/>
        <rFont val="Calibri"/>
        <family val="2"/>
        <scheme val="minor"/>
      </rPr>
      <t>00314</t>
    </r>
    <r>
      <rPr>
        <sz val="11"/>
        <color theme="1"/>
        <rFont val="Calibri"/>
        <family val="2"/>
        <scheme val="minor"/>
      </rPr>
      <t xml:space="preserve"> - Reader service
</t>
    </r>
    <r>
      <rPr>
        <b/>
        <sz val="11"/>
        <color theme="1"/>
        <rFont val="Calibri"/>
        <family val="2"/>
        <scheme val="minor"/>
      </rPr>
      <t>00315</t>
    </r>
    <r>
      <rPr>
        <sz val="11"/>
        <color theme="1"/>
        <rFont val="Calibri"/>
        <family val="2"/>
        <scheme val="minor"/>
      </rPr>
      <t xml:space="preserve"> - Recreation service
</t>
    </r>
    <r>
      <rPr>
        <b/>
        <sz val="11"/>
        <color theme="1"/>
        <rFont val="Calibri"/>
        <family val="2"/>
        <scheme val="minor"/>
      </rPr>
      <t>00318</t>
    </r>
    <r>
      <rPr>
        <sz val="11"/>
        <color theme="1"/>
        <rFont val="Calibri"/>
        <family val="2"/>
        <scheme val="minor"/>
      </rPr>
      <t xml:space="preserve"> - Rehabilitation counseling services
</t>
    </r>
    <r>
      <rPr>
        <b/>
        <sz val="11"/>
        <color theme="1"/>
        <rFont val="Calibri"/>
        <family val="2"/>
        <scheme val="minor"/>
      </rPr>
      <t>00885</t>
    </r>
    <r>
      <rPr>
        <sz val="11"/>
        <color theme="1"/>
        <rFont val="Calibri"/>
        <family val="2"/>
        <scheme val="minor"/>
      </rPr>
      <t xml:space="preserve"> - Residential services
</t>
    </r>
    <r>
      <rPr>
        <b/>
        <sz val="11"/>
        <color theme="1"/>
        <rFont val="Calibri"/>
        <family val="2"/>
        <scheme val="minor"/>
      </rPr>
      <t>73046</t>
    </r>
    <r>
      <rPr>
        <sz val="11"/>
        <color theme="1"/>
        <rFont val="Calibri"/>
        <family val="2"/>
        <scheme val="minor"/>
      </rPr>
      <t xml:space="preserve"> - Respite Care
</t>
    </r>
    <r>
      <rPr>
        <b/>
        <sz val="11"/>
        <color theme="1"/>
        <rFont val="Calibri"/>
        <family val="2"/>
        <scheme val="minor"/>
      </rPr>
      <t>00319</t>
    </r>
    <r>
      <rPr>
        <sz val="11"/>
        <color theme="1"/>
        <rFont val="Calibri"/>
        <family val="2"/>
        <scheme val="minor"/>
      </rPr>
      <t xml:space="preserve"> - School clothing
</t>
    </r>
    <r>
      <rPr>
        <b/>
        <sz val="11"/>
        <color theme="1"/>
        <rFont val="Calibri"/>
        <family val="2"/>
        <scheme val="minor"/>
      </rPr>
      <t>00302</t>
    </r>
    <r>
      <rPr>
        <sz val="11"/>
        <color theme="1"/>
        <rFont val="Calibri"/>
        <family val="2"/>
        <scheme val="minor"/>
      </rPr>
      <t xml:space="preserve"> - School counseling
</t>
    </r>
    <r>
      <rPr>
        <b/>
        <sz val="11"/>
        <color theme="1"/>
        <rFont val="Calibri"/>
        <family val="2"/>
        <scheme val="minor"/>
      </rPr>
      <t>00320</t>
    </r>
    <r>
      <rPr>
        <sz val="11"/>
        <color theme="1"/>
        <rFont val="Calibri"/>
        <family val="2"/>
        <scheme val="minor"/>
      </rPr>
      <t xml:space="preserve"> - School health nursing services
</t>
    </r>
    <r>
      <rPr>
        <b/>
        <sz val="11"/>
        <color theme="1"/>
        <rFont val="Calibri"/>
        <family val="2"/>
        <scheme val="minor"/>
      </rPr>
      <t>00294</t>
    </r>
    <r>
      <rPr>
        <sz val="11"/>
        <color theme="1"/>
        <rFont val="Calibri"/>
        <family val="2"/>
        <scheme val="minor"/>
      </rPr>
      <t xml:space="preserve"> - Service coordination (case management services)
</t>
    </r>
    <r>
      <rPr>
        <b/>
        <sz val="11"/>
        <color theme="1"/>
        <rFont val="Calibri"/>
        <family val="2"/>
        <scheme val="minor"/>
      </rPr>
      <t>00337</t>
    </r>
    <r>
      <rPr>
        <sz val="11"/>
        <color theme="1"/>
        <rFont val="Calibri"/>
        <family val="2"/>
        <scheme val="minor"/>
      </rPr>
      <t xml:space="preserve"> - Social work services
</t>
    </r>
    <r>
      <rPr>
        <b/>
        <sz val="11"/>
        <color theme="1"/>
        <rFont val="Calibri"/>
        <family val="2"/>
        <scheme val="minor"/>
      </rPr>
      <t>00321</t>
    </r>
    <r>
      <rPr>
        <sz val="11"/>
        <color theme="1"/>
        <rFont val="Calibri"/>
        <family val="2"/>
        <scheme val="minor"/>
      </rPr>
      <t xml:space="preserve"> - Special transportation
</t>
    </r>
    <r>
      <rPr>
        <b/>
        <sz val="11"/>
        <color theme="1"/>
        <rFont val="Calibri"/>
        <family val="2"/>
        <scheme val="minor"/>
      </rPr>
      <t>00322</t>
    </r>
    <r>
      <rPr>
        <sz val="11"/>
        <color theme="1"/>
        <rFont val="Calibri"/>
        <family val="2"/>
        <scheme val="minor"/>
      </rPr>
      <t xml:space="preserve"> - Speech-language therapy
</t>
    </r>
    <r>
      <rPr>
        <b/>
        <sz val="11"/>
        <color theme="1"/>
        <rFont val="Calibri"/>
        <family val="2"/>
        <scheme val="minor"/>
      </rPr>
      <t>00323</t>
    </r>
    <r>
      <rPr>
        <sz val="11"/>
        <color theme="1"/>
        <rFont val="Calibri"/>
        <family val="2"/>
        <scheme val="minor"/>
      </rPr>
      <t xml:space="preserve"> - Study skills assistance
</t>
    </r>
    <r>
      <rPr>
        <b/>
        <sz val="11"/>
        <color theme="1"/>
        <rFont val="Calibri"/>
        <family val="2"/>
        <scheme val="minor"/>
      </rPr>
      <t>00324</t>
    </r>
    <r>
      <rPr>
        <sz val="11"/>
        <color theme="1"/>
        <rFont val="Calibri"/>
        <family val="2"/>
        <scheme val="minor"/>
      </rPr>
      <t xml:space="preserve"> - Substance abuse education/prevention
</t>
    </r>
    <r>
      <rPr>
        <b/>
        <sz val="11"/>
        <color theme="1"/>
        <rFont val="Calibri"/>
        <family val="2"/>
        <scheme val="minor"/>
      </rPr>
      <t>00886</t>
    </r>
    <r>
      <rPr>
        <sz val="11"/>
        <color theme="1"/>
        <rFont val="Calibri"/>
        <family val="2"/>
        <scheme val="minor"/>
      </rPr>
      <t xml:space="preserve"> - Supported employment services
</t>
    </r>
    <r>
      <rPr>
        <b/>
        <sz val="11"/>
        <color theme="1"/>
        <rFont val="Calibri"/>
        <family val="2"/>
        <scheme val="minor"/>
      </rPr>
      <t>00887</t>
    </r>
    <r>
      <rPr>
        <sz val="11"/>
        <color theme="1"/>
        <rFont val="Calibri"/>
        <family val="2"/>
        <scheme val="minor"/>
      </rPr>
      <t xml:space="preserve"> - Technological aids
</t>
    </r>
    <r>
      <rPr>
        <b/>
        <sz val="11"/>
        <color theme="1"/>
        <rFont val="Calibri"/>
        <family val="2"/>
        <scheme val="minor"/>
      </rPr>
      <t>00325</t>
    </r>
    <r>
      <rPr>
        <sz val="11"/>
        <color theme="1"/>
        <rFont val="Calibri"/>
        <family val="2"/>
        <scheme val="minor"/>
      </rPr>
      <t xml:space="preserve"> - Teen/adolescent family planning
</t>
    </r>
    <r>
      <rPr>
        <b/>
        <sz val="11"/>
        <color theme="1"/>
        <rFont val="Calibri"/>
        <family val="2"/>
        <scheme val="minor"/>
      </rPr>
      <t>00326</t>
    </r>
    <r>
      <rPr>
        <sz val="11"/>
        <color theme="1"/>
        <rFont val="Calibri"/>
        <family val="2"/>
        <scheme val="minor"/>
      </rPr>
      <t xml:space="preserve"> - Test assistance
</t>
    </r>
    <r>
      <rPr>
        <b/>
        <sz val="11"/>
        <color theme="1"/>
        <rFont val="Calibri"/>
        <family val="2"/>
        <scheme val="minor"/>
      </rPr>
      <t>00327</t>
    </r>
    <r>
      <rPr>
        <sz val="11"/>
        <color theme="1"/>
        <rFont val="Calibri"/>
        <family val="2"/>
        <scheme val="minor"/>
      </rPr>
      <t xml:space="preserve"> - Translation/interpreter services
</t>
    </r>
    <r>
      <rPr>
        <b/>
        <sz val="11"/>
        <color theme="1"/>
        <rFont val="Calibri"/>
        <family val="2"/>
        <scheme val="minor"/>
      </rPr>
      <t>00888</t>
    </r>
    <r>
      <rPr>
        <sz val="11"/>
        <color theme="1"/>
        <rFont val="Calibri"/>
        <family val="2"/>
        <scheme val="minor"/>
      </rPr>
      <t xml:space="preserve"> - Transportation services
</t>
    </r>
    <r>
      <rPr>
        <b/>
        <sz val="11"/>
        <color theme="1"/>
        <rFont val="Calibri"/>
        <family val="2"/>
        <scheme val="minor"/>
      </rPr>
      <t>00329</t>
    </r>
    <r>
      <rPr>
        <sz val="11"/>
        <color theme="1"/>
        <rFont val="Calibri"/>
        <family val="2"/>
        <scheme val="minor"/>
      </rPr>
      <t xml:space="preserve"> - Tutoring services
</t>
    </r>
    <r>
      <rPr>
        <b/>
        <sz val="11"/>
        <color theme="1"/>
        <rFont val="Calibri"/>
        <family val="2"/>
        <scheme val="minor"/>
      </rPr>
      <t>00330</t>
    </r>
    <r>
      <rPr>
        <sz val="11"/>
        <color theme="1"/>
        <rFont val="Calibri"/>
        <family val="2"/>
        <scheme val="minor"/>
      </rPr>
      <t xml:space="preserve"> - Vision services
</t>
    </r>
    <r>
      <rPr>
        <b/>
        <sz val="11"/>
        <color theme="1"/>
        <rFont val="Calibri"/>
        <family val="2"/>
        <scheme val="minor"/>
      </rPr>
      <t>00889</t>
    </r>
    <r>
      <rPr>
        <sz val="11"/>
        <color theme="1"/>
        <rFont val="Calibri"/>
        <family val="2"/>
        <scheme val="minor"/>
      </rPr>
      <t xml:space="preserve"> - Career and technical education rehabilitation training and job placement
</t>
    </r>
    <r>
      <rPr>
        <b/>
        <sz val="11"/>
        <color theme="1"/>
        <rFont val="Calibri"/>
        <family val="2"/>
        <scheme val="minor"/>
      </rPr>
      <t>09999</t>
    </r>
    <r>
      <rPr>
        <sz val="11"/>
        <color theme="1"/>
        <rFont val="Calibri"/>
        <family val="2"/>
        <scheme val="minor"/>
      </rPr>
      <t xml:space="preserve"> - Other
</t>
    </r>
  </si>
  <si>
    <r>
      <t>PraxisI</t>
    </r>
    <r>
      <rPr>
        <sz val="11"/>
        <color theme="1"/>
        <rFont val="Calibri"/>
        <family val="2"/>
        <scheme val="minor"/>
      </rPr>
      <t xml:space="preserve"> - Praxis I
</t>
    </r>
    <r>
      <rPr>
        <b/>
        <sz val="11"/>
        <color theme="1"/>
        <rFont val="Calibri"/>
        <family val="2"/>
        <scheme val="minor"/>
      </rPr>
      <t>PraxisII</t>
    </r>
    <r>
      <rPr>
        <sz val="11"/>
        <color theme="1"/>
        <rFont val="Calibri"/>
        <family val="2"/>
        <scheme val="minor"/>
      </rPr>
      <t xml:space="preserve"> - Praxis II
</t>
    </r>
    <r>
      <rPr>
        <b/>
        <sz val="11"/>
        <color theme="1"/>
        <rFont val="Calibri"/>
        <family val="2"/>
        <scheme val="minor"/>
      </rPr>
      <t>ACTFL</t>
    </r>
    <r>
      <rPr>
        <sz val="11"/>
        <color theme="1"/>
        <rFont val="Calibri"/>
        <family val="2"/>
        <scheme val="minor"/>
      </rPr>
      <t xml:space="preserve"> - ACTFL
</t>
    </r>
    <r>
      <rPr>
        <b/>
        <sz val="11"/>
        <color theme="1"/>
        <rFont val="Calibri"/>
        <family val="2"/>
        <scheme val="minor"/>
      </rPr>
      <t>StateExam</t>
    </r>
    <r>
      <rPr>
        <sz val="11"/>
        <color theme="1"/>
        <rFont val="Calibri"/>
        <family val="2"/>
        <scheme val="minor"/>
      </rPr>
      <t xml:space="preserve"> - State Exam
</t>
    </r>
    <r>
      <rPr>
        <b/>
        <sz val="11"/>
        <color theme="1"/>
        <rFont val="Calibri"/>
        <family val="2"/>
        <scheme val="minor"/>
      </rPr>
      <t>Other</t>
    </r>
    <r>
      <rPr>
        <sz val="11"/>
        <color theme="1"/>
        <rFont val="Calibri"/>
        <family val="2"/>
        <scheme val="minor"/>
      </rPr>
      <t xml:space="preserve"> - Other
</t>
    </r>
  </si>
  <si>
    <r>
      <t>1</t>
    </r>
    <r>
      <rPr>
        <sz val="11"/>
        <color theme="1"/>
        <rFont val="Calibri"/>
        <family val="2"/>
        <scheme val="minor"/>
      </rPr>
      <t xml:space="preserve"> - Educational Testing Service (ETS)
</t>
    </r>
    <r>
      <rPr>
        <b/>
        <sz val="11"/>
        <color theme="1"/>
        <rFont val="Calibri"/>
        <family val="2"/>
        <scheme val="minor"/>
      </rPr>
      <t>2</t>
    </r>
    <r>
      <rPr>
        <sz val="11"/>
        <color theme="1"/>
        <rFont val="Calibri"/>
        <family val="2"/>
        <scheme val="minor"/>
      </rPr>
      <t xml:space="preserve"> - Evaluation Systems Group of Pearson
</t>
    </r>
    <r>
      <rPr>
        <b/>
        <sz val="11"/>
        <color theme="1"/>
        <rFont val="Calibri"/>
        <family val="2"/>
        <scheme val="minor"/>
      </rPr>
      <t>3</t>
    </r>
    <r>
      <rPr>
        <sz val="11"/>
        <color theme="1"/>
        <rFont val="Calibri"/>
        <family val="2"/>
        <scheme val="minor"/>
      </rPr>
      <t xml:space="preserve"> - College Board
</t>
    </r>
    <r>
      <rPr>
        <b/>
        <sz val="11"/>
        <color theme="1"/>
        <rFont val="Calibri"/>
        <family val="2"/>
        <scheme val="minor"/>
      </rPr>
      <t>4</t>
    </r>
    <r>
      <rPr>
        <sz val="11"/>
        <color theme="1"/>
        <rFont val="Calibri"/>
        <family val="2"/>
        <scheme val="minor"/>
      </rPr>
      <t xml:space="preserve"> - American Board for Certification of Teacher Excellence (ABCTE)
</t>
    </r>
    <r>
      <rPr>
        <b/>
        <sz val="11"/>
        <color theme="1"/>
        <rFont val="Calibri"/>
        <family val="2"/>
        <scheme val="minor"/>
      </rPr>
      <t>5</t>
    </r>
    <r>
      <rPr>
        <sz val="11"/>
        <color theme="1"/>
        <rFont val="Calibri"/>
        <family val="2"/>
        <scheme val="minor"/>
      </rPr>
      <t xml:space="preserve"> - American Council on the Teaching of Foreign Languages (ACTFL)
</t>
    </r>
    <r>
      <rPr>
        <b/>
        <sz val="11"/>
        <color theme="1"/>
        <rFont val="Calibri"/>
        <family val="2"/>
        <scheme val="minor"/>
      </rPr>
      <t>98</t>
    </r>
    <r>
      <rPr>
        <sz val="11"/>
        <color theme="1"/>
        <rFont val="Calibri"/>
        <family val="2"/>
        <scheme val="minor"/>
      </rPr>
      <t xml:space="preserve"> - State
</t>
    </r>
    <r>
      <rPr>
        <b/>
        <sz val="11"/>
        <color theme="1"/>
        <rFont val="Calibri"/>
        <family val="2"/>
        <scheme val="minor"/>
      </rPr>
      <t>99</t>
    </r>
    <r>
      <rPr>
        <sz val="11"/>
        <color theme="1"/>
        <rFont val="Calibri"/>
        <family val="2"/>
        <scheme val="minor"/>
      </rPr>
      <t xml:space="preserve"> - Other
</t>
    </r>
  </si>
  <si>
    <r>
      <t>No</t>
    </r>
    <r>
      <rPr>
        <sz val="11"/>
        <color theme="1"/>
        <rFont val="Calibri"/>
        <family val="2"/>
        <scheme val="minor"/>
      </rPr>
      <t xml:space="preserve"> - No
</t>
    </r>
    <r>
      <rPr>
        <b/>
        <sz val="11"/>
        <color theme="1"/>
        <rFont val="Calibri"/>
        <family val="2"/>
        <scheme val="minor"/>
      </rPr>
      <t>SeekingCandidacy</t>
    </r>
    <r>
      <rPr>
        <sz val="11"/>
        <color theme="1"/>
        <rFont val="Calibri"/>
        <family val="2"/>
        <scheme val="minor"/>
      </rPr>
      <t xml:space="preserve"> - Seeking Candidacy
</t>
    </r>
    <r>
      <rPr>
        <b/>
        <sz val="11"/>
        <color theme="1"/>
        <rFont val="Calibri"/>
        <family val="2"/>
        <scheme val="minor"/>
      </rPr>
      <t>Enrolled</t>
    </r>
    <r>
      <rPr>
        <sz val="11"/>
        <color theme="1"/>
        <rFont val="Calibri"/>
        <family val="2"/>
        <scheme val="minor"/>
      </rPr>
      <t xml:space="preserve"> - Enrolled
</t>
    </r>
  </si>
  <si>
    <r>
      <t>LeadTeacher</t>
    </r>
    <r>
      <rPr>
        <sz val="11"/>
        <color theme="1"/>
        <rFont val="Calibri"/>
        <family val="2"/>
        <scheme val="minor"/>
      </rPr>
      <t xml:space="preserve"> - Lead Teacher
</t>
    </r>
    <r>
      <rPr>
        <b/>
        <sz val="11"/>
        <color theme="1"/>
        <rFont val="Calibri"/>
        <family val="2"/>
        <scheme val="minor"/>
      </rPr>
      <t>TeamTeacher</t>
    </r>
    <r>
      <rPr>
        <sz val="11"/>
        <color theme="1"/>
        <rFont val="Calibri"/>
        <family val="2"/>
        <scheme val="minor"/>
      </rPr>
      <t xml:space="preserve"> - Team Teacher
</t>
    </r>
    <r>
      <rPr>
        <b/>
        <sz val="11"/>
        <color theme="1"/>
        <rFont val="Calibri"/>
        <family val="2"/>
        <scheme val="minor"/>
      </rPr>
      <t>ContributingProfessional</t>
    </r>
    <r>
      <rPr>
        <sz val="11"/>
        <color theme="1"/>
        <rFont val="Calibri"/>
        <family val="2"/>
        <scheme val="minor"/>
      </rPr>
      <t xml:space="preserve"> - Contributing Professional
</t>
    </r>
  </si>
  <si>
    <r>
      <t>01050</t>
    </r>
    <r>
      <rPr>
        <sz val="11"/>
        <color theme="1"/>
        <rFont val="Calibri"/>
        <family val="2"/>
        <scheme val="minor"/>
      </rPr>
      <t xml:space="preserve"> - Associate's degree (two years or more) 
</t>
    </r>
    <r>
      <rPr>
        <b/>
        <sz val="11"/>
        <color theme="1"/>
        <rFont val="Calibri"/>
        <family val="2"/>
        <scheme val="minor"/>
      </rPr>
      <t>01235</t>
    </r>
    <r>
      <rPr>
        <sz val="11"/>
        <color theme="1"/>
        <rFont val="Calibri"/>
        <family val="2"/>
        <scheme val="minor"/>
      </rPr>
      <t xml:space="preserve"> - 4-year bachelor's degree
</t>
    </r>
    <r>
      <rPr>
        <b/>
        <sz val="11"/>
        <color theme="1"/>
        <rFont val="Calibri"/>
        <family val="2"/>
        <scheme val="minor"/>
      </rPr>
      <t>01236</t>
    </r>
    <r>
      <rPr>
        <sz val="11"/>
        <color theme="1"/>
        <rFont val="Calibri"/>
        <family val="2"/>
        <scheme val="minor"/>
      </rPr>
      <t xml:space="preserve"> - 5-year bachelor's degree
</t>
    </r>
    <r>
      <rPr>
        <b/>
        <sz val="11"/>
        <color theme="1"/>
        <rFont val="Calibri"/>
        <family val="2"/>
        <scheme val="minor"/>
      </rPr>
      <t>73205</t>
    </r>
    <r>
      <rPr>
        <sz val="11"/>
        <color theme="1"/>
        <rFont val="Calibri"/>
        <family val="2"/>
        <scheme val="minor"/>
      </rPr>
      <t xml:space="preserve"> - Post-baccalaureate certificate
</t>
    </r>
    <r>
      <rPr>
        <b/>
        <sz val="11"/>
        <color theme="1"/>
        <rFont val="Calibri"/>
        <family val="2"/>
        <scheme val="minor"/>
      </rPr>
      <t>01237</t>
    </r>
    <r>
      <rPr>
        <sz val="11"/>
        <color theme="1"/>
        <rFont val="Calibri"/>
        <family val="2"/>
        <scheme val="minor"/>
      </rPr>
      <t xml:space="preserve"> - Master's degree
</t>
    </r>
    <r>
      <rPr>
        <b/>
        <sz val="11"/>
        <color theme="1"/>
        <rFont val="Calibri"/>
        <family val="2"/>
        <scheme val="minor"/>
      </rPr>
      <t>73081</t>
    </r>
    <r>
      <rPr>
        <sz val="11"/>
        <color theme="1"/>
        <rFont val="Calibri"/>
        <family val="2"/>
        <scheme val="minor"/>
      </rPr>
      <t xml:space="preserve"> - Post-master’s certificate
</t>
    </r>
    <r>
      <rPr>
        <b/>
        <sz val="11"/>
        <color theme="1"/>
        <rFont val="Calibri"/>
        <family val="2"/>
        <scheme val="minor"/>
      </rPr>
      <t>01238</t>
    </r>
    <r>
      <rPr>
        <sz val="11"/>
        <color theme="1"/>
        <rFont val="Calibri"/>
        <family val="2"/>
        <scheme val="minor"/>
      </rPr>
      <t xml:space="preserve"> - Doctoral degree
</t>
    </r>
    <r>
      <rPr>
        <b/>
        <sz val="11"/>
        <color theme="1"/>
        <rFont val="Calibri"/>
        <family val="2"/>
        <scheme val="minor"/>
      </rPr>
      <t>73206</t>
    </r>
    <r>
      <rPr>
        <sz val="11"/>
        <color theme="1"/>
        <rFont val="Calibri"/>
        <family val="2"/>
        <scheme val="minor"/>
      </rPr>
      <t xml:space="preserve"> - Post-doctoral certificate
</t>
    </r>
    <r>
      <rPr>
        <b/>
        <sz val="11"/>
        <color theme="1"/>
        <rFont val="Calibri"/>
        <family val="2"/>
        <scheme val="minor"/>
      </rPr>
      <t>01239</t>
    </r>
    <r>
      <rPr>
        <sz val="11"/>
        <color theme="1"/>
        <rFont val="Calibri"/>
        <family val="2"/>
        <scheme val="minor"/>
      </rPr>
      <t xml:space="preserve"> - Met state testing requirement
</t>
    </r>
    <r>
      <rPr>
        <b/>
        <sz val="11"/>
        <color theme="1"/>
        <rFont val="Calibri"/>
        <family val="2"/>
        <scheme val="minor"/>
      </rPr>
      <t>01240</t>
    </r>
    <r>
      <rPr>
        <sz val="11"/>
        <color theme="1"/>
        <rFont val="Calibri"/>
        <family val="2"/>
        <scheme val="minor"/>
      </rPr>
      <t xml:space="preserve"> - Special/alternative program completion
</t>
    </r>
    <r>
      <rPr>
        <b/>
        <sz val="11"/>
        <color theme="1"/>
        <rFont val="Calibri"/>
        <family val="2"/>
        <scheme val="minor"/>
      </rPr>
      <t>01241</t>
    </r>
    <r>
      <rPr>
        <sz val="11"/>
        <color theme="1"/>
        <rFont val="Calibri"/>
        <family val="2"/>
        <scheme val="minor"/>
      </rPr>
      <t xml:space="preserve"> - Relevant experience
</t>
    </r>
    <r>
      <rPr>
        <b/>
        <sz val="11"/>
        <color theme="1"/>
        <rFont val="Calibri"/>
        <family val="2"/>
        <scheme val="minor"/>
      </rPr>
      <t>01242</t>
    </r>
    <r>
      <rPr>
        <sz val="11"/>
        <color theme="1"/>
        <rFont val="Calibri"/>
        <family val="2"/>
        <scheme val="minor"/>
      </rPr>
      <t xml:space="preserve"> - Credentials based on reciprocation with another state
</t>
    </r>
  </si>
  <si>
    <r>
      <t>Emergency</t>
    </r>
    <r>
      <rPr>
        <sz val="11"/>
        <color theme="1"/>
        <rFont val="Calibri"/>
        <family val="2"/>
        <scheme val="minor"/>
      </rPr>
      <t xml:space="preserve"> - Emergency
</t>
    </r>
    <r>
      <rPr>
        <b/>
        <sz val="11"/>
        <color theme="1"/>
        <rFont val="Calibri"/>
        <family val="2"/>
        <scheme val="minor"/>
      </rPr>
      <t>Intern</t>
    </r>
    <r>
      <rPr>
        <sz val="11"/>
        <color theme="1"/>
        <rFont val="Calibri"/>
        <family val="2"/>
        <scheme val="minor"/>
      </rPr>
      <t xml:space="preserve"> - Intern
</t>
    </r>
    <r>
      <rPr>
        <b/>
        <sz val="11"/>
        <color theme="1"/>
        <rFont val="Calibri"/>
        <family val="2"/>
        <scheme val="minor"/>
      </rPr>
      <t>Master</t>
    </r>
    <r>
      <rPr>
        <sz val="11"/>
        <color theme="1"/>
        <rFont val="Calibri"/>
        <family val="2"/>
        <scheme val="minor"/>
      </rPr>
      <t xml:space="preserve"> - Master
</t>
    </r>
    <r>
      <rPr>
        <b/>
        <sz val="11"/>
        <color theme="1"/>
        <rFont val="Calibri"/>
        <family val="2"/>
        <scheme val="minor"/>
      </rPr>
      <t>Nonrenewable</t>
    </r>
    <r>
      <rPr>
        <sz val="11"/>
        <color theme="1"/>
        <rFont val="Calibri"/>
        <family val="2"/>
        <scheme val="minor"/>
      </rPr>
      <t xml:space="preserve"> - Nonrenewable
</t>
    </r>
    <r>
      <rPr>
        <b/>
        <sz val="11"/>
        <color theme="1"/>
        <rFont val="Calibri"/>
        <family val="2"/>
        <scheme val="minor"/>
      </rPr>
      <t>Probationary</t>
    </r>
    <r>
      <rPr>
        <sz val="11"/>
        <color theme="1"/>
        <rFont val="Calibri"/>
        <family val="2"/>
        <scheme val="minor"/>
      </rPr>
      <t xml:space="preserve"> - Probationary/initial
</t>
    </r>
    <r>
      <rPr>
        <b/>
        <sz val="11"/>
        <color theme="1"/>
        <rFont val="Calibri"/>
        <family val="2"/>
        <scheme val="minor"/>
      </rPr>
      <t>Professional</t>
    </r>
    <r>
      <rPr>
        <sz val="11"/>
        <color theme="1"/>
        <rFont val="Calibri"/>
        <family val="2"/>
        <scheme val="minor"/>
      </rPr>
      <t xml:space="preserve"> - Professional
</t>
    </r>
    <r>
      <rPr>
        <b/>
        <sz val="11"/>
        <color theme="1"/>
        <rFont val="Calibri"/>
        <family val="2"/>
        <scheme val="minor"/>
      </rPr>
      <t>Provisional</t>
    </r>
    <r>
      <rPr>
        <sz val="11"/>
        <color theme="1"/>
        <rFont val="Calibri"/>
        <family val="2"/>
        <scheme val="minor"/>
      </rPr>
      <t xml:space="preserve"> - Provisional
</t>
    </r>
    <r>
      <rPr>
        <b/>
        <sz val="11"/>
        <color theme="1"/>
        <rFont val="Calibri"/>
        <family val="2"/>
        <scheme val="minor"/>
      </rPr>
      <t>Regular</t>
    </r>
    <r>
      <rPr>
        <sz val="11"/>
        <color theme="1"/>
        <rFont val="Calibri"/>
        <family val="2"/>
        <scheme val="minor"/>
      </rPr>
      <t xml:space="preserve"> - Regular/standard
</t>
    </r>
    <r>
      <rPr>
        <b/>
        <sz val="11"/>
        <color theme="1"/>
        <rFont val="Calibri"/>
        <family val="2"/>
        <scheme val="minor"/>
      </rPr>
      <t>Retired</t>
    </r>
    <r>
      <rPr>
        <sz val="11"/>
        <color theme="1"/>
        <rFont val="Calibri"/>
        <family val="2"/>
        <scheme val="minor"/>
      </rPr>
      <t xml:space="preserve"> - Retired
</t>
    </r>
    <r>
      <rPr>
        <b/>
        <sz val="11"/>
        <color theme="1"/>
        <rFont val="Calibri"/>
        <family val="2"/>
        <scheme val="minor"/>
      </rPr>
      <t>Specialist</t>
    </r>
    <r>
      <rPr>
        <sz val="11"/>
        <color theme="1"/>
        <rFont val="Calibri"/>
        <family val="2"/>
        <scheme val="minor"/>
      </rPr>
      <t xml:space="preserve"> - Specialist
</t>
    </r>
    <r>
      <rPr>
        <b/>
        <sz val="11"/>
        <color theme="1"/>
        <rFont val="Calibri"/>
        <family val="2"/>
        <scheme val="minor"/>
      </rPr>
      <t>Substitute</t>
    </r>
    <r>
      <rPr>
        <sz val="11"/>
        <color theme="1"/>
        <rFont val="Calibri"/>
        <family val="2"/>
        <scheme val="minor"/>
      </rPr>
      <t xml:space="preserve"> - Substitute
</t>
    </r>
    <r>
      <rPr>
        <b/>
        <sz val="11"/>
        <color theme="1"/>
        <rFont val="Calibri"/>
        <family val="2"/>
        <scheme val="minor"/>
      </rPr>
      <t>TeacherAssistant</t>
    </r>
    <r>
      <rPr>
        <sz val="11"/>
        <color theme="1"/>
        <rFont val="Calibri"/>
        <family val="2"/>
        <scheme val="minor"/>
      </rPr>
      <t xml:space="preserve"> - Teacher assistant
</t>
    </r>
    <r>
      <rPr>
        <b/>
        <sz val="11"/>
        <color theme="1"/>
        <rFont val="Calibri"/>
        <family val="2"/>
        <scheme val="minor"/>
      </rPr>
      <t>Temporary</t>
    </r>
    <r>
      <rPr>
        <sz val="11"/>
        <color theme="1"/>
        <rFont val="Calibri"/>
        <family val="2"/>
        <scheme val="minor"/>
      </rPr>
      <t xml:space="preserve"> - Temporary
</t>
    </r>
    <r>
      <rPr>
        <b/>
        <sz val="11"/>
        <color theme="1"/>
        <rFont val="Calibri"/>
        <family val="2"/>
        <scheme val="minor"/>
      </rPr>
      <t>09999</t>
    </r>
    <r>
      <rPr>
        <sz val="11"/>
        <color theme="1"/>
        <rFont val="Calibri"/>
        <family val="2"/>
        <scheme val="minor"/>
      </rPr>
      <t xml:space="preserve"> - Other
</t>
    </r>
  </si>
  <si>
    <r>
      <t>01</t>
    </r>
    <r>
      <rPr>
        <sz val="11"/>
        <color theme="1"/>
        <rFont val="Calibri"/>
        <family val="2"/>
        <scheme val="minor"/>
      </rPr>
      <t xml:space="preserve"> - Core Knowledge Area
</t>
    </r>
    <r>
      <rPr>
        <b/>
        <sz val="11"/>
        <color theme="1"/>
        <rFont val="Calibri"/>
        <family val="2"/>
        <scheme val="minor"/>
      </rPr>
      <t>02</t>
    </r>
    <r>
      <rPr>
        <sz val="11"/>
        <color theme="1"/>
        <rFont val="Calibri"/>
        <family val="2"/>
        <scheme val="minor"/>
      </rPr>
      <t xml:space="preserve"> - Health Safety Technical Assistance
</t>
    </r>
    <r>
      <rPr>
        <b/>
        <sz val="11"/>
        <color theme="1"/>
        <rFont val="Calibri"/>
        <family val="2"/>
        <scheme val="minor"/>
      </rPr>
      <t>03</t>
    </r>
    <r>
      <rPr>
        <sz val="11"/>
        <color theme="1"/>
        <rFont val="Calibri"/>
        <family val="2"/>
        <scheme val="minor"/>
      </rPr>
      <t xml:space="preserve"> - Inclusion Technical Assistance
</t>
    </r>
    <r>
      <rPr>
        <b/>
        <sz val="11"/>
        <color theme="1"/>
        <rFont val="Calibri"/>
        <family val="2"/>
        <scheme val="minor"/>
      </rPr>
      <t>04</t>
    </r>
    <r>
      <rPr>
        <sz val="11"/>
        <color theme="1"/>
        <rFont val="Calibri"/>
        <family val="2"/>
        <scheme val="minor"/>
      </rPr>
      <t xml:space="preserve"> - Infant Toddler Care Technical Assistance
</t>
    </r>
    <r>
      <rPr>
        <b/>
        <sz val="11"/>
        <color theme="1"/>
        <rFont val="Calibri"/>
        <family val="2"/>
        <scheme val="minor"/>
      </rPr>
      <t>05</t>
    </r>
    <r>
      <rPr>
        <sz val="11"/>
        <color theme="1"/>
        <rFont val="Calibri"/>
        <family val="2"/>
        <scheme val="minor"/>
      </rPr>
      <t xml:space="preserve"> - Mental Health Technical Assistance
</t>
    </r>
    <r>
      <rPr>
        <b/>
        <sz val="11"/>
        <color theme="1"/>
        <rFont val="Calibri"/>
        <family val="2"/>
        <scheme val="minor"/>
      </rPr>
      <t>06</t>
    </r>
    <r>
      <rPr>
        <sz val="11"/>
        <color theme="1"/>
        <rFont val="Calibri"/>
        <family val="2"/>
        <scheme val="minor"/>
      </rPr>
      <t xml:space="preserve"> - Program Administration and Management Practices Technical Assistance
</t>
    </r>
    <r>
      <rPr>
        <b/>
        <sz val="11"/>
        <color theme="1"/>
        <rFont val="Calibri"/>
        <family val="2"/>
        <scheme val="minor"/>
      </rPr>
      <t>07</t>
    </r>
    <r>
      <rPr>
        <sz val="11"/>
        <color theme="1"/>
        <rFont val="Calibri"/>
        <family val="2"/>
        <scheme val="minor"/>
      </rPr>
      <t xml:space="preserve"> - School Age Technical Assistance
</t>
    </r>
    <r>
      <rPr>
        <b/>
        <sz val="11"/>
        <color theme="1"/>
        <rFont val="Calibri"/>
        <family val="2"/>
        <scheme val="minor"/>
      </rPr>
      <t>08</t>
    </r>
    <r>
      <rPr>
        <sz val="11"/>
        <color theme="1"/>
        <rFont val="Calibri"/>
        <family val="2"/>
        <scheme val="minor"/>
      </rPr>
      <t xml:space="preserve"> - Understanding Developmental Screening Technical Assistance
</t>
    </r>
    <r>
      <rPr>
        <b/>
        <sz val="11"/>
        <color theme="1"/>
        <rFont val="Calibri"/>
        <family val="2"/>
        <scheme val="minor"/>
      </rPr>
      <t>09</t>
    </r>
    <r>
      <rPr>
        <sz val="11"/>
        <color theme="1"/>
        <rFont val="Calibri"/>
        <family val="2"/>
        <scheme val="minor"/>
      </rPr>
      <t xml:space="preserve"> - Dual Language Learner Technical Assistance
</t>
    </r>
    <r>
      <rPr>
        <b/>
        <sz val="11"/>
        <color theme="1"/>
        <rFont val="Calibri"/>
        <family val="2"/>
        <scheme val="minor"/>
      </rPr>
      <t>10</t>
    </r>
    <r>
      <rPr>
        <sz val="11"/>
        <color theme="1"/>
        <rFont val="Calibri"/>
        <family val="2"/>
        <scheme val="minor"/>
      </rPr>
      <t xml:space="preserve"> - Language and Literacy Development
</t>
    </r>
    <r>
      <rPr>
        <b/>
        <sz val="11"/>
        <color theme="1"/>
        <rFont val="Calibri"/>
        <family val="2"/>
        <scheme val="minor"/>
      </rPr>
      <t>11</t>
    </r>
    <r>
      <rPr>
        <sz val="11"/>
        <color theme="1"/>
        <rFont val="Calibri"/>
        <family val="2"/>
        <scheme val="minor"/>
      </rPr>
      <t xml:space="preserve"> - Cognition and General Knowledge (including early mathematics and early scientific development)
</t>
    </r>
    <r>
      <rPr>
        <b/>
        <sz val="11"/>
        <color theme="1"/>
        <rFont val="Calibri"/>
        <family val="2"/>
        <scheme val="minor"/>
      </rPr>
      <t>12</t>
    </r>
    <r>
      <rPr>
        <sz val="11"/>
        <color theme="1"/>
        <rFont val="Calibri"/>
        <family val="2"/>
        <scheme val="minor"/>
      </rPr>
      <t xml:space="preserve"> - Approaches Toward Learning
</t>
    </r>
    <r>
      <rPr>
        <b/>
        <sz val="11"/>
        <color theme="1"/>
        <rFont val="Calibri"/>
        <family val="2"/>
        <scheme val="minor"/>
      </rPr>
      <t>13</t>
    </r>
    <r>
      <rPr>
        <sz val="11"/>
        <color theme="1"/>
        <rFont val="Calibri"/>
        <family val="2"/>
        <scheme val="minor"/>
      </rPr>
      <t xml:space="preserve"> - Physical Well-being and Motor Development (including adaptive skills)
</t>
    </r>
    <r>
      <rPr>
        <b/>
        <sz val="11"/>
        <color theme="1"/>
        <rFont val="Calibri"/>
        <family val="2"/>
        <scheme val="minor"/>
      </rPr>
      <t>14</t>
    </r>
    <r>
      <rPr>
        <sz val="11"/>
        <color theme="1"/>
        <rFont val="Calibri"/>
        <family val="2"/>
        <scheme val="minor"/>
      </rPr>
      <t xml:space="preserve"> - Social and Emotional Development
</t>
    </r>
  </si>
  <si>
    <r>
      <t>TechnologyLiterate</t>
    </r>
    <r>
      <rPr>
        <sz val="11"/>
        <color theme="1"/>
        <rFont val="Calibri"/>
        <family val="2"/>
        <scheme val="minor"/>
      </rPr>
      <t xml:space="preserve"> - Technology literate
</t>
    </r>
    <r>
      <rPr>
        <b/>
        <sz val="11"/>
        <color theme="1"/>
        <rFont val="Calibri"/>
        <family val="2"/>
        <scheme val="minor"/>
      </rPr>
      <t>NotTechnologyLiterate</t>
    </r>
    <r>
      <rPr>
        <sz val="11"/>
        <color theme="1"/>
        <rFont val="Calibri"/>
        <family val="2"/>
        <scheme val="minor"/>
      </rPr>
      <t xml:space="preserve"> - Not technology literate
</t>
    </r>
  </si>
  <si>
    <r>
      <t>Home</t>
    </r>
    <r>
      <rPr>
        <sz val="11"/>
        <color theme="1"/>
        <rFont val="Calibri"/>
        <family val="2"/>
        <scheme val="minor"/>
      </rPr>
      <t xml:space="preserve"> - Home phone number
</t>
    </r>
    <r>
      <rPr>
        <b/>
        <sz val="11"/>
        <color theme="1"/>
        <rFont val="Calibri"/>
        <family val="2"/>
        <scheme val="minor"/>
      </rPr>
      <t>Work</t>
    </r>
    <r>
      <rPr>
        <sz val="11"/>
        <color theme="1"/>
        <rFont val="Calibri"/>
        <family val="2"/>
        <scheme val="minor"/>
      </rPr>
      <t xml:space="preserve"> - Work phone number
</t>
    </r>
    <r>
      <rPr>
        <b/>
        <sz val="11"/>
        <color theme="1"/>
        <rFont val="Calibri"/>
        <family val="2"/>
        <scheme val="minor"/>
      </rPr>
      <t>Mobile</t>
    </r>
    <r>
      <rPr>
        <sz val="11"/>
        <color theme="1"/>
        <rFont val="Calibri"/>
        <family val="2"/>
        <scheme val="minor"/>
      </rPr>
      <t xml:space="preserve"> - Mobile phone number
</t>
    </r>
    <r>
      <rPr>
        <b/>
        <sz val="11"/>
        <color theme="1"/>
        <rFont val="Calibri"/>
        <family val="2"/>
        <scheme val="minor"/>
      </rPr>
      <t>Fax</t>
    </r>
    <r>
      <rPr>
        <sz val="11"/>
        <color theme="1"/>
        <rFont val="Calibri"/>
        <family val="2"/>
        <scheme val="minor"/>
      </rPr>
      <t xml:space="preserve"> - Fax number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</si>
  <si>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Public Targeted Assistance Program
</t>
    </r>
    <r>
      <rPr>
        <b/>
        <sz val="11"/>
        <color theme="1"/>
        <rFont val="Calibri"/>
        <family val="2"/>
        <scheme val="minor"/>
      </rPr>
      <t>02</t>
    </r>
    <r>
      <rPr>
        <sz val="11"/>
        <color theme="1"/>
        <rFont val="Calibri"/>
        <family val="2"/>
        <scheme val="minor"/>
      </rPr>
      <t xml:space="preserve"> - Public Schoolwide Program
</t>
    </r>
    <r>
      <rPr>
        <b/>
        <sz val="11"/>
        <color theme="1"/>
        <rFont val="Calibri"/>
        <family val="2"/>
        <scheme val="minor"/>
      </rPr>
      <t>03</t>
    </r>
    <r>
      <rPr>
        <sz val="11"/>
        <color theme="1"/>
        <rFont val="Calibri"/>
        <family val="2"/>
        <scheme val="minor"/>
      </rPr>
      <t xml:space="preserve"> - Private school students participating
</t>
    </r>
    <r>
      <rPr>
        <b/>
        <sz val="11"/>
        <color theme="1"/>
        <rFont val="Calibri"/>
        <family val="2"/>
        <scheme val="minor"/>
      </rPr>
      <t>04</t>
    </r>
    <r>
      <rPr>
        <sz val="11"/>
        <color theme="1"/>
        <rFont val="Calibri"/>
        <family val="2"/>
        <scheme val="minor"/>
      </rPr>
      <t xml:space="preserve"> - Local Neglected Program
</t>
    </r>
    <r>
      <rPr>
        <b/>
        <sz val="11"/>
        <color theme="1"/>
        <rFont val="Calibri"/>
        <family val="2"/>
        <scheme val="minor"/>
      </rPr>
      <t>05</t>
    </r>
    <r>
      <rPr>
        <sz val="11"/>
        <color theme="1"/>
        <rFont val="Calibri"/>
        <family val="2"/>
        <scheme val="minor"/>
      </rPr>
      <t xml:space="preserve"> - Was not served
</t>
    </r>
  </si>
  <si>
    <r>
      <t>ReadingLanguageArts</t>
    </r>
    <r>
      <rPr>
        <sz val="11"/>
        <color theme="1"/>
        <rFont val="Calibri"/>
        <family val="2"/>
        <scheme val="minor"/>
      </rPr>
      <t xml:space="preserve"> - Reading/Language Arts
</t>
    </r>
    <r>
      <rPr>
        <b/>
        <sz val="11"/>
        <color theme="1"/>
        <rFont val="Calibri"/>
        <family val="2"/>
        <scheme val="minor"/>
      </rPr>
      <t>Mathematics</t>
    </r>
    <r>
      <rPr>
        <sz val="11"/>
        <color theme="1"/>
        <rFont val="Calibri"/>
        <family val="2"/>
        <scheme val="minor"/>
      </rPr>
      <t xml:space="preserve"> - Mathematics
</t>
    </r>
    <r>
      <rPr>
        <b/>
        <sz val="11"/>
        <color theme="1"/>
        <rFont val="Calibri"/>
        <family val="2"/>
        <scheme val="minor"/>
      </rPr>
      <t>Science</t>
    </r>
    <r>
      <rPr>
        <sz val="11"/>
        <color theme="1"/>
        <rFont val="Calibri"/>
        <family val="2"/>
        <scheme val="minor"/>
      </rPr>
      <t xml:space="preserve"> - Science
</t>
    </r>
    <r>
      <rPr>
        <b/>
        <sz val="11"/>
        <color theme="1"/>
        <rFont val="Calibri"/>
        <family val="2"/>
        <scheme val="minor"/>
      </rPr>
      <t>SocialSciences</t>
    </r>
    <r>
      <rPr>
        <sz val="11"/>
        <color theme="1"/>
        <rFont val="Calibri"/>
        <family val="2"/>
        <scheme val="minor"/>
      </rPr>
      <t xml:space="preserve"> - Social Sciences
</t>
    </r>
    <r>
      <rPr>
        <b/>
        <sz val="11"/>
        <color theme="1"/>
        <rFont val="Calibri"/>
        <family val="2"/>
        <scheme val="minor"/>
      </rPr>
      <t>CareerAndTechnical</t>
    </r>
    <r>
      <rPr>
        <sz val="11"/>
        <color theme="1"/>
        <rFont val="Calibri"/>
        <family val="2"/>
        <scheme val="minor"/>
      </rPr>
      <t xml:space="preserve"> - Career and Technical Education
</t>
    </r>
    <r>
      <rPr>
        <b/>
        <sz val="11"/>
        <color theme="1"/>
        <rFont val="Calibri"/>
        <family val="2"/>
        <scheme val="minor"/>
      </rPr>
      <t>Other</t>
    </r>
    <r>
      <rPr>
        <sz val="11"/>
        <color theme="1"/>
        <rFont val="Calibri"/>
        <family val="2"/>
        <scheme val="minor"/>
      </rPr>
      <t xml:space="preserve"> - Other
</t>
    </r>
  </si>
  <si>
    <r>
      <t>TitleITeacher</t>
    </r>
    <r>
      <rPr>
        <sz val="11"/>
        <color theme="1"/>
        <rFont val="Calibri"/>
        <family val="2"/>
        <scheme val="minor"/>
      </rPr>
      <t xml:space="preserve"> - Title I Teachers
</t>
    </r>
    <r>
      <rPr>
        <b/>
        <sz val="11"/>
        <color theme="1"/>
        <rFont val="Calibri"/>
        <family val="2"/>
        <scheme val="minor"/>
      </rPr>
      <t>TitleIParaprofessional</t>
    </r>
    <r>
      <rPr>
        <sz val="11"/>
        <color theme="1"/>
        <rFont val="Calibri"/>
        <family val="2"/>
        <scheme val="minor"/>
      </rPr>
      <t xml:space="preserve"> - Title I Paraprofessionals 
</t>
    </r>
    <r>
      <rPr>
        <b/>
        <sz val="11"/>
        <color theme="1"/>
        <rFont val="Calibri"/>
        <family val="2"/>
        <scheme val="minor"/>
      </rPr>
      <t>TitleISupportStaff</t>
    </r>
    <r>
      <rPr>
        <sz val="11"/>
        <color theme="1"/>
        <rFont val="Calibri"/>
        <family val="2"/>
        <scheme val="minor"/>
      </rPr>
      <t xml:space="preserve"> - Title I Clerical Support Staff
</t>
    </r>
    <r>
      <rPr>
        <b/>
        <sz val="11"/>
        <color theme="1"/>
        <rFont val="Calibri"/>
        <family val="2"/>
        <scheme val="minor"/>
      </rPr>
      <t>TitleIAdministrator</t>
    </r>
    <r>
      <rPr>
        <sz val="11"/>
        <color theme="1"/>
        <rFont val="Calibri"/>
        <family val="2"/>
        <scheme val="minor"/>
      </rPr>
      <t xml:space="preserve"> - Title I Administrators (non-clerical)
</t>
    </r>
    <r>
      <rPr>
        <b/>
        <sz val="11"/>
        <color theme="1"/>
        <rFont val="Calibri"/>
        <family val="2"/>
        <scheme val="minor"/>
      </rPr>
      <t>TitleIOtherParaprofessional</t>
    </r>
    <r>
      <rPr>
        <sz val="11"/>
        <color theme="1"/>
        <rFont val="Calibri"/>
        <family val="2"/>
        <scheme val="minor"/>
      </rPr>
      <t xml:space="preserve"> - Title I Other Paraprofessionals
</t>
    </r>
  </si>
  <si>
    <r>
      <t>TargetedAssistanceProgram</t>
    </r>
    <r>
      <rPr>
        <sz val="11"/>
        <color theme="1"/>
        <rFont val="Calibri"/>
        <family val="2"/>
        <scheme val="minor"/>
      </rPr>
      <t xml:space="preserve"> - Public Targeted Assistance Program
</t>
    </r>
    <r>
      <rPr>
        <b/>
        <sz val="11"/>
        <color theme="1"/>
        <rFont val="Calibri"/>
        <family val="2"/>
        <scheme val="minor"/>
      </rPr>
      <t>SchoolwideProgram</t>
    </r>
    <r>
      <rPr>
        <sz val="11"/>
        <color theme="1"/>
        <rFont val="Calibri"/>
        <family val="2"/>
        <scheme val="minor"/>
      </rPr>
      <t xml:space="preserve"> - Public Schoolwide Program
</t>
    </r>
    <r>
      <rPr>
        <b/>
        <sz val="11"/>
        <color theme="1"/>
        <rFont val="Calibri"/>
        <family val="2"/>
        <scheme val="minor"/>
      </rPr>
      <t>PrivateSchoolStudents</t>
    </r>
    <r>
      <rPr>
        <sz val="11"/>
        <color theme="1"/>
        <rFont val="Calibri"/>
        <family val="2"/>
        <scheme val="minor"/>
      </rPr>
      <t xml:space="preserve"> - Private School Students Participating
</t>
    </r>
    <r>
      <rPr>
        <b/>
        <sz val="11"/>
        <color theme="1"/>
        <rFont val="Calibri"/>
        <family val="2"/>
        <scheme val="minor"/>
      </rPr>
      <t>LocalNeglectedProgram</t>
    </r>
    <r>
      <rPr>
        <sz val="11"/>
        <color theme="1"/>
        <rFont val="Calibri"/>
        <family val="2"/>
        <scheme val="minor"/>
      </rPr>
      <t xml:space="preserve"> - Local Neglected Program
</t>
    </r>
  </si>
  <si>
    <r>
      <t>TGELGBNOPROG</t>
    </r>
    <r>
      <rPr>
        <sz val="11"/>
        <color theme="1"/>
        <rFont val="Calibri"/>
        <family val="2"/>
        <scheme val="minor"/>
      </rPr>
      <t xml:space="preserve"> - Title I Targeted Assistance Eligible School- No Program
</t>
    </r>
    <r>
      <rPr>
        <b/>
        <sz val="11"/>
        <color theme="1"/>
        <rFont val="Calibri"/>
        <family val="2"/>
        <scheme val="minor"/>
      </rPr>
      <t>TGELGBTGPROG</t>
    </r>
    <r>
      <rPr>
        <sz val="11"/>
        <color theme="1"/>
        <rFont val="Calibri"/>
        <family val="2"/>
        <scheme val="minor"/>
      </rPr>
      <t xml:space="preserve"> - Title I Targeted Assistance School
</t>
    </r>
    <r>
      <rPr>
        <b/>
        <sz val="11"/>
        <color theme="1"/>
        <rFont val="Calibri"/>
        <family val="2"/>
        <scheme val="minor"/>
      </rPr>
      <t>SWELIGTGPROG</t>
    </r>
    <r>
      <rPr>
        <sz val="11"/>
        <color theme="1"/>
        <rFont val="Calibri"/>
        <family val="2"/>
        <scheme val="minor"/>
      </rPr>
      <t xml:space="preserve"> - Title I, Schoolwide eligible-Title I Targeted Assistance Program
</t>
    </r>
    <r>
      <rPr>
        <b/>
        <sz val="11"/>
        <color theme="1"/>
        <rFont val="Calibri"/>
        <family val="2"/>
        <scheme val="minor"/>
      </rPr>
      <t>SWELIGNOPROG</t>
    </r>
    <r>
      <rPr>
        <sz val="11"/>
        <color theme="1"/>
        <rFont val="Calibri"/>
        <family val="2"/>
        <scheme val="minor"/>
      </rPr>
      <t xml:space="preserve"> - Title I Schoolwide Eligible School - No Program
</t>
    </r>
    <r>
      <rPr>
        <b/>
        <sz val="11"/>
        <color theme="1"/>
        <rFont val="Calibri"/>
        <family val="2"/>
        <scheme val="minor"/>
      </rPr>
      <t>SWELIGSWPROG</t>
    </r>
    <r>
      <rPr>
        <sz val="11"/>
        <color theme="1"/>
        <rFont val="Calibri"/>
        <family val="2"/>
        <scheme val="minor"/>
      </rPr>
      <t xml:space="preserve"> - Title I Schoolwide School
</t>
    </r>
    <r>
      <rPr>
        <b/>
        <sz val="11"/>
        <color theme="1"/>
        <rFont val="Calibri"/>
        <family val="2"/>
        <scheme val="minor"/>
      </rPr>
      <t>NOTTITLE1ELIG</t>
    </r>
    <r>
      <rPr>
        <sz val="11"/>
        <color theme="1"/>
        <rFont val="Calibri"/>
        <family val="2"/>
        <scheme val="minor"/>
      </rPr>
      <t xml:space="preserve"> - Not a Title I School
</t>
    </r>
  </si>
  <si>
    <r>
      <t>HealthDentalEyeCare</t>
    </r>
    <r>
      <rPr>
        <sz val="11"/>
        <color theme="1"/>
        <rFont val="Calibri"/>
        <family val="2"/>
        <scheme val="minor"/>
      </rPr>
      <t xml:space="preserve"> - Health, Dental and Eye Care
</t>
    </r>
    <r>
      <rPr>
        <b/>
        <sz val="11"/>
        <color theme="1"/>
        <rFont val="Calibri"/>
        <family val="2"/>
        <scheme val="minor"/>
      </rPr>
      <t>GuidanceAdvocacy</t>
    </r>
    <r>
      <rPr>
        <sz val="11"/>
        <color theme="1"/>
        <rFont val="Calibri"/>
        <family val="2"/>
        <scheme val="minor"/>
      </rPr>
      <t xml:space="preserve"> - Supporting Guidance/Advocacy
</t>
    </r>
    <r>
      <rPr>
        <b/>
        <sz val="11"/>
        <color theme="1"/>
        <rFont val="Calibri"/>
        <family val="2"/>
        <scheme val="minor"/>
      </rPr>
      <t>Other</t>
    </r>
    <r>
      <rPr>
        <sz val="11"/>
        <color theme="1"/>
        <rFont val="Calibri"/>
        <family val="2"/>
        <scheme val="minor"/>
      </rPr>
      <t xml:space="preserve"> - Other
</t>
    </r>
  </si>
  <si>
    <r>
      <t>PROGRESS</t>
    </r>
    <r>
      <rPr>
        <sz val="11"/>
        <color theme="1"/>
        <rFont val="Calibri"/>
        <family val="2"/>
        <scheme val="minor"/>
      </rPr>
      <t xml:space="preserve"> - Making progress
</t>
    </r>
    <r>
      <rPr>
        <b/>
        <sz val="11"/>
        <color theme="1"/>
        <rFont val="Calibri"/>
        <family val="2"/>
        <scheme val="minor"/>
      </rPr>
      <t>NOPROGRESS</t>
    </r>
    <r>
      <rPr>
        <sz val="11"/>
        <color theme="1"/>
        <rFont val="Calibri"/>
        <family val="2"/>
        <scheme val="minor"/>
      </rPr>
      <t xml:space="preserve"> - Did not make progress
</t>
    </r>
    <r>
      <rPr>
        <b/>
        <sz val="11"/>
        <color theme="1"/>
        <rFont val="Calibri"/>
        <family val="2"/>
        <scheme val="minor"/>
      </rPr>
      <t>PROFICIENT</t>
    </r>
    <r>
      <rPr>
        <sz val="11"/>
        <color theme="1"/>
        <rFont val="Calibri"/>
        <family val="2"/>
        <scheme val="minor"/>
      </rPr>
      <t xml:space="preserve"> - Attained proficiency
</t>
    </r>
  </si>
  <si>
    <r>
      <t>DualLanguage</t>
    </r>
    <r>
      <rPr>
        <sz val="11"/>
        <color theme="1"/>
        <rFont val="Calibri"/>
        <family val="2"/>
        <scheme val="minor"/>
      </rPr>
      <t xml:space="preserve"> - Dual language
</t>
    </r>
    <r>
      <rPr>
        <b/>
        <sz val="11"/>
        <color theme="1"/>
        <rFont val="Calibri"/>
        <family val="2"/>
        <scheme val="minor"/>
      </rPr>
      <t>TwoWayImmersion</t>
    </r>
    <r>
      <rPr>
        <sz val="11"/>
        <color theme="1"/>
        <rFont val="Calibri"/>
        <family val="2"/>
        <scheme val="minor"/>
      </rPr>
      <t xml:space="preserve"> - Two-way immersion
</t>
    </r>
    <r>
      <rPr>
        <b/>
        <sz val="11"/>
        <color theme="1"/>
        <rFont val="Calibri"/>
        <family val="2"/>
        <scheme val="minor"/>
      </rPr>
      <t>TransitionalBilingual</t>
    </r>
    <r>
      <rPr>
        <sz val="11"/>
        <color theme="1"/>
        <rFont val="Calibri"/>
        <family val="2"/>
        <scheme val="minor"/>
      </rPr>
      <t xml:space="preserve"> - Transitional bilingual
</t>
    </r>
    <r>
      <rPr>
        <b/>
        <sz val="11"/>
        <color theme="1"/>
        <rFont val="Calibri"/>
        <family val="2"/>
        <scheme val="minor"/>
      </rPr>
      <t>DevelopmentalBilingual</t>
    </r>
    <r>
      <rPr>
        <sz val="11"/>
        <color theme="1"/>
        <rFont val="Calibri"/>
        <family val="2"/>
        <scheme val="minor"/>
      </rPr>
      <t xml:space="preserve"> - Developmental bilingual
</t>
    </r>
    <r>
      <rPr>
        <b/>
        <sz val="11"/>
        <color theme="1"/>
        <rFont val="Calibri"/>
        <family val="2"/>
        <scheme val="minor"/>
      </rPr>
      <t>HeritageLanguage</t>
    </r>
    <r>
      <rPr>
        <sz val="11"/>
        <color theme="1"/>
        <rFont val="Calibri"/>
        <family val="2"/>
        <scheme val="minor"/>
      </rPr>
      <t xml:space="preserve"> - Heritage language
</t>
    </r>
    <r>
      <rPr>
        <b/>
        <sz val="11"/>
        <color theme="1"/>
        <rFont val="Calibri"/>
        <family val="2"/>
        <scheme val="minor"/>
      </rPr>
      <t>ShelteredEnglishInstruction</t>
    </r>
    <r>
      <rPr>
        <sz val="11"/>
        <color theme="1"/>
        <rFont val="Calibri"/>
        <family val="2"/>
        <scheme val="minor"/>
      </rPr>
      <t xml:space="preserve"> - Sheltered English instruction
</t>
    </r>
    <r>
      <rPr>
        <b/>
        <sz val="11"/>
        <color theme="1"/>
        <rFont val="Calibri"/>
        <family val="2"/>
        <scheme val="minor"/>
      </rPr>
      <t>StructuredEnglishImmersion</t>
    </r>
    <r>
      <rPr>
        <sz val="11"/>
        <color theme="1"/>
        <rFont val="Calibri"/>
        <family val="2"/>
        <scheme val="minor"/>
      </rPr>
      <t xml:space="preserve"> - Structured English immersion
</t>
    </r>
    <r>
      <rPr>
        <b/>
        <sz val="11"/>
        <color theme="1"/>
        <rFont val="Calibri"/>
        <family val="2"/>
        <scheme val="minor"/>
      </rPr>
      <t>SDAIE</t>
    </r>
    <r>
      <rPr>
        <sz val="11"/>
        <color theme="1"/>
        <rFont val="Calibri"/>
        <family val="2"/>
        <scheme val="minor"/>
      </rPr>
      <t xml:space="preserve"> - Specially designed academic instruction delivered in English (SDAIE)
</t>
    </r>
    <r>
      <rPr>
        <b/>
        <sz val="11"/>
        <color theme="1"/>
        <rFont val="Calibri"/>
        <family val="2"/>
        <scheme val="minor"/>
      </rPr>
      <t>ContentBasedESL</t>
    </r>
    <r>
      <rPr>
        <sz val="11"/>
        <color theme="1"/>
        <rFont val="Calibri"/>
        <family val="2"/>
        <scheme val="minor"/>
      </rPr>
      <t xml:space="preserve"> - Content-based ESL
</t>
    </r>
    <r>
      <rPr>
        <b/>
        <sz val="11"/>
        <color theme="1"/>
        <rFont val="Calibri"/>
        <family val="2"/>
        <scheme val="minor"/>
      </rPr>
      <t>PullOutESL</t>
    </r>
    <r>
      <rPr>
        <sz val="11"/>
        <color theme="1"/>
        <rFont val="Calibri"/>
        <family val="2"/>
        <scheme val="minor"/>
      </rPr>
      <t xml:space="preserve"> - Pull-out ESL
</t>
    </r>
    <r>
      <rPr>
        <b/>
        <sz val="11"/>
        <color theme="1"/>
        <rFont val="Calibri"/>
        <family val="2"/>
        <scheme val="minor"/>
      </rPr>
      <t>Other</t>
    </r>
    <r>
      <rPr>
        <sz val="11"/>
        <color theme="1"/>
        <rFont val="Calibri"/>
        <family val="2"/>
        <scheme val="minor"/>
      </rPr>
      <t xml:space="preserve"> - Other
</t>
    </r>
  </si>
  <si>
    <r>
      <t>InstructionalStrategies</t>
    </r>
    <r>
      <rPr>
        <sz val="11"/>
        <color theme="1"/>
        <rFont val="Calibri"/>
        <family val="2"/>
        <scheme val="minor"/>
      </rPr>
      <t xml:space="preserve"> - Instructional strategies
</t>
    </r>
    <r>
      <rPr>
        <b/>
        <sz val="11"/>
        <color theme="1"/>
        <rFont val="Calibri"/>
        <family val="2"/>
        <scheme val="minor"/>
      </rPr>
      <t>Assessment</t>
    </r>
    <r>
      <rPr>
        <sz val="11"/>
        <color theme="1"/>
        <rFont val="Calibri"/>
        <family val="2"/>
        <scheme val="minor"/>
      </rPr>
      <t xml:space="preserve"> - Assessment
</t>
    </r>
    <r>
      <rPr>
        <b/>
        <sz val="11"/>
        <color theme="1"/>
        <rFont val="Calibri"/>
        <family val="2"/>
        <scheme val="minor"/>
      </rPr>
      <t>ELPContentStandards</t>
    </r>
    <r>
      <rPr>
        <sz val="11"/>
        <color theme="1"/>
        <rFont val="Calibri"/>
        <family val="2"/>
        <scheme val="minor"/>
      </rPr>
      <t xml:space="preserve"> - ELP and content standards
</t>
    </r>
    <r>
      <rPr>
        <b/>
        <sz val="11"/>
        <color theme="1"/>
        <rFont val="Calibri"/>
        <family val="2"/>
        <scheme val="minor"/>
      </rPr>
      <t>CurriculumAlignmentELP</t>
    </r>
    <r>
      <rPr>
        <sz val="11"/>
        <color theme="1"/>
        <rFont val="Calibri"/>
        <family val="2"/>
        <scheme val="minor"/>
      </rPr>
      <t xml:space="preserve"> - Curriculum alignment to ELP standards
</t>
    </r>
    <r>
      <rPr>
        <b/>
        <sz val="11"/>
        <color theme="1"/>
        <rFont val="Calibri"/>
        <family val="2"/>
        <scheme val="minor"/>
      </rPr>
      <t>SubjectMatter</t>
    </r>
    <r>
      <rPr>
        <sz val="11"/>
        <color theme="1"/>
        <rFont val="Calibri"/>
        <family val="2"/>
        <scheme val="minor"/>
      </rPr>
      <t xml:space="preserve"> - Subject matter
</t>
    </r>
    <r>
      <rPr>
        <b/>
        <sz val="11"/>
        <color theme="1"/>
        <rFont val="Calibri"/>
        <family val="2"/>
        <scheme val="minor"/>
      </rPr>
      <t>Other</t>
    </r>
    <r>
      <rPr>
        <sz val="11"/>
        <color theme="1"/>
        <rFont val="Calibri"/>
        <family val="2"/>
        <scheme val="minor"/>
      </rPr>
      <t xml:space="preserve"> - Other
</t>
    </r>
  </si>
  <si>
    <r>
      <t>YesStateDefined</t>
    </r>
    <r>
      <rPr>
        <sz val="11"/>
        <color theme="1"/>
        <rFont val="Calibri"/>
        <family val="2"/>
        <scheme val="minor"/>
      </rPr>
      <t xml:space="preserve"> - Yes, state defined
</t>
    </r>
    <r>
      <rPr>
        <b/>
        <sz val="11"/>
        <color theme="1"/>
        <rFont val="Calibri"/>
        <family val="2"/>
        <scheme val="minor"/>
      </rPr>
      <t>YesInstitutionDefined</t>
    </r>
    <r>
      <rPr>
        <sz val="11"/>
        <color theme="1"/>
        <rFont val="Calibri"/>
        <family val="2"/>
        <scheme val="minor"/>
      </rPr>
      <t xml:space="preserve"> - Yes, institution defined
</t>
    </r>
  </si>
  <si>
    <r>
      <t>InDistrict</t>
    </r>
    <r>
      <rPr>
        <sz val="11"/>
        <color theme="1"/>
        <rFont val="Calibri"/>
        <family val="2"/>
        <scheme val="minor"/>
      </rPr>
      <t xml:space="preserve"> - In-district
</t>
    </r>
    <r>
      <rPr>
        <b/>
        <sz val="11"/>
        <color theme="1"/>
        <rFont val="Calibri"/>
        <family val="2"/>
        <scheme val="minor"/>
      </rPr>
      <t>InState</t>
    </r>
    <r>
      <rPr>
        <sz val="11"/>
        <color theme="1"/>
        <rFont val="Calibri"/>
        <family val="2"/>
        <scheme val="minor"/>
      </rPr>
      <t xml:space="preserve"> - In-state
</t>
    </r>
    <r>
      <rPr>
        <b/>
        <sz val="11"/>
        <color theme="1"/>
        <rFont val="Calibri"/>
        <family val="2"/>
        <scheme val="minor"/>
      </rPr>
      <t>OutOfState</t>
    </r>
    <r>
      <rPr>
        <sz val="11"/>
        <color theme="1"/>
        <rFont val="Calibri"/>
        <family val="2"/>
        <scheme val="minor"/>
      </rPr>
      <t xml:space="preserve"> - Out-of-state
</t>
    </r>
    <r>
      <rPr>
        <b/>
        <sz val="11"/>
        <color theme="1"/>
        <rFont val="Calibri"/>
        <family val="2"/>
        <scheme val="minor"/>
      </rPr>
      <t>NoDifferential</t>
    </r>
    <r>
      <rPr>
        <sz val="11"/>
        <color theme="1"/>
        <rFont val="Calibri"/>
        <family val="2"/>
        <scheme val="minor"/>
      </rPr>
      <t xml:space="preserve"> - No differential tuition based on residency
</t>
    </r>
  </si>
  <si>
    <r>
      <t>PerTerm</t>
    </r>
    <r>
      <rPr>
        <sz val="11"/>
        <color theme="1"/>
        <rFont val="Calibri"/>
        <family val="2"/>
        <scheme val="minor"/>
      </rPr>
      <t xml:space="preserve"> - Per Term
</t>
    </r>
    <r>
      <rPr>
        <b/>
        <sz val="11"/>
        <color theme="1"/>
        <rFont val="Calibri"/>
        <family val="2"/>
        <scheme val="minor"/>
      </rPr>
      <t>PerYear</t>
    </r>
    <r>
      <rPr>
        <sz val="11"/>
        <color theme="1"/>
        <rFont val="Calibri"/>
        <family val="2"/>
        <scheme val="minor"/>
      </rPr>
      <t xml:space="preserve"> - Per Year
</t>
    </r>
    <r>
      <rPr>
        <b/>
        <sz val="11"/>
        <color theme="1"/>
        <rFont val="Calibri"/>
        <family val="2"/>
        <scheme val="minor"/>
      </rPr>
      <t>PerProgram</t>
    </r>
    <r>
      <rPr>
        <sz val="11"/>
        <color theme="1"/>
        <rFont val="Calibri"/>
        <family val="2"/>
        <scheme val="minor"/>
      </rPr>
      <t xml:space="preserve"> - Per Program
</t>
    </r>
    <r>
      <rPr>
        <b/>
        <sz val="11"/>
        <color theme="1"/>
        <rFont val="Calibri"/>
        <family val="2"/>
        <scheme val="minor"/>
      </rPr>
      <t>PerCourse</t>
    </r>
    <r>
      <rPr>
        <sz val="11"/>
        <color theme="1"/>
        <rFont val="Calibri"/>
        <family val="2"/>
        <scheme val="minor"/>
      </rPr>
      <t xml:space="preserve"> - Per Course
</t>
    </r>
    <r>
      <rPr>
        <b/>
        <sz val="11"/>
        <color theme="1"/>
        <rFont val="Calibri"/>
        <family val="2"/>
        <scheme val="minor"/>
      </rPr>
      <t>PerCredit</t>
    </r>
    <r>
      <rPr>
        <sz val="11"/>
        <color theme="1"/>
        <rFont val="Calibri"/>
        <family val="2"/>
        <scheme val="minor"/>
      </rPr>
      <t xml:space="preserve"> - Per Credit
</t>
    </r>
  </si>
  <si>
    <r>
      <t>01</t>
    </r>
    <r>
      <rPr>
        <sz val="11"/>
        <color theme="1"/>
        <rFont val="Calibri"/>
        <family val="2"/>
        <scheme val="minor"/>
      </rPr>
      <t xml:space="preserve"> - Teacher recruitment and retention
</t>
    </r>
    <r>
      <rPr>
        <b/>
        <sz val="11"/>
        <color theme="1"/>
        <rFont val="Calibri"/>
        <family val="2"/>
        <scheme val="minor"/>
      </rPr>
      <t>02</t>
    </r>
    <r>
      <rPr>
        <sz val="11"/>
        <color theme="1"/>
        <rFont val="Calibri"/>
        <family val="2"/>
        <scheme val="minor"/>
      </rPr>
      <t xml:space="preserve"> - Teacher professional development
</t>
    </r>
    <r>
      <rPr>
        <b/>
        <sz val="11"/>
        <color theme="1"/>
        <rFont val="Calibri"/>
        <family val="2"/>
        <scheme val="minor"/>
      </rPr>
      <t>03</t>
    </r>
    <r>
      <rPr>
        <sz val="11"/>
        <color theme="1"/>
        <rFont val="Calibri"/>
        <family val="2"/>
        <scheme val="minor"/>
      </rPr>
      <t xml:space="preserve"> - Educational technology
</t>
    </r>
    <r>
      <rPr>
        <b/>
        <sz val="11"/>
        <color theme="1"/>
        <rFont val="Calibri"/>
        <family val="2"/>
        <scheme val="minor"/>
      </rPr>
      <t>04</t>
    </r>
    <r>
      <rPr>
        <sz val="11"/>
        <color theme="1"/>
        <rFont val="Calibri"/>
        <family val="2"/>
        <scheme val="minor"/>
      </rPr>
      <t xml:space="preserve"> - Parental involvement activities
</t>
    </r>
    <r>
      <rPr>
        <b/>
        <sz val="11"/>
        <color theme="1"/>
        <rFont val="Calibri"/>
        <family val="2"/>
        <scheme val="minor"/>
      </rPr>
      <t>05</t>
    </r>
    <r>
      <rPr>
        <sz val="11"/>
        <color theme="1"/>
        <rFont val="Calibri"/>
        <family val="2"/>
        <scheme val="minor"/>
      </rPr>
      <t xml:space="preserve"> - Activities authorized under the Safe and Drug-Free Schools Program (Title IV, Part A)
</t>
    </r>
    <r>
      <rPr>
        <b/>
        <sz val="11"/>
        <color theme="1"/>
        <rFont val="Calibri"/>
        <family val="2"/>
        <scheme val="minor"/>
      </rPr>
      <t>06</t>
    </r>
    <r>
      <rPr>
        <sz val="11"/>
        <color theme="1"/>
        <rFont val="Calibri"/>
        <family val="2"/>
        <scheme val="minor"/>
      </rPr>
      <t xml:space="preserve"> - Activities authorized under Title I, Part A
</t>
    </r>
    <r>
      <rPr>
        <b/>
        <sz val="11"/>
        <color theme="1"/>
        <rFont val="Calibri"/>
        <family val="2"/>
        <scheme val="minor"/>
      </rPr>
      <t>07</t>
    </r>
    <r>
      <rPr>
        <sz val="11"/>
        <color theme="1"/>
        <rFont val="Calibri"/>
        <family val="2"/>
        <scheme val="minor"/>
      </rPr>
      <t xml:space="preserve"> - Activities authorized under Title III (Language instruction for LEP and immigrant students)
</t>
    </r>
  </si>
  <si>
    <r>
      <t>USCitizen</t>
    </r>
    <r>
      <rPr>
        <sz val="11"/>
        <color theme="1"/>
        <rFont val="Calibri"/>
        <family val="2"/>
        <scheme val="minor"/>
      </rPr>
      <t xml:space="preserve"> - US Citizen
</t>
    </r>
    <r>
      <rPr>
        <b/>
        <sz val="11"/>
        <color theme="1"/>
        <rFont val="Calibri"/>
        <family val="2"/>
        <scheme val="minor"/>
      </rPr>
      <t>PermanentResident</t>
    </r>
    <r>
      <rPr>
        <sz val="11"/>
        <color theme="1"/>
        <rFont val="Calibri"/>
        <family val="2"/>
        <scheme val="minor"/>
      </rPr>
      <t xml:space="preserve"> - Permanent resident
</t>
    </r>
    <r>
      <rPr>
        <b/>
        <sz val="11"/>
        <color theme="1"/>
        <rFont val="Calibri"/>
        <family val="2"/>
        <scheme val="minor"/>
      </rPr>
      <t>ResidentAlien</t>
    </r>
    <r>
      <rPr>
        <sz val="11"/>
        <color theme="1"/>
        <rFont val="Calibri"/>
        <family val="2"/>
        <scheme val="minor"/>
      </rPr>
      <t xml:space="preserve"> - Resident alien
</t>
    </r>
    <r>
      <rPr>
        <b/>
        <sz val="11"/>
        <color theme="1"/>
        <rFont val="Calibri"/>
        <family val="2"/>
        <scheme val="minor"/>
      </rPr>
      <t>NonResidentAlien</t>
    </r>
    <r>
      <rPr>
        <sz val="11"/>
        <color theme="1"/>
        <rFont val="Calibri"/>
        <family val="2"/>
        <scheme val="minor"/>
      </rPr>
      <t xml:space="preserve"> - Non-resident alien
</t>
    </r>
    <r>
      <rPr>
        <b/>
        <sz val="11"/>
        <color theme="1"/>
        <rFont val="Calibri"/>
        <family val="2"/>
        <scheme val="minor"/>
      </rPr>
      <t>Refugee</t>
    </r>
    <r>
      <rPr>
        <sz val="11"/>
        <color theme="1"/>
        <rFont val="Calibri"/>
        <family val="2"/>
        <scheme val="minor"/>
      </rPr>
      <t xml:space="preserve"> - Refugee
</t>
    </r>
  </si>
  <si>
    <r>
      <t>01</t>
    </r>
    <r>
      <rPr>
        <sz val="11"/>
        <color theme="1"/>
        <rFont val="Calibri"/>
        <family val="2"/>
        <scheme val="minor"/>
      </rPr>
      <t xml:space="preserve"> - Administering assessments required by section 1111(b)
</t>
    </r>
    <r>
      <rPr>
        <b/>
        <sz val="11"/>
        <color theme="1"/>
        <rFont val="Calibri"/>
        <family val="2"/>
        <scheme val="minor"/>
      </rPr>
      <t>02</t>
    </r>
    <r>
      <rPr>
        <sz val="11"/>
        <color theme="1"/>
        <rFont val="Calibri"/>
        <family val="2"/>
        <scheme val="minor"/>
      </rPr>
      <t xml:space="preserve"> - Developing challenging State academic content and student academic achievement standards
</t>
    </r>
    <r>
      <rPr>
        <b/>
        <sz val="11"/>
        <color theme="1"/>
        <rFont val="Calibri"/>
        <family val="2"/>
        <scheme val="minor"/>
      </rPr>
      <t>03</t>
    </r>
    <r>
      <rPr>
        <sz val="11"/>
        <color theme="1"/>
        <rFont val="Calibri"/>
        <family val="2"/>
        <scheme val="minor"/>
      </rPr>
      <t xml:space="preserve"> - Developing or improving assessments of English language proficiency
</t>
    </r>
    <r>
      <rPr>
        <b/>
        <sz val="11"/>
        <color theme="1"/>
        <rFont val="Calibri"/>
        <family val="2"/>
        <scheme val="minor"/>
      </rPr>
      <t>04</t>
    </r>
    <r>
      <rPr>
        <sz val="11"/>
        <color theme="1"/>
        <rFont val="Calibri"/>
        <family val="2"/>
        <scheme val="minor"/>
      </rPr>
      <t xml:space="preserve"> - Ensuring the continued validity and reliability of State assessments
</t>
    </r>
    <r>
      <rPr>
        <b/>
        <sz val="11"/>
        <color theme="1"/>
        <rFont val="Calibri"/>
        <family val="2"/>
        <scheme val="minor"/>
      </rPr>
      <t>05</t>
    </r>
    <r>
      <rPr>
        <sz val="11"/>
        <color theme="1"/>
        <rFont val="Calibri"/>
        <family val="2"/>
        <scheme val="minor"/>
      </rPr>
      <t xml:space="preserve"> - Developing multiple measures to increase the reliability and validity of State assessment systems
</t>
    </r>
    <r>
      <rPr>
        <b/>
        <sz val="11"/>
        <color theme="1"/>
        <rFont val="Calibri"/>
        <family val="2"/>
        <scheme val="minor"/>
      </rPr>
      <t>06</t>
    </r>
    <r>
      <rPr>
        <sz val="11"/>
        <color theme="1"/>
        <rFont val="Calibri"/>
        <family val="2"/>
        <scheme val="minor"/>
      </rPr>
      <t xml:space="preserve"> - Strengthening the capacity of local educational agencies and schools
</t>
    </r>
    <r>
      <rPr>
        <b/>
        <sz val="11"/>
        <color theme="1"/>
        <rFont val="Calibri"/>
        <family val="2"/>
        <scheme val="minor"/>
      </rPr>
      <t>07</t>
    </r>
    <r>
      <rPr>
        <sz val="11"/>
        <color theme="1"/>
        <rFont val="Calibri"/>
        <family val="2"/>
        <scheme val="minor"/>
      </rPr>
      <t xml:space="preserve"> - Expanding range of accommodations to students with LEP and students with disabilities (IDEA)
</t>
    </r>
    <r>
      <rPr>
        <b/>
        <sz val="11"/>
        <color theme="1"/>
        <rFont val="Calibri"/>
        <family val="2"/>
        <scheme val="minor"/>
      </rPr>
      <t>08</t>
    </r>
    <r>
      <rPr>
        <sz val="11"/>
        <color theme="1"/>
        <rFont val="Calibri"/>
        <family val="2"/>
        <scheme val="minor"/>
      </rPr>
      <t xml:space="preserve"> - Improving the dissemination of information on student achievement and school performance
</t>
    </r>
    <r>
      <rPr>
        <b/>
        <sz val="11"/>
        <color theme="1"/>
        <rFont val="Calibri"/>
        <family val="2"/>
        <scheme val="minor"/>
      </rPr>
      <t>09</t>
    </r>
    <r>
      <rPr>
        <sz val="11"/>
        <color theme="1"/>
        <rFont val="Calibri"/>
        <family val="2"/>
        <scheme val="minor"/>
      </rPr>
      <t xml:space="preserve"> - Other
</t>
    </r>
  </si>
  <si>
    <r>
      <t>F1</t>
    </r>
    <r>
      <rPr>
        <sz val="11"/>
        <color theme="1"/>
        <rFont val="Calibri"/>
        <family val="2"/>
        <scheme val="minor"/>
      </rPr>
      <t xml:space="preserve"> - Foreign Student Visa
</t>
    </r>
    <r>
      <rPr>
        <b/>
        <sz val="11"/>
        <color theme="1"/>
        <rFont val="Calibri"/>
        <family val="2"/>
        <scheme val="minor"/>
      </rPr>
      <t>M1</t>
    </r>
    <r>
      <rPr>
        <sz val="11"/>
        <color theme="1"/>
        <rFont val="Calibri"/>
        <family val="2"/>
        <scheme val="minor"/>
      </rPr>
      <t xml:space="preserve"> - Foreign Student pursuing vocational or non-academic studies Visa
</t>
    </r>
    <r>
      <rPr>
        <b/>
        <sz val="11"/>
        <color theme="1"/>
        <rFont val="Calibri"/>
        <family val="2"/>
        <scheme val="minor"/>
      </rPr>
      <t>H1</t>
    </r>
    <r>
      <rPr>
        <sz val="11"/>
        <color theme="1"/>
        <rFont val="Calibri"/>
        <family val="2"/>
        <scheme val="minor"/>
      </rPr>
      <t xml:space="preserve"> - Employment Visa
</t>
    </r>
    <r>
      <rPr>
        <b/>
        <sz val="11"/>
        <color theme="1"/>
        <rFont val="Calibri"/>
        <family val="2"/>
        <scheme val="minor"/>
      </rPr>
      <t>B1</t>
    </r>
    <r>
      <rPr>
        <sz val="11"/>
        <color theme="1"/>
        <rFont val="Calibri"/>
        <family val="2"/>
        <scheme val="minor"/>
      </rPr>
      <t xml:space="preserve"> - Business Visa
</t>
    </r>
    <r>
      <rPr>
        <b/>
        <sz val="11"/>
        <color theme="1"/>
        <rFont val="Calibri"/>
        <family val="2"/>
        <scheme val="minor"/>
      </rPr>
      <t>B2</t>
    </r>
    <r>
      <rPr>
        <sz val="11"/>
        <color theme="1"/>
        <rFont val="Calibri"/>
        <family val="2"/>
        <scheme val="minor"/>
      </rPr>
      <t xml:space="preserve"> - Tourist Visa
</t>
    </r>
    <r>
      <rPr>
        <b/>
        <sz val="11"/>
        <color theme="1"/>
        <rFont val="Calibri"/>
        <family val="2"/>
        <scheme val="minor"/>
      </rPr>
      <t>J1</t>
    </r>
    <r>
      <rPr>
        <sz val="11"/>
        <color theme="1"/>
        <rFont val="Calibri"/>
        <family val="2"/>
        <scheme val="minor"/>
      </rPr>
      <t xml:space="preserve"> - Exchange Scholar Visa
</t>
    </r>
    <r>
      <rPr>
        <b/>
        <sz val="11"/>
        <color theme="1"/>
        <rFont val="Calibri"/>
        <family val="2"/>
        <scheme val="minor"/>
      </rPr>
      <t>OV</t>
    </r>
    <r>
      <rPr>
        <sz val="11"/>
        <color theme="1"/>
        <rFont val="Calibri"/>
        <family val="2"/>
        <scheme val="minor"/>
      </rPr>
      <t xml:space="preserve"> - Other Visa
</t>
    </r>
  </si>
  <si>
    <r>
      <t>01</t>
    </r>
    <r>
      <rPr>
        <sz val="11"/>
        <color theme="1"/>
        <rFont val="Calibri"/>
        <family val="2"/>
        <scheme val="minor"/>
      </rPr>
      <t xml:space="preserve"> - Collected as an hourly wage amount
</t>
    </r>
    <r>
      <rPr>
        <b/>
        <sz val="11"/>
        <color theme="1"/>
        <rFont val="Calibri"/>
        <family val="2"/>
        <scheme val="minor"/>
      </rPr>
      <t>02</t>
    </r>
    <r>
      <rPr>
        <sz val="11"/>
        <color theme="1"/>
        <rFont val="Calibri"/>
        <family val="2"/>
        <scheme val="minor"/>
      </rPr>
      <t xml:space="preserve"> - Collected as salary and converted to an hourly wage amount
</t>
    </r>
    <r>
      <rPr>
        <b/>
        <sz val="11"/>
        <color theme="1"/>
        <rFont val="Calibri"/>
        <family val="2"/>
        <scheme val="minor"/>
      </rPr>
      <t>03</t>
    </r>
    <r>
      <rPr>
        <sz val="11"/>
        <color theme="1"/>
        <rFont val="Calibri"/>
        <family val="2"/>
        <scheme val="minor"/>
      </rPr>
      <t xml:space="preserve"> - Collected in both methods but method not tracked on an individual record
</t>
    </r>
    <r>
      <rPr>
        <b/>
        <sz val="11"/>
        <color theme="1"/>
        <rFont val="Calibri"/>
        <family val="2"/>
        <scheme val="minor"/>
      </rPr>
      <t>99</t>
    </r>
    <r>
      <rPr>
        <sz val="11"/>
        <color theme="1"/>
        <rFont val="Calibri"/>
        <family val="2"/>
        <scheme val="minor"/>
      </rPr>
      <t xml:space="preserve"> - Wage data not present
</t>
    </r>
  </si>
  <si>
    <r>
      <t>01</t>
    </r>
    <r>
      <rPr>
        <sz val="11"/>
        <color theme="1"/>
        <rFont val="Calibri"/>
        <family val="2"/>
        <scheme val="minor"/>
      </rPr>
      <t xml:space="preserve"> - Verified
</t>
    </r>
    <r>
      <rPr>
        <b/>
        <sz val="11"/>
        <color theme="1"/>
        <rFont val="Calibri"/>
        <family val="2"/>
        <scheme val="minor"/>
      </rPr>
      <t>02</t>
    </r>
    <r>
      <rPr>
        <sz val="11"/>
        <color theme="1"/>
        <rFont val="Calibri"/>
        <family val="2"/>
        <scheme val="minor"/>
      </rPr>
      <t xml:space="preserve"> - Not verified
</t>
    </r>
    <r>
      <rPr>
        <b/>
        <sz val="11"/>
        <color theme="1"/>
        <rFont val="Calibri"/>
        <family val="2"/>
        <scheme val="minor"/>
      </rPr>
      <t>03</t>
    </r>
    <r>
      <rPr>
        <sz val="11"/>
        <color theme="1"/>
        <rFont val="Calibri"/>
        <family val="2"/>
        <scheme val="minor"/>
      </rPr>
      <t xml:space="preserve"> - Wage data not present
</t>
    </r>
  </si>
  <si>
    <r>
      <t>Firearm</t>
    </r>
    <r>
      <rPr>
        <sz val="11"/>
        <color theme="1"/>
        <rFont val="Calibri"/>
        <family val="2"/>
        <scheme val="minor"/>
      </rPr>
      <t xml:space="preserve"> - Firearm
</t>
    </r>
    <r>
      <rPr>
        <b/>
        <sz val="11"/>
        <color theme="1"/>
        <rFont val="Calibri"/>
        <family val="2"/>
        <scheme val="minor"/>
      </rPr>
      <t>Handgun</t>
    </r>
    <r>
      <rPr>
        <sz val="11"/>
        <color theme="1"/>
        <rFont val="Calibri"/>
        <family val="2"/>
        <scheme val="minor"/>
      </rPr>
      <t xml:space="preserve"> - Handgun
</t>
    </r>
    <r>
      <rPr>
        <b/>
        <sz val="11"/>
        <color theme="1"/>
        <rFont val="Calibri"/>
        <family val="2"/>
        <scheme val="minor"/>
      </rPr>
      <t>Shotgun</t>
    </r>
    <r>
      <rPr>
        <sz val="11"/>
        <color theme="1"/>
        <rFont val="Calibri"/>
        <family val="2"/>
        <scheme val="minor"/>
      </rPr>
      <t xml:space="preserve"> - Shotgun
</t>
    </r>
    <r>
      <rPr>
        <b/>
        <sz val="11"/>
        <color theme="1"/>
        <rFont val="Calibri"/>
        <family val="2"/>
        <scheme val="minor"/>
      </rPr>
      <t>Rifle</t>
    </r>
    <r>
      <rPr>
        <sz val="11"/>
        <color theme="1"/>
        <rFont val="Calibri"/>
        <family val="2"/>
        <scheme val="minor"/>
      </rPr>
      <t xml:space="preserve"> - Rifle
</t>
    </r>
    <r>
      <rPr>
        <b/>
        <sz val="11"/>
        <color theme="1"/>
        <rFont val="Calibri"/>
        <family val="2"/>
        <scheme val="minor"/>
      </rPr>
      <t>OtherFirearm</t>
    </r>
    <r>
      <rPr>
        <sz val="11"/>
        <color theme="1"/>
        <rFont val="Calibri"/>
        <family val="2"/>
        <scheme val="minor"/>
      </rPr>
      <t xml:space="preserve"> - Other Firearm
</t>
    </r>
    <r>
      <rPr>
        <b/>
        <sz val="11"/>
        <color theme="1"/>
        <rFont val="Calibri"/>
        <family val="2"/>
        <scheme val="minor"/>
      </rPr>
      <t>Knife</t>
    </r>
    <r>
      <rPr>
        <sz val="11"/>
        <color theme="1"/>
        <rFont val="Calibri"/>
        <family val="2"/>
        <scheme val="minor"/>
      </rPr>
      <t xml:space="preserve"> - Knife
</t>
    </r>
    <r>
      <rPr>
        <b/>
        <sz val="11"/>
        <color theme="1"/>
        <rFont val="Calibri"/>
        <family val="2"/>
        <scheme val="minor"/>
      </rPr>
      <t>KnifeLessThanTwoPointFiveInches</t>
    </r>
    <r>
      <rPr>
        <sz val="11"/>
        <color theme="1"/>
        <rFont val="Calibri"/>
        <family val="2"/>
        <scheme val="minor"/>
      </rPr>
      <t xml:space="preserve"> - Knife Less Than 2.5 Inches
</t>
    </r>
    <r>
      <rPr>
        <b/>
        <sz val="11"/>
        <color theme="1"/>
        <rFont val="Calibri"/>
        <family val="2"/>
        <scheme val="minor"/>
      </rPr>
      <t>KnifeLessThanThreeInches</t>
    </r>
    <r>
      <rPr>
        <sz val="11"/>
        <color theme="1"/>
        <rFont val="Calibri"/>
        <family val="2"/>
        <scheme val="minor"/>
      </rPr>
      <t xml:space="preserve"> - Knife Less Than Three Inches
</t>
    </r>
    <r>
      <rPr>
        <b/>
        <sz val="11"/>
        <color theme="1"/>
        <rFont val="Calibri"/>
        <family val="2"/>
        <scheme val="minor"/>
      </rPr>
      <t>KnifeGreaterThanThreeInches</t>
    </r>
    <r>
      <rPr>
        <sz val="11"/>
        <color theme="1"/>
        <rFont val="Calibri"/>
        <family val="2"/>
        <scheme val="minor"/>
      </rPr>
      <t xml:space="preserve"> - Knife Greater Than Three Inches
</t>
    </r>
    <r>
      <rPr>
        <b/>
        <sz val="11"/>
        <color theme="1"/>
        <rFont val="Calibri"/>
        <family val="2"/>
        <scheme val="minor"/>
      </rPr>
      <t>OtherSharpObject</t>
    </r>
    <r>
      <rPr>
        <sz val="11"/>
        <color theme="1"/>
        <rFont val="Calibri"/>
        <family val="2"/>
        <scheme val="minor"/>
      </rPr>
      <t xml:space="preserve"> - Other sharp object
</t>
    </r>
    <r>
      <rPr>
        <b/>
        <sz val="11"/>
        <color theme="1"/>
        <rFont val="Calibri"/>
        <family val="2"/>
        <scheme val="minor"/>
      </rPr>
      <t>OtherObject</t>
    </r>
    <r>
      <rPr>
        <sz val="11"/>
        <color theme="1"/>
        <rFont val="Calibri"/>
        <family val="2"/>
        <scheme val="minor"/>
      </rPr>
      <t xml:space="preserve"> - Other object
</t>
    </r>
    <r>
      <rPr>
        <b/>
        <sz val="11"/>
        <color theme="1"/>
        <rFont val="Calibri"/>
        <family val="2"/>
        <scheme val="minor"/>
      </rPr>
      <t>Substance</t>
    </r>
    <r>
      <rPr>
        <sz val="11"/>
        <color theme="1"/>
        <rFont val="Calibri"/>
        <family val="2"/>
        <scheme val="minor"/>
      </rPr>
      <t xml:space="preserve"> - Substance used as weapon
</t>
    </r>
    <r>
      <rPr>
        <b/>
        <sz val="11"/>
        <color theme="1"/>
        <rFont val="Calibri"/>
        <family val="2"/>
        <scheme val="minor"/>
      </rPr>
      <t>OtherWeapon</t>
    </r>
    <r>
      <rPr>
        <sz val="11"/>
        <color theme="1"/>
        <rFont val="Calibri"/>
        <family val="2"/>
        <scheme val="minor"/>
      </rPr>
      <t xml:space="preserve"> - Other weapon
</t>
    </r>
    <r>
      <rPr>
        <b/>
        <sz val="11"/>
        <color theme="1"/>
        <rFont val="Calibri"/>
        <family val="2"/>
        <scheme val="minor"/>
      </rPr>
      <t>None</t>
    </r>
    <r>
      <rPr>
        <sz val="11"/>
        <color theme="1"/>
        <rFont val="Calibri"/>
        <family val="2"/>
        <scheme val="minor"/>
      </rPr>
      <t xml:space="preserve"> - None
</t>
    </r>
    <r>
      <rPr>
        <b/>
        <sz val="11"/>
        <color theme="1"/>
        <rFont val="Calibri"/>
        <family val="2"/>
        <scheme val="minor"/>
      </rPr>
      <t>Unknown</t>
    </r>
    <r>
      <rPr>
        <sz val="11"/>
        <color theme="1"/>
        <rFont val="Calibri"/>
        <family val="2"/>
        <scheme val="minor"/>
      </rPr>
      <t xml:space="preserve"> - Unknown weapon
</t>
    </r>
  </si>
  <si>
    <r>
      <t>Apprenticeship</t>
    </r>
    <r>
      <rPr>
        <sz val="11"/>
        <color theme="1"/>
        <rFont val="Calibri"/>
        <family val="2"/>
        <scheme val="minor"/>
      </rPr>
      <t xml:space="preserve"> - Apprenticeship
</t>
    </r>
    <r>
      <rPr>
        <b/>
        <sz val="11"/>
        <color theme="1"/>
        <rFont val="Calibri"/>
        <family val="2"/>
        <scheme val="minor"/>
      </rPr>
      <t>ClinicalWork</t>
    </r>
    <r>
      <rPr>
        <sz val="11"/>
        <color theme="1"/>
        <rFont val="Calibri"/>
        <family val="2"/>
        <scheme val="minor"/>
      </rPr>
      <t xml:space="preserve"> - Clinical work experience
</t>
    </r>
    <r>
      <rPr>
        <b/>
        <sz val="11"/>
        <color theme="1"/>
        <rFont val="Calibri"/>
        <family val="2"/>
        <scheme val="minor"/>
      </rPr>
      <t>CooperativeEducation</t>
    </r>
    <r>
      <rPr>
        <sz val="11"/>
        <color theme="1"/>
        <rFont val="Calibri"/>
        <family val="2"/>
        <scheme val="minor"/>
      </rPr>
      <t xml:space="preserve"> - Cooperative education
</t>
    </r>
    <r>
      <rPr>
        <b/>
        <sz val="11"/>
        <color theme="1"/>
        <rFont val="Calibri"/>
        <family val="2"/>
        <scheme val="minor"/>
      </rPr>
      <t>JobShadowing</t>
    </r>
    <r>
      <rPr>
        <sz val="11"/>
        <color theme="1"/>
        <rFont val="Calibri"/>
        <family val="2"/>
        <scheme val="minor"/>
      </rPr>
      <t xml:space="preserve"> - Job shadowing
</t>
    </r>
    <r>
      <rPr>
        <b/>
        <sz val="11"/>
        <color theme="1"/>
        <rFont val="Calibri"/>
        <family val="2"/>
        <scheme val="minor"/>
      </rPr>
      <t>Mentorship</t>
    </r>
    <r>
      <rPr>
        <sz val="11"/>
        <color theme="1"/>
        <rFont val="Calibri"/>
        <family val="2"/>
        <scheme val="minor"/>
      </rPr>
      <t xml:space="preserve"> - Mentorship
</t>
    </r>
    <r>
      <rPr>
        <b/>
        <sz val="11"/>
        <color theme="1"/>
        <rFont val="Calibri"/>
        <family val="2"/>
        <scheme val="minor"/>
      </rPr>
      <t>NonPaidInternship</t>
    </r>
    <r>
      <rPr>
        <sz val="11"/>
        <color theme="1"/>
        <rFont val="Calibri"/>
        <family val="2"/>
        <scheme val="minor"/>
      </rPr>
      <t xml:space="preserve"> - Non-Paid Internship
</t>
    </r>
    <r>
      <rPr>
        <b/>
        <sz val="11"/>
        <color theme="1"/>
        <rFont val="Calibri"/>
        <family val="2"/>
        <scheme val="minor"/>
      </rPr>
      <t>OnTheJob</t>
    </r>
    <r>
      <rPr>
        <sz val="11"/>
        <color theme="1"/>
        <rFont val="Calibri"/>
        <family val="2"/>
        <scheme val="minor"/>
      </rPr>
      <t xml:space="preserve"> - On-the-Job
</t>
    </r>
    <r>
      <rPr>
        <b/>
        <sz val="11"/>
        <color theme="1"/>
        <rFont val="Calibri"/>
        <family val="2"/>
        <scheme val="minor"/>
      </rPr>
      <t>PaidInternship</t>
    </r>
    <r>
      <rPr>
        <sz val="11"/>
        <color theme="1"/>
        <rFont val="Calibri"/>
        <family val="2"/>
        <scheme val="minor"/>
      </rPr>
      <t xml:space="preserve"> - Paid internship
</t>
    </r>
    <r>
      <rPr>
        <b/>
        <sz val="11"/>
        <color theme="1"/>
        <rFont val="Calibri"/>
        <family val="2"/>
        <scheme val="minor"/>
      </rPr>
      <t>ServiceLearning</t>
    </r>
    <r>
      <rPr>
        <sz val="11"/>
        <color theme="1"/>
        <rFont val="Calibri"/>
        <family val="2"/>
        <scheme val="minor"/>
      </rPr>
      <t xml:space="preserve"> - Service learning
</t>
    </r>
    <r>
      <rPr>
        <b/>
        <sz val="11"/>
        <color theme="1"/>
        <rFont val="Calibri"/>
        <family val="2"/>
        <scheme val="minor"/>
      </rPr>
      <t>SupervisedAgricultural</t>
    </r>
    <r>
      <rPr>
        <sz val="11"/>
        <color theme="1"/>
        <rFont val="Calibri"/>
        <family val="2"/>
        <scheme val="minor"/>
      </rPr>
      <t xml:space="preserve"> - Supervised agricultural experience
</t>
    </r>
    <r>
      <rPr>
        <b/>
        <sz val="11"/>
        <color theme="1"/>
        <rFont val="Calibri"/>
        <family val="2"/>
        <scheme val="minor"/>
      </rPr>
      <t>UnpaidInternship</t>
    </r>
    <r>
      <rPr>
        <sz val="11"/>
        <color theme="1"/>
        <rFont val="Calibri"/>
        <family val="2"/>
        <scheme val="minor"/>
      </rPr>
      <t xml:space="preserve"> - Unpaid internship
</t>
    </r>
    <r>
      <rPr>
        <b/>
        <sz val="11"/>
        <color theme="1"/>
        <rFont val="Calibri"/>
        <family val="2"/>
        <scheme val="minor"/>
      </rPr>
      <t>Other</t>
    </r>
    <r>
      <rPr>
        <sz val="11"/>
        <color theme="1"/>
        <rFont val="Calibri"/>
        <family val="2"/>
        <scheme val="minor"/>
      </rPr>
      <t xml:space="preserve"> - Other
</t>
    </r>
  </si>
  <si>
    <r>
      <t>01</t>
    </r>
    <r>
      <rPr>
        <sz val="11"/>
        <color theme="1"/>
        <rFont val="Calibri"/>
        <family val="2"/>
        <scheme val="minor"/>
      </rPr>
      <t xml:space="preserve"> - Labor Exchange Services
</t>
    </r>
    <r>
      <rPr>
        <b/>
        <sz val="11"/>
        <color theme="1"/>
        <rFont val="Calibri"/>
        <family val="2"/>
        <scheme val="minor"/>
      </rPr>
      <t>02</t>
    </r>
    <r>
      <rPr>
        <sz val="11"/>
        <color theme="1"/>
        <rFont val="Calibri"/>
        <family val="2"/>
        <scheme val="minor"/>
      </rPr>
      <t xml:space="preserve"> - Adult Workforce Investment Act Program
</t>
    </r>
    <r>
      <rPr>
        <b/>
        <sz val="11"/>
        <color theme="1"/>
        <rFont val="Calibri"/>
        <family val="2"/>
        <scheme val="minor"/>
      </rPr>
      <t>03</t>
    </r>
    <r>
      <rPr>
        <sz val="11"/>
        <color theme="1"/>
        <rFont val="Calibri"/>
        <family val="2"/>
        <scheme val="minor"/>
      </rPr>
      <t xml:space="preserve"> - Dislocated Worker Workforce Investment Act Program
</t>
    </r>
    <r>
      <rPr>
        <b/>
        <sz val="11"/>
        <color theme="1"/>
        <rFont val="Calibri"/>
        <family val="2"/>
        <scheme val="minor"/>
      </rPr>
      <t>04</t>
    </r>
    <r>
      <rPr>
        <sz val="11"/>
        <color theme="1"/>
        <rFont val="Calibri"/>
        <family val="2"/>
        <scheme val="minor"/>
      </rPr>
      <t xml:space="preserve"> - Youth Workforce Investment Act Program
</t>
    </r>
    <r>
      <rPr>
        <b/>
        <sz val="11"/>
        <color theme="1"/>
        <rFont val="Calibri"/>
        <family val="2"/>
        <scheme val="minor"/>
      </rPr>
      <t>05</t>
    </r>
    <r>
      <rPr>
        <sz val="11"/>
        <color theme="1"/>
        <rFont val="Calibri"/>
        <family val="2"/>
        <scheme val="minor"/>
      </rPr>
      <t xml:space="preserve"> - Job Corps
</t>
    </r>
    <r>
      <rPr>
        <b/>
        <sz val="11"/>
        <color theme="1"/>
        <rFont val="Calibri"/>
        <family val="2"/>
        <scheme val="minor"/>
      </rPr>
      <t>06</t>
    </r>
    <r>
      <rPr>
        <sz val="11"/>
        <color theme="1"/>
        <rFont val="Calibri"/>
        <family val="2"/>
        <scheme val="minor"/>
      </rPr>
      <t xml:space="preserve"> - Adult Education and Literacy
</t>
    </r>
    <r>
      <rPr>
        <b/>
        <sz val="11"/>
        <color theme="1"/>
        <rFont val="Calibri"/>
        <family val="2"/>
        <scheme val="minor"/>
      </rPr>
      <t>07</t>
    </r>
    <r>
      <rPr>
        <sz val="11"/>
        <color theme="1"/>
        <rFont val="Calibri"/>
        <family val="2"/>
        <scheme val="minor"/>
      </rPr>
      <t xml:space="preserve"> - National Farmworker Jobs Program
</t>
    </r>
    <r>
      <rPr>
        <b/>
        <sz val="11"/>
        <color theme="1"/>
        <rFont val="Calibri"/>
        <family val="2"/>
        <scheme val="minor"/>
      </rPr>
      <t>08</t>
    </r>
    <r>
      <rPr>
        <sz val="11"/>
        <color theme="1"/>
        <rFont val="Calibri"/>
        <family val="2"/>
        <scheme val="minor"/>
      </rPr>
      <t xml:space="preserve"> - Indian and Native American Programs
</t>
    </r>
    <r>
      <rPr>
        <b/>
        <sz val="11"/>
        <color theme="1"/>
        <rFont val="Calibri"/>
        <family val="2"/>
        <scheme val="minor"/>
      </rPr>
      <t>09</t>
    </r>
    <r>
      <rPr>
        <sz val="11"/>
        <color theme="1"/>
        <rFont val="Calibri"/>
        <family val="2"/>
        <scheme val="minor"/>
      </rPr>
      <t xml:space="preserve"> - Veteran's Programs
</t>
    </r>
    <r>
      <rPr>
        <b/>
        <sz val="11"/>
        <color theme="1"/>
        <rFont val="Calibri"/>
        <family val="2"/>
        <scheme val="minor"/>
      </rPr>
      <t>10</t>
    </r>
    <r>
      <rPr>
        <sz val="11"/>
        <color theme="1"/>
        <rFont val="Calibri"/>
        <family val="2"/>
        <scheme val="minor"/>
      </rPr>
      <t xml:space="preserve"> - Trade Adjustment Assistance Program
</t>
    </r>
    <r>
      <rPr>
        <b/>
        <sz val="11"/>
        <color theme="1"/>
        <rFont val="Calibri"/>
        <family val="2"/>
        <scheme val="minor"/>
      </rPr>
      <t>11</t>
    </r>
    <r>
      <rPr>
        <sz val="11"/>
        <color theme="1"/>
        <rFont val="Calibri"/>
        <family val="2"/>
        <scheme val="minor"/>
      </rPr>
      <t xml:space="preserve"> - YouthBuild Program
</t>
    </r>
    <r>
      <rPr>
        <b/>
        <sz val="11"/>
        <color theme="1"/>
        <rFont val="Calibri"/>
        <family val="2"/>
        <scheme val="minor"/>
      </rPr>
      <t>12</t>
    </r>
    <r>
      <rPr>
        <sz val="11"/>
        <color theme="1"/>
        <rFont val="Calibri"/>
        <family val="2"/>
        <scheme val="minor"/>
      </rPr>
      <t xml:space="preserve"> - Title V Older Worker Program
</t>
    </r>
    <r>
      <rPr>
        <b/>
        <sz val="11"/>
        <color theme="1"/>
        <rFont val="Calibri"/>
        <family val="2"/>
        <scheme val="minor"/>
      </rPr>
      <t>13</t>
    </r>
    <r>
      <rPr>
        <sz val="11"/>
        <color theme="1"/>
        <rFont val="Calibri"/>
        <family val="2"/>
        <scheme val="minor"/>
      </rPr>
      <t xml:space="preserve"> - Registered Apprenticeship
</t>
    </r>
    <r>
      <rPr>
        <b/>
        <sz val="11"/>
        <color theme="1"/>
        <rFont val="Calibri"/>
        <family val="2"/>
        <scheme val="minor"/>
      </rPr>
      <t>14</t>
    </r>
    <r>
      <rPr>
        <sz val="11"/>
        <color theme="1"/>
        <rFont val="Calibri"/>
        <family val="2"/>
        <scheme val="minor"/>
      </rPr>
      <t xml:space="preserve"> - Non-traditional Apprenticeship
</t>
    </r>
    <r>
      <rPr>
        <b/>
        <sz val="11"/>
        <color theme="1"/>
        <rFont val="Calibri"/>
        <family val="2"/>
        <scheme val="minor"/>
      </rPr>
      <t>15</t>
    </r>
    <r>
      <rPr>
        <sz val="11"/>
        <color theme="1"/>
        <rFont val="Calibri"/>
        <family val="2"/>
        <scheme val="minor"/>
      </rPr>
      <t xml:space="preserve"> - Vocational Rehabilitation
</t>
    </r>
    <r>
      <rPr>
        <b/>
        <sz val="11"/>
        <color theme="1"/>
        <rFont val="Calibri"/>
        <family val="2"/>
        <scheme val="minor"/>
      </rPr>
      <t>16</t>
    </r>
    <r>
      <rPr>
        <sz val="11"/>
        <color theme="1"/>
        <rFont val="Calibri"/>
        <family val="2"/>
        <scheme val="minor"/>
      </rPr>
      <t xml:space="preserve"> - Food Stamp Employment and Training Program
</t>
    </r>
    <r>
      <rPr>
        <b/>
        <sz val="11"/>
        <color theme="1"/>
        <rFont val="Calibri"/>
        <family val="2"/>
        <scheme val="minor"/>
      </rPr>
      <t>17</t>
    </r>
    <r>
      <rPr>
        <sz val="11"/>
        <color theme="1"/>
        <rFont val="Calibri"/>
        <family val="2"/>
        <scheme val="minor"/>
      </rPr>
      <t xml:space="preserve"> - TANF Employment and Training Program
</t>
    </r>
    <r>
      <rPr>
        <b/>
        <sz val="11"/>
        <color theme="1"/>
        <rFont val="Calibri"/>
        <family val="2"/>
        <scheme val="minor"/>
      </rPr>
      <t>18</t>
    </r>
    <r>
      <rPr>
        <sz val="11"/>
        <color theme="1"/>
        <rFont val="Calibri"/>
        <family val="2"/>
        <scheme val="minor"/>
      </rPr>
      <t xml:space="preserve"> - Other On-The-Job training Program
</t>
    </r>
    <r>
      <rPr>
        <b/>
        <sz val="11"/>
        <color theme="1"/>
        <rFont val="Calibri"/>
        <family val="2"/>
        <scheme val="minor"/>
      </rPr>
      <t>19</t>
    </r>
    <r>
      <rPr>
        <sz val="11"/>
        <color theme="1"/>
        <rFont val="Calibri"/>
        <family val="2"/>
        <scheme val="minor"/>
      </rPr>
      <t xml:space="preserve"> - Other Workforce Related Employment and Training Program
</t>
    </r>
    <r>
      <rPr>
        <b/>
        <sz val="11"/>
        <color theme="1"/>
        <rFont val="Calibri"/>
        <family val="2"/>
        <scheme val="minor"/>
      </rPr>
      <t>99</t>
    </r>
    <r>
      <rPr>
        <sz val="11"/>
        <color theme="1"/>
        <rFont val="Calibri"/>
        <family val="2"/>
        <scheme val="minor"/>
      </rPr>
      <t xml:space="preserve"> - No identified services
</t>
    </r>
  </si>
  <si>
    <t>Element Name</t>
  </si>
  <si>
    <t>Definition</t>
  </si>
  <si>
    <t>Option Set</t>
  </si>
  <si>
    <t>Domain -&gt; Entity -&gt; Category</t>
  </si>
  <si>
    <t>Status</t>
  </si>
  <si>
    <t>Format</t>
  </si>
  <si>
    <t>Change Notes</t>
  </si>
  <si>
    <t>Usage Notes</t>
  </si>
  <si>
    <t>Global ID</t>
  </si>
  <si>
    <t>Alternate Name</t>
  </si>
  <si>
    <t>Technical Name</t>
  </si>
  <si>
    <t>URL</t>
  </si>
  <si>
    <t>Submit a Comment</t>
  </si>
  <si>
    <t>Use Case(s)</t>
  </si>
  <si>
    <t>Domain</t>
  </si>
  <si>
    <t>Entity</t>
  </si>
  <si>
    <t>Category</t>
  </si>
  <si>
    <t>Submit Comment</t>
  </si>
  <si>
    <t>Early Learning</t>
  </si>
  <si>
    <t>EL Child</t>
  </si>
  <si>
    <t>Identity-&gt;Name</t>
  </si>
  <si>
    <t>Identity-&gt;Other Name</t>
  </si>
  <si>
    <t>Identity-&gt;Identification</t>
  </si>
  <si>
    <t>Contact-&gt;Address</t>
  </si>
  <si>
    <t>Contact-&gt;Telephone</t>
  </si>
  <si>
    <t>Demographic</t>
  </si>
  <si>
    <t>Referral</t>
  </si>
  <si>
    <t>EL Health Information</t>
  </si>
  <si>
    <t>EL Health Information-&gt;Immunization</t>
  </si>
  <si>
    <t>EL Health Information-&gt;Vision</t>
  </si>
  <si>
    <t>EL Health Information-&gt;Hearing</t>
  </si>
  <si>
    <t>EL Health Information-&gt;Dental</t>
  </si>
  <si>
    <t>EL Health Information-&gt;Insurance</t>
  </si>
  <si>
    <t>EL Health Information-&gt;Birth</t>
  </si>
  <si>
    <t>Developmental Assessments</t>
  </si>
  <si>
    <t>Eligibility</t>
  </si>
  <si>
    <t>Language</t>
  </si>
  <si>
    <t>IDEA</t>
  </si>
  <si>
    <t>EL Educational Experiences</t>
  </si>
  <si>
    <t>EL Educational Experiences-&gt;Special Education</t>
  </si>
  <si>
    <t>Finance</t>
  </si>
  <si>
    <t>Services</t>
  </si>
  <si>
    <t>Individualized Program</t>
  </si>
  <si>
    <t>Child Outcome Summary</t>
  </si>
  <si>
    <t>Parent/Guardian</t>
  </si>
  <si>
    <t>Contact-&gt;Email</t>
  </si>
  <si>
    <t>Education</t>
  </si>
  <si>
    <t>EL Family</t>
  </si>
  <si>
    <t>Identifier</t>
  </si>
  <si>
    <t>Family/Household Information</t>
  </si>
  <si>
    <t>EL Organization</t>
  </si>
  <si>
    <t>Name</t>
  </si>
  <si>
    <t>Address</t>
  </si>
  <si>
    <t>Telephone</t>
  </si>
  <si>
    <t>Licensing</t>
  </si>
  <si>
    <t>Organization Characteristics</t>
  </si>
  <si>
    <t>QRIS Rating</t>
  </si>
  <si>
    <t>Facility</t>
  </si>
  <si>
    <t>Monitoring</t>
  </si>
  <si>
    <t>Accreditation</t>
  </si>
  <si>
    <t>Policies</t>
  </si>
  <si>
    <t>Cultural and Linguistic Diversity</t>
  </si>
  <si>
    <t>Health Promotion</t>
  </si>
  <si>
    <t>Inclusion</t>
  </si>
  <si>
    <t>Organization Information</t>
  </si>
  <si>
    <t>Parental/Family Involvement</t>
  </si>
  <si>
    <t>Compensation</t>
  </si>
  <si>
    <t>Professional Development</t>
  </si>
  <si>
    <t>Site Level Characteristics</t>
  </si>
  <si>
    <t>Program Characteristics</t>
  </si>
  <si>
    <t>Quality</t>
  </si>
  <si>
    <t>EL Staff</t>
  </si>
  <si>
    <t>Identity-&gt;Identifier</t>
  </si>
  <si>
    <t>Employment</t>
  </si>
  <si>
    <t>Credential</t>
  </si>
  <si>
    <t>License</t>
  </si>
  <si>
    <t>Professional Development-&gt;Instructor</t>
  </si>
  <si>
    <t>Professional Development Event</t>
  </si>
  <si>
    <t>Professional Development Activity</t>
  </si>
  <si>
    <t>Professional Development Activity-&gt;Session</t>
  </si>
  <si>
    <t>Professional Development Activity-&gt;Session - Location</t>
  </si>
  <si>
    <t>Early Learning Program</t>
  </si>
  <si>
    <t>EL Class/Group</t>
  </si>
  <si>
    <t>Identification</t>
  </si>
  <si>
    <t>Structure</t>
  </si>
  <si>
    <t>Population</t>
  </si>
  <si>
    <t>Curriculum</t>
  </si>
  <si>
    <t>Assessments</t>
  </si>
  <si>
    <t>Assessment Design</t>
  </si>
  <si>
    <t>Assessment Administration</t>
  </si>
  <si>
    <t>Assessment Result</t>
  </si>
  <si>
    <t>K12</t>
  </si>
  <si>
    <t>K12 School</t>
  </si>
  <si>
    <t>Directory</t>
  </si>
  <si>
    <t>Institution Characteristics</t>
  </si>
  <si>
    <t>Accountability</t>
  </si>
  <si>
    <t>Federal Funds</t>
  </si>
  <si>
    <t>Session</t>
  </si>
  <si>
    <t>Technical Assistance</t>
  </si>
  <si>
    <t>LEA</t>
  </si>
  <si>
    <t>Program Specific Federal Reporting</t>
  </si>
  <si>
    <t>Safe and Drug Free Program</t>
  </si>
  <si>
    <t>Programs and Services</t>
  </si>
  <si>
    <t>SEA</t>
  </si>
  <si>
    <t>Contact</t>
  </si>
  <si>
    <t>Contact-&gt;Name</t>
  </si>
  <si>
    <t>Contact-&gt;Other Name</t>
  </si>
  <si>
    <t>K12 Student</t>
  </si>
  <si>
    <t>Enrollment</t>
  </si>
  <si>
    <t>Academic Record</t>
  </si>
  <si>
    <t>Attendance</t>
  </si>
  <si>
    <t>CTE</t>
  </si>
  <si>
    <t>Disability</t>
  </si>
  <si>
    <t>Discipline</t>
  </si>
  <si>
    <t>Economically Disadvantaged</t>
  </si>
  <si>
    <t>Homeless</t>
  </si>
  <si>
    <t>Immigrant</t>
  </si>
  <si>
    <t>Limited English Proficiency</t>
  </si>
  <si>
    <t>Migrant</t>
  </si>
  <si>
    <t>Neglected or Delinquent</t>
  </si>
  <si>
    <t>Program</t>
  </si>
  <si>
    <t>Title I</t>
  </si>
  <si>
    <t>Health</t>
  </si>
  <si>
    <t>Relationship</t>
  </si>
  <si>
    <t>K12 Staff</t>
  </si>
  <si>
    <t>Assignment</t>
  </si>
  <si>
    <t>K12 Course</t>
  </si>
  <si>
    <t>Course Section</t>
  </si>
  <si>
    <t>Course</t>
  </si>
  <si>
    <t>Enrollment-&gt;Student Class Section Mark</t>
  </si>
  <si>
    <t>Staff</t>
  </si>
  <si>
    <t>Teacher Student Data Link Exclusion</t>
  </si>
  <si>
    <t>Organization</t>
  </si>
  <si>
    <t>Assessment</t>
  </si>
  <si>
    <t>Assessment Family</t>
  </si>
  <si>
    <t>Assessment Form</t>
  </si>
  <si>
    <t>Assessment Form-&gt;Assessment Form Section</t>
  </si>
  <si>
    <t>Assessment Form-&gt;Assessment Form Subtest Assessment Item</t>
  </si>
  <si>
    <t>Assessment Session</t>
  </si>
  <si>
    <t>Assessment Item</t>
  </si>
  <si>
    <t>Assessment Item-&gt;Assessment Item Possible Response</t>
  </si>
  <si>
    <t>Assessment Item-&gt;Assessment Item Response</t>
  </si>
  <si>
    <t>Assessment Item-&gt;Assessment Item Response Theory</t>
  </si>
  <si>
    <t>Assessment Item-&gt;Assessment Item Body Custom Interaction</t>
  </si>
  <si>
    <t>Assessment Item-&gt;Assessment Item Characteristic</t>
  </si>
  <si>
    <t>Assessment Item-&gt;Assessment Item APIP</t>
  </si>
  <si>
    <t>Assessment Item-&gt;Assessment Item APIP Interaction</t>
  </si>
  <si>
    <t>Assessment Asset</t>
  </si>
  <si>
    <t>Assessment Subtest</t>
  </si>
  <si>
    <t>Assessment Subtest Result</t>
  </si>
  <si>
    <t>Assessment Registration</t>
  </si>
  <si>
    <t>Assessment Personal Needs Profile</t>
  </si>
  <si>
    <t>Assessment Personal Needs Profile-&gt;Assessment Need Profile Content</t>
  </si>
  <si>
    <t>Assessment Personal Needs Profile-&gt;Assessment Need Profile Control</t>
  </si>
  <si>
    <t>Assessment Personal Needs Profile-&gt;Assessment Need Profile Display</t>
  </si>
  <si>
    <t>Assessment Personal Needs Profile-&gt;Assessment Need Screen Enhancement</t>
  </si>
  <si>
    <t>Assessment Participant Session</t>
  </si>
  <si>
    <t>Achievement</t>
  </si>
  <si>
    <t>Learning Goal</t>
  </si>
  <si>
    <t>Learning Standard Item</t>
  </si>
  <si>
    <t>Learner Action</t>
  </si>
  <si>
    <t>Learner Activity</t>
  </si>
  <si>
    <t>Assessment Performance Level</t>
  </si>
  <si>
    <t>Rubric</t>
  </si>
  <si>
    <t>Incident</t>
  </si>
  <si>
    <t>Calendar</t>
  </si>
  <si>
    <t>Period</t>
  </si>
  <si>
    <t>Crisis</t>
  </si>
  <si>
    <t>Event</t>
  </si>
  <si>
    <t>Learning Resource</t>
  </si>
  <si>
    <t>Peer Rating</t>
  </si>
  <si>
    <t>Peer Rating System</t>
  </si>
  <si>
    <t>Postsecondary</t>
  </si>
  <si>
    <t>PS Institution</t>
  </si>
  <si>
    <t>IPEDS Reporting</t>
  </si>
  <si>
    <t>PS Student</t>
  </si>
  <si>
    <t>Application</t>
  </si>
  <si>
    <t>Financial Aid</t>
  </si>
  <si>
    <t>Graduate Student</t>
  </si>
  <si>
    <t>Graduate Student-&gt;Thesis/Dissertation Advisor</t>
  </si>
  <si>
    <t>Teacher Education/Preparation</t>
  </si>
  <si>
    <t>K12 Transcript</t>
  </si>
  <si>
    <t>PS Section</t>
  </si>
  <si>
    <t>Enrollment-&gt;Student Course Section Mark</t>
  </si>
  <si>
    <t>Instructor</t>
  </si>
  <si>
    <t>PS Staff</t>
  </si>
  <si>
    <t>PS Applicant</t>
  </si>
  <si>
    <t>Career and Technical</t>
  </si>
  <si>
    <t>CTE Student</t>
  </si>
  <si>
    <t>Program Participation</t>
  </si>
  <si>
    <t>Career Education Plan</t>
  </si>
  <si>
    <t>CTE Staff</t>
  </si>
  <si>
    <t>Adult Education</t>
  </si>
  <si>
    <t>AE Student</t>
  </si>
  <si>
    <t>AE Staff</t>
  </si>
  <si>
    <t>Certification</t>
  </si>
  <si>
    <t>Experience</t>
  </si>
  <si>
    <t>AE Provider</t>
  </si>
  <si>
    <t>Workforce</t>
  </si>
  <si>
    <t>Workforce Program Participant</t>
  </si>
  <si>
    <t>Quarterly Employment Record</t>
  </si>
  <si>
    <t>Assessment Form Section</t>
  </si>
  <si>
    <t>Assessment Form Subtest Assessment Item</t>
  </si>
  <si>
    <t>Assessment Item Possible Response</t>
  </si>
  <si>
    <t>Assessment Item Response</t>
  </si>
  <si>
    <t>Assessment Item Response Theory</t>
  </si>
  <si>
    <t>Assessment Item Body Custom Interaction</t>
  </si>
  <si>
    <t>Assessment Item Characteristic</t>
  </si>
  <si>
    <t>Assessment Item APIP</t>
  </si>
  <si>
    <t>Assessment Item APIP Interaction</t>
  </si>
  <si>
    <t>Assessment Need Profile Content</t>
  </si>
  <si>
    <t>Assessment Need Profile Control</t>
  </si>
  <si>
    <t>Assessment Need Profile Display</t>
  </si>
  <si>
    <t>Assessment Need Screen Enhancement</t>
  </si>
  <si>
    <t>Learning Standards</t>
  </si>
  <si>
    <t>Learning Standard Document</t>
  </si>
  <si>
    <t>Learning Resource Competency Alignment</t>
  </si>
  <si>
    <t>Learning Standard Item-&gt;Learning Standard Item Association</t>
  </si>
  <si>
    <t>Competency Set</t>
  </si>
  <si>
    <t>Learning Standard Item Association</t>
  </si>
  <si>
    <t>Learning Resources</t>
  </si>
  <si>
    <t>Authentication and Authorization</t>
  </si>
  <si>
    <t>Authentication Identity Provider</t>
  </si>
  <si>
    <t>Authorization Application</t>
  </si>
  <si>
    <r>
      <t>IT</t>
    </r>
    <r>
      <rPr>
        <sz val="11"/>
        <color theme="1"/>
        <rFont val="Calibri"/>
        <family val="2"/>
        <scheme val="minor"/>
      </rPr>
      <t xml:space="preserve"> - Infant/toddler
</t>
    </r>
    <r>
      <rPr>
        <b/>
        <sz val="11"/>
        <color theme="1"/>
        <rFont val="Calibri"/>
        <family val="2"/>
        <scheme val="minor"/>
      </rPr>
      <t>PR</t>
    </r>
    <r>
      <rPr>
        <sz val="11"/>
        <color theme="1"/>
        <rFont val="Calibri"/>
        <family val="2"/>
        <scheme val="minor"/>
      </rPr>
      <t xml:space="preserve"> - Preschool
</t>
    </r>
    <r>
      <rPr>
        <b/>
        <sz val="11"/>
        <color theme="1"/>
        <rFont val="Calibri"/>
        <family val="2"/>
        <scheme val="minor"/>
      </rPr>
      <t>PK</t>
    </r>
    <r>
      <rPr>
        <sz val="11"/>
        <color theme="1"/>
        <rFont val="Calibri"/>
        <family val="2"/>
        <scheme val="minor"/>
      </rPr>
      <t xml:space="preserve"> - Prekindergarten
</t>
    </r>
    <r>
      <rPr>
        <b/>
        <sz val="11"/>
        <color theme="1"/>
        <rFont val="Calibri"/>
        <family val="2"/>
        <scheme val="minor"/>
      </rPr>
      <t>TK</t>
    </r>
    <r>
      <rPr>
        <sz val="11"/>
        <color theme="1"/>
        <rFont val="Calibri"/>
        <family val="2"/>
        <scheme val="minor"/>
      </rPr>
      <t xml:space="preserve"> - Transitional Kindergarten
</t>
    </r>
    <r>
      <rPr>
        <b/>
        <sz val="11"/>
        <color theme="1"/>
        <rFont val="Calibri"/>
        <family val="2"/>
        <scheme val="minor"/>
      </rPr>
      <t>KG</t>
    </r>
    <r>
      <rPr>
        <sz val="11"/>
        <color theme="1"/>
        <rFont val="Calibri"/>
        <family val="2"/>
        <scheme val="minor"/>
      </rPr>
      <t xml:space="preserve"> - Kindergarten
</t>
    </r>
    <r>
      <rPr>
        <b/>
        <sz val="11"/>
        <color theme="1"/>
        <rFont val="Calibri"/>
        <family val="2"/>
        <scheme val="minor"/>
      </rPr>
      <t>01</t>
    </r>
    <r>
      <rPr>
        <sz val="11"/>
        <color theme="1"/>
        <rFont val="Calibri"/>
        <family val="2"/>
        <scheme val="minor"/>
      </rPr>
      <t xml:space="preserve"> - First grade
</t>
    </r>
    <r>
      <rPr>
        <b/>
        <sz val="11"/>
        <color theme="1"/>
        <rFont val="Calibri"/>
        <family val="2"/>
        <scheme val="minor"/>
      </rPr>
      <t>02</t>
    </r>
    <r>
      <rPr>
        <sz val="11"/>
        <color theme="1"/>
        <rFont val="Calibri"/>
        <family val="2"/>
        <scheme val="minor"/>
      </rPr>
      <t xml:space="preserve"> - Second grade
</t>
    </r>
    <r>
      <rPr>
        <b/>
        <sz val="11"/>
        <color theme="1"/>
        <rFont val="Calibri"/>
        <family val="2"/>
        <scheme val="minor"/>
      </rPr>
      <t>03</t>
    </r>
    <r>
      <rPr>
        <sz val="11"/>
        <color theme="1"/>
        <rFont val="Calibri"/>
        <family val="2"/>
        <scheme val="minor"/>
      </rPr>
      <t xml:space="preserve"> - Third grade
</t>
    </r>
    <r>
      <rPr>
        <b/>
        <sz val="11"/>
        <color theme="1"/>
        <rFont val="Calibri"/>
        <family val="2"/>
        <scheme val="minor"/>
      </rPr>
      <t>04</t>
    </r>
    <r>
      <rPr>
        <sz val="11"/>
        <color theme="1"/>
        <rFont val="Calibri"/>
        <family val="2"/>
        <scheme val="minor"/>
      </rPr>
      <t xml:space="preserve"> - Fourth grade
</t>
    </r>
    <r>
      <rPr>
        <b/>
        <sz val="11"/>
        <color theme="1"/>
        <rFont val="Calibri"/>
        <family val="2"/>
        <scheme val="minor"/>
      </rPr>
      <t>05</t>
    </r>
    <r>
      <rPr>
        <sz val="11"/>
        <color theme="1"/>
        <rFont val="Calibri"/>
        <family val="2"/>
        <scheme val="minor"/>
      </rPr>
      <t xml:space="preserve"> - Fifth grade
</t>
    </r>
    <r>
      <rPr>
        <b/>
        <sz val="11"/>
        <color theme="1"/>
        <rFont val="Calibri"/>
        <family val="2"/>
        <scheme val="minor"/>
      </rPr>
      <t>06</t>
    </r>
    <r>
      <rPr>
        <sz val="11"/>
        <color theme="1"/>
        <rFont val="Calibri"/>
        <family val="2"/>
        <scheme val="minor"/>
      </rPr>
      <t xml:space="preserve"> - Sixth grade
</t>
    </r>
    <r>
      <rPr>
        <b/>
        <sz val="11"/>
        <color theme="1"/>
        <rFont val="Calibri"/>
        <family val="2"/>
        <scheme val="minor"/>
      </rPr>
      <t>07</t>
    </r>
    <r>
      <rPr>
        <sz val="11"/>
        <color theme="1"/>
        <rFont val="Calibri"/>
        <family val="2"/>
        <scheme val="minor"/>
      </rPr>
      <t xml:space="preserve"> - Seventh grade
</t>
    </r>
    <r>
      <rPr>
        <b/>
        <sz val="11"/>
        <color theme="1"/>
        <rFont val="Calibri"/>
        <family val="2"/>
        <scheme val="minor"/>
      </rPr>
      <t>08</t>
    </r>
    <r>
      <rPr>
        <sz val="11"/>
        <color theme="1"/>
        <rFont val="Calibri"/>
        <family val="2"/>
        <scheme val="minor"/>
      </rPr>
      <t xml:space="preserve"> - Eighth grade
</t>
    </r>
    <r>
      <rPr>
        <b/>
        <sz val="11"/>
        <color theme="1"/>
        <rFont val="Calibri"/>
        <family val="2"/>
        <scheme val="minor"/>
      </rPr>
      <t>09</t>
    </r>
    <r>
      <rPr>
        <sz val="11"/>
        <color theme="1"/>
        <rFont val="Calibri"/>
        <family val="2"/>
        <scheme val="minor"/>
      </rPr>
      <t xml:space="preserve"> - Ninth grade
</t>
    </r>
    <r>
      <rPr>
        <b/>
        <sz val="11"/>
        <color theme="1"/>
        <rFont val="Calibri"/>
        <family val="2"/>
        <scheme val="minor"/>
      </rPr>
      <t>10</t>
    </r>
    <r>
      <rPr>
        <sz val="11"/>
        <color theme="1"/>
        <rFont val="Calibri"/>
        <family val="2"/>
        <scheme val="minor"/>
      </rPr>
      <t xml:space="preserve"> - Tenth grade
</t>
    </r>
    <r>
      <rPr>
        <b/>
        <sz val="11"/>
        <color theme="1"/>
        <rFont val="Calibri"/>
        <family val="2"/>
        <scheme val="minor"/>
      </rPr>
      <t>11</t>
    </r>
    <r>
      <rPr>
        <sz val="11"/>
        <color theme="1"/>
        <rFont val="Calibri"/>
        <family val="2"/>
        <scheme val="minor"/>
      </rPr>
      <t xml:space="preserve"> - Eleventh grade
</t>
    </r>
    <r>
      <rPr>
        <b/>
        <sz val="11"/>
        <color theme="1"/>
        <rFont val="Calibri"/>
        <family val="2"/>
        <scheme val="minor"/>
      </rPr>
      <t>12</t>
    </r>
    <r>
      <rPr>
        <sz val="11"/>
        <color theme="1"/>
        <rFont val="Calibri"/>
        <family val="2"/>
        <scheme val="minor"/>
      </rPr>
      <t xml:space="preserve"> - Twelfth grade
</t>
    </r>
    <r>
      <rPr>
        <b/>
        <sz val="11"/>
        <color theme="1"/>
        <rFont val="Calibri"/>
        <family val="2"/>
        <scheme val="minor"/>
      </rPr>
      <t>13</t>
    </r>
    <r>
      <rPr>
        <sz val="11"/>
        <color theme="1"/>
        <rFont val="Calibri"/>
        <family val="2"/>
        <scheme val="minor"/>
      </rPr>
      <t xml:space="preserve"> - Grade 13
</t>
    </r>
    <r>
      <rPr>
        <b/>
        <sz val="11"/>
        <color theme="1"/>
        <rFont val="Calibri"/>
        <family val="2"/>
        <scheme val="minor"/>
      </rPr>
      <t>AS</t>
    </r>
    <r>
      <rPr>
        <sz val="11"/>
        <color theme="1"/>
        <rFont val="Calibri"/>
        <family val="2"/>
        <scheme val="minor"/>
      </rPr>
      <t xml:space="preserve"> - Associate's degree
</t>
    </r>
    <r>
      <rPr>
        <b/>
        <sz val="11"/>
        <color theme="1"/>
        <rFont val="Calibri"/>
        <family val="2"/>
        <scheme val="minor"/>
      </rPr>
      <t>BA</t>
    </r>
    <r>
      <rPr>
        <sz val="11"/>
        <color theme="1"/>
        <rFont val="Calibri"/>
        <family val="2"/>
        <scheme val="minor"/>
      </rPr>
      <t xml:space="preserve"> - Bachelor's degree
</t>
    </r>
    <r>
      <rPr>
        <b/>
        <sz val="11"/>
        <color theme="1"/>
        <rFont val="Calibri"/>
        <family val="2"/>
        <scheme val="minor"/>
      </rPr>
      <t>PB</t>
    </r>
    <r>
      <rPr>
        <sz val="11"/>
        <color theme="1"/>
        <rFont val="Calibri"/>
        <family val="2"/>
        <scheme val="minor"/>
      </rPr>
      <t xml:space="preserve"> - Post-baccalaureate certificate
</t>
    </r>
    <r>
      <rPr>
        <b/>
        <sz val="11"/>
        <color theme="1"/>
        <rFont val="Calibri"/>
        <family val="2"/>
        <scheme val="minor"/>
      </rPr>
      <t>MD</t>
    </r>
    <r>
      <rPr>
        <sz val="11"/>
        <color theme="1"/>
        <rFont val="Calibri"/>
        <family val="2"/>
        <scheme val="minor"/>
      </rPr>
      <t xml:space="preserve"> - Master's degree
</t>
    </r>
    <r>
      <rPr>
        <b/>
        <sz val="11"/>
        <color theme="1"/>
        <rFont val="Calibri"/>
        <family val="2"/>
        <scheme val="minor"/>
      </rPr>
      <t>PM</t>
    </r>
    <r>
      <rPr>
        <sz val="11"/>
        <color theme="1"/>
        <rFont val="Calibri"/>
        <family val="2"/>
        <scheme val="minor"/>
      </rPr>
      <t xml:space="preserve"> - Post-master's certificate
</t>
    </r>
    <r>
      <rPr>
        <b/>
        <sz val="11"/>
        <color theme="1"/>
        <rFont val="Calibri"/>
        <family val="2"/>
        <scheme val="minor"/>
      </rPr>
      <t>DO</t>
    </r>
    <r>
      <rPr>
        <sz val="11"/>
        <color theme="1"/>
        <rFont val="Calibri"/>
        <family val="2"/>
        <scheme val="minor"/>
      </rPr>
      <t xml:space="preserve"> - Doctoral degree
</t>
    </r>
    <r>
      <rPr>
        <b/>
        <sz val="11"/>
        <color theme="1"/>
        <rFont val="Calibri"/>
        <family val="2"/>
        <scheme val="minor"/>
      </rPr>
      <t>PD</t>
    </r>
    <r>
      <rPr>
        <sz val="11"/>
        <color theme="1"/>
        <rFont val="Calibri"/>
        <family val="2"/>
        <scheme val="minor"/>
      </rPr>
      <t xml:space="preserve"> - Post-doctoral certificate
</t>
    </r>
    <r>
      <rPr>
        <b/>
        <sz val="11"/>
        <color theme="1"/>
        <rFont val="Calibri"/>
        <family val="2"/>
        <scheme val="minor"/>
      </rPr>
      <t>AE</t>
    </r>
    <r>
      <rPr>
        <sz val="11"/>
        <color theme="1"/>
        <rFont val="Calibri"/>
        <family val="2"/>
        <scheme val="minor"/>
      </rPr>
      <t xml:space="preserve"> - Adult Education
</t>
    </r>
    <r>
      <rPr>
        <b/>
        <sz val="11"/>
        <color theme="1"/>
        <rFont val="Calibri"/>
        <family val="2"/>
        <scheme val="minor"/>
      </rPr>
      <t>PT</t>
    </r>
    <r>
      <rPr>
        <sz val="11"/>
        <color theme="1"/>
        <rFont val="Calibri"/>
        <family val="2"/>
        <scheme val="minor"/>
      </rPr>
      <t xml:space="preserve"> - Professional or technical credential
</t>
    </r>
    <r>
      <rPr>
        <b/>
        <sz val="11"/>
        <color theme="1"/>
        <rFont val="Calibri"/>
        <family val="2"/>
        <scheme val="minor"/>
      </rPr>
      <t>OT</t>
    </r>
    <r>
      <rPr>
        <sz val="11"/>
        <color theme="1"/>
        <rFont val="Calibri"/>
        <family val="2"/>
        <scheme val="minor"/>
      </rPr>
      <t xml:space="preserve"> - Other
</t>
    </r>
  </si>
</sst>
</file>

<file path=xl/styles.xml><?xml version="1.0" encoding="utf-8"?>
<styleSheet xmlns="http://schemas.openxmlformats.org/spreadsheetml/2006/main">
  <numFmts count="1">
    <numFmt numFmtId="164" formatCode="000000"/>
  </numFmts>
  <fonts count="1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alignment vertical="top"/>
      <protection locked="0"/>
    </xf>
  </cellStyleXfs>
  <cellXfs count="16">
    <xf numFmtId="0" fontId="0" fillId="0" borderId="0" xfId="0"/>
    <xf numFmtId="0" fontId="16" fillId="33" borderId="10" xfId="0" applyFont="1" applyFill="1" applyBorder="1" applyAlignment="1">
      <alignment horizontal="left" vertical="top" wrapText="1"/>
    </xf>
    <xf numFmtId="164" fontId="16" fillId="33" borderId="10" xfId="0" applyNumberFormat="1" applyFont="1" applyFill="1" applyBorder="1" applyAlignment="1">
      <alignment horizontal="left" vertical="top" wrapText="1"/>
    </xf>
    <xf numFmtId="0" fontId="0" fillId="0" borderId="10" xfId="0" applyBorder="1" applyAlignment="1">
      <alignment vertical="top" wrapText="1"/>
    </xf>
    <xf numFmtId="0" fontId="16" fillId="0" borderId="10" xfId="0" applyFont="1" applyBorder="1" applyAlignment="1">
      <alignment vertical="top" wrapText="1"/>
    </xf>
    <xf numFmtId="0" fontId="18" fillId="0" borderId="10" xfId="42" applyBorder="1" applyAlignment="1" applyProtection="1">
      <alignment vertical="top" wrapText="1"/>
    </xf>
    <xf numFmtId="0" fontId="0" fillId="0" borderId="10" xfId="0" applyBorder="1" applyAlignment="1">
      <alignment vertical="top" wrapText="1"/>
    </xf>
    <xf numFmtId="0" fontId="16" fillId="0" borderId="10" xfId="0" applyFont="1" applyBorder="1" applyAlignment="1">
      <alignment vertical="top" wrapText="1"/>
    </xf>
    <xf numFmtId="0" fontId="0" fillId="0" borderId="0" xfId="0" applyBorder="1"/>
    <xf numFmtId="0" fontId="0" fillId="0" borderId="0" xfId="0" applyBorder="1" applyAlignment="1">
      <alignment vertical="top"/>
    </xf>
    <xf numFmtId="0" fontId="16" fillId="34" borderId="10" xfId="0" applyFont="1" applyFill="1" applyBorder="1" applyAlignment="1">
      <alignment vertical="top" wrapText="1"/>
    </xf>
    <xf numFmtId="49" fontId="16" fillId="34" borderId="10" xfId="0" applyNumberFormat="1" applyFont="1" applyFill="1" applyBorder="1" applyAlignment="1">
      <alignment vertical="top" wrapText="1"/>
    </xf>
    <xf numFmtId="0" fontId="0" fillId="0" borderId="0" xfId="0" applyAlignment="1">
      <alignment vertical="top"/>
    </xf>
    <xf numFmtId="0" fontId="16" fillId="0" borderId="10" xfId="0" applyFont="1" applyBorder="1" applyAlignment="1">
      <alignment vertical="top" wrapText="1"/>
    </xf>
    <xf numFmtId="0" fontId="0" fillId="0" borderId="10" xfId="0" applyBorder="1" applyAlignment="1">
      <alignment vertical="top" wrapText="1"/>
    </xf>
    <xf numFmtId="0" fontId="16" fillId="0" borderId="10" xfId="0" applyFont="1" applyBorder="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ScedCourseCodes.aspx" TargetMode="External"/><Relationship Id="rId2" Type="http://schemas.openxmlformats.org/officeDocument/2006/relationships/hyperlink" Target="languageCodes.aspx" TargetMode="External"/><Relationship Id="rId1" Type="http://schemas.openxmlformats.org/officeDocument/2006/relationships/hyperlink" Target="http://nces.ed.gov/ipeds/cipcode/browse.aspx?y=55"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languageCodes.aspx" TargetMode="External"/><Relationship Id="rId1" Type="http://schemas.openxmlformats.org/officeDocument/2006/relationships/hyperlink" Target="languageCodes.asp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nces.ed.gov/ipeds/cipcode/browse.aspx?y=55"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languageCodes.aspx" TargetMode="External"/><Relationship Id="rId13" Type="http://schemas.openxmlformats.org/officeDocument/2006/relationships/hyperlink" Target="languageCodes.aspx" TargetMode="External"/><Relationship Id="rId3" Type="http://schemas.openxmlformats.org/officeDocument/2006/relationships/hyperlink" Target="languageCodes.aspx" TargetMode="External"/><Relationship Id="rId7" Type="http://schemas.openxmlformats.org/officeDocument/2006/relationships/hyperlink" Target="http://nces.ed.gov/ipeds/cipcode/browse.aspx?y=55" TargetMode="External"/><Relationship Id="rId12" Type="http://schemas.openxmlformats.org/officeDocument/2006/relationships/hyperlink" Target="languageCodes.aspx" TargetMode="External"/><Relationship Id="rId2" Type="http://schemas.openxmlformats.org/officeDocument/2006/relationships/hyperlink" Target="languageCodes.aspx" TargetMode="External"/><Relationship Id="rId16" Type="http://schemas.openxmlformats.org/officeDocument/2006/relationships/printerSettings" Target="../printerSettings/printerSettings1.bin"/><Relationship Id="rId1" Type="http://schemas.openxmlformats.org/officeDocument/2006/relationships/hyperlink" Target="languageCodes.aspx" TargetMode="External"/><Relationship Id="rId6" Type="http://schemas.openxmlformats.org/officeDocument/2006/relationships/hyperlink" Target="http://nces.ed.gov/ipeds/cipcode/browse.aspx?y=55" TargetMode="External"/><Relationship Id="rId11" Type="http://schemas.openxmlformats.org/officeDocument/2006/relationships/hyperlink" Target="languageCodes.aspx" TargetMode="External"/><Relationship Id="rId5" Type="http://schemas.openxmlformats.org/officeDocument/2006/relationships/hyperlink" Target="languageCodes.aspx" TargetMode="External"/><Relationship Id="rId15" Type="http://schemas.openxmlformats.org/officeDocument/2006/relationships/hyperlink" Target="ScedCourseCodes.aspx" TargetMode="External"/><Relationship Id="rId10" Type="http://schemas.openxmlformats.org/officeDocument/2006/relationships/hyperlink" Target="languageCodes.aspx" TargetMode="External"/><Relationship Id="rId4" Type="http://schemas.openxmlformats.org/officeDocument/2006/relationships/hyperlink" Target="languageCodes.aspx" TargetMode="External"/><Relationship Id="rId9" Type="http://schemas.openxmlformats.org/officeDocument/2006/relationships/hyperlink" Target="languageCodes.aspx" TargetMode="External"/><Relationship Id="rId14" Type="http://schemas.openxmlformats.org/officeDocument/2006/relationships/hyperlink" Target="languageCodes.aspx"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languageCodes.aspx" TargetMode="External"/><Relationship Id="rId13" Type="http://schemas.openxmlformats.org/officeDocument/2006/relationships/hyperlink" Target="languageCodes.aspx" TargetMode="External"/><Relationship Id="rId18" Type="http://schemas.openxmlformats.org/officeDocument/2006/relationships/hyperlink" Target="http://nces.ed.gov/ipeds/cipcode/browse.aspx?y=55" TargetMode="External"/><Relationship Id="rId26" Type="http://schemas.openxmlformats.org/officeDocument/2006/relationships/hyperlink" Target="languageCodes.aspx" TargetMode="External"/><Relationship Id="rId3" Type="http://schemas.openxmlformats.org/officeDocument/2006/relationships/hyperlink" Target="languageCodes.aspx" TargetMode="External"/><Relationship Id="rId21" Type="http://schemas.openxmlformats.org/officeDocument/2006/relationships/hyperlink" Target="http://nces.ed.gov/ipeds/cipcode/browse.aspx?y=55" TargetMode="External"/><Relationship Id="rId34" Type="http://schemas.openxmlformats.org/officeDocument/2006/relationships/hyperlink" Target="languageCodes.aspx" TargetMode="External"/><Relationship Id="rId7" Type="http://schemas.openxmlformats.org/officeDocument/2006/relationships/hyperlink" Target="ScedCourseCodes.aspx" TargetMode="External"/><Relationship Id="rId12" Type="http://schemas.openxmlformats.org/officeDocument/2006/relationships/hyperlink" Target="languageCodes.aspx" TargetMode="External"/><Relationship Id="rId17" Type="http://schemas.openxmlformats.org/officeDocument/2006/relationships/hyperlink" Target="languageCodes.aspx" TargetMode="External"/><Relationship Id="rId25" Type="http://schemas.openxmlformats.org/officeDocument/2006/relationships/hyperlink" Target="languageCodes.aspx" TargetMode="External"/><Relationship Id="rId33" Type="http://schemas.openxmlformats.org/officeDocument/2006/relationships/hyperlink" Target="languageCodes.aspx" TargetMode="External"/><Relationship Id="rId2" Type="http://schemas.openxmlformats.org/officeDocument/2006/relationships/hyperlink" Target="languageCodes.aspx" TargetMode="External"/><Relationship Id="rId16" Type="http://schemas.openxmlformats.org/officeDocument/2006/relationships/hyperlink" Target="languageCodes.aspx" TargetMode="External"/><Relationship Id="rId20" Type="http://schemas.openxmlformats.org/officeDocument/2006/relationships/hyperlink" Target="languageCodes.aspx" TargetMode="External"/><Relationship Id="rId29" Type="http://schemas.openxmlformats.org/officeDocument/2006/relationships/hyperlink" Target="languageCodes.aspx" TargetMode="External"/><Relationship Id="rId1" Type="http://schemas.openxmlformats.org/officeDocument/2006/relationships/hyperlink" Target="languageCodes.aspx" TargetMode="External"/><Relationship Id="rId6" Type="http://schemas.openxmlformats.org/officeDocument/2006/relationships/hyperlink" Target="languageCodes.aspx" TargetMode="External"/><Relationship Id="rId11" Type="http://schemas.openxmlformats.org/officeDocument/2006/relationships/hyperlink" Target="languageCodes.aspx" TargetMode="External"/><Relationship Id="rId24" Type="http://schemas.openxmlformats.org/officeDocument/2006/relationships/hyperlink" Target="languageCodes.aspx" TargetMode="External"/><Relationship Id="rId32" Type="http://schemas.openxmlformats.org/officeDocument/2006/relationships/hyperlink" Target="languageCodes.aspx" TargetMode="External"/><Relationship Id="rId37" Type="http://schemas.openxmlformats.org/officeDocument/2006/relationships/hyperlink" Target="languageCodes.aspx" TargetMode="External"/><Relationship Id="rId5" Type="http://schemas.openxmlformats.org/officeDocument/2006/relationships/hyperlink" Target="languageCodes.aspx" TargetMode="External"/><Relationship Id="rId15" Type="http://schemas.openxmlformats.org/officeDocument/2006/relationships/hyperlink" Target="languageCodes.aspx" TargetMode="External"/><Relationship Id="rId23" Type="http://schemas.openxmlformats.org/officeDocument/2006/relationships/hyperlink" Target="ScedCourseCodes.aspx" TargetMode="External"/><Relationship Id="rId28" Type="http://schemas.openxmlformats.org/officeDocument/2006/relationships/hyperlink" Target="languageCodes.aspx" TargetMode="External"/><Relationship Id="rId36" Type="http://schemas.openxmlformats.org/officeDocument/2006/relationships/hyperlink" Target="languageCodes.aspx" TargetMode="External"/><Relationship Id="rId10" Type="http://schemas.openxmlformats.org/officeDocument/2006/relationships/hyperlink" Target="languageCodes.aspx" TargetMode="External"/><Relationship Id="rId19" Type="http://schemas.openxmlformats.org/officeDocument/2006/relationships/hyperlink" Target="http://nces.ed.gov/ipeds/cipcode/browse.aspx?y=55" TargetMode="External"/><Relationship Id="rId31" Type="http://schemas.openxmlformats.org/officeDocument/2006/relationships/hyperlink" Target="languageCodes.aspx" TargetMode="External"/><Relationship Id="rId4" Type="http://schemas.openxmlformats.org/officeDocument/2006/relationships/hyperlink" Target="languageCodes.aspx" TargetMode="External"/><Relationship Id="rId9" Type="http://schemas.openxmlformats.org/officeDocument/2006/relationships/hyperlink" Target="languageCodes.aspx" TargetMode="External"/><Relationship Id="rId14" Type="http://schemas.openxmlformats.org/officeDocument/2006/relationships/hyperlink" Target="languageCodes.aspx" TargetMode="External"/><Relationship Id="rId22" Type="http://schemas.openxmlformats.org/officeDocument/2006/relationships/hyperlink" Target="languageCodes.aspx" TargetMode="External"/><Relationship Id="rId27" Type="http://schemas.openxmlformats.org/officeDocument/2006/relationships/hyperlink" Target="languageCodes.aspx" TargetMode="External"/><Relationship Id="rId30" Type="http://schemas.openxmlformats.org/officeDocument/2006/relationships/hyperlink" Target="languageCodes.aspx" TargetMode="External"/><Relationship Id="rId35" Type="http://schemas.openxmlformats.org/officeDocument/2006/relationships/hyperlink" Target="languageCodes.aspx" TargetMode="External"/></Relationships>
</file>

<file path=xl/worksheets/sheet1.xml><?xml version="1.0" encoding="utf-8"?>
<worksheet xmlns="http://schemas.openxmlformats.org/spreadsheetml/2006/main" xmlns:r="http://schemas.openxmlformats.org/officeDocument/2006/relationships">
  <dimension ref="A1:N237"/>
  <sheetViews>
    <sheetView tabSelected="1" workbookViewId="0">
      <pane ySplit="1" topLeftCell="A2" activePane="bottomLeft" state="frozen"/>
      <selection pane="bottomLeft" activeCell="A2" sqref="A2"/>
    </sheetView>
  </sheetViews>
  <sheetFormatPr defaultRowHeight="15"/>
  <cols>
    <col min="1" max="5" width="36.5703125" style="9" bestFit="1" customWidth="1"/>
    <col min="6" max="6" width="11.140625" style="9" bestFit="1" customWidth="1"/>
    <col min="7" max="9" width="36.5703125" style="9" bestFit="1" customWidth="1"/>
    <col min="10" max="10" width="9" style="9" bestFit="1" customWidth="1"/>
    <col min="11" max="12" width="36.5703125" style="9" bestFit="1" customWidth="1"/>
    <col min="13" max="13" width="57" style="9" customWidth="1"/>
    <col min="14" max="14" width="31.85546875" style="9" customWidth="1"/>
    <col min="15" max="16384" width="9.140625" style="9"/>
  </cols>
  <sheetData>
    <row r="1" spans="1:14" s="8" customFormat="1" ht="30">
      <c r="A1" s="1" t="s">
        <v>6697</v>
      </c>
      <c r="B1" s="1" t="s">
        <v>6698</v>
      </c>
      <c r="C1" s="1" t="s">
        <v>6699</v>
      </c>
      <c r="D1" s="1" t="s">
        <v>6700</v>
      </c>
      <c r="E1" s="1" t="s">
        <v>6710</v>
      </c>
      <c r="F1" s="1" t="s">
        <v>6701</v>
      </c>
      <c r="G1" s="1" t="s">
        <v>6702</v>
      </c>
      <c r="H1" s="1" t="s">
        <v>6703</v>
      </c>
      <c r="I1" s="1" t="s">
        <v>6704</v>
      </c>
      <c r="J1" s="2" t="s">
        <v>6705</v>
      </c>
      <c r="K1" s="1" t="s">
        <v>6706</v>
      </c>
      <c r="L1" s="1" t="s">
        <v>6707</v>
      </c>
      <c r="M1" s="1" t="s">
        <v>6708</v>
      </c>
      <c r="N1" s="1" t="s">
        <v>6709</v>
      </c>
    </row>
    <row r="2" spans="1:14" ht="375">
      <c r="A2" s="3" t="s">
        <v>51</v>
      </c>
      <c r="B2" s="3" t="s">
        <v>52</v>
      </c>
      <c r="C2" s="4" t="s">
        <v>6350</v>
      </c>
      <c r="D2" s="3" t="s">
        <v>53</v>
      </c>
      <c r="E2" s="3"/>
      <c r="F2" s="3" t="s">
        <v>54</v>
      </c>
      <c r="G2" s="3"/>
      <c r="H2" s="3"/>
      <c r="I2" s="3"/>
      <c r="J2" s="3" t="s">
        <v>55</v>
      </c>
      <c r="K2" s="3"/>
      <c r="L2" s="3" t="s">
        <v>56</v>
      </c>
      <c r="M2" s="3" t="str">
        <f>HYPERLINK("https://ceds.ed.gov/cedselementdetails.aspx?termid=6243")</f>
        <v>https://ceds.ed.gov/cedselementdetails.aspx?termid=6243</v>
      </c>
      <c r="N2" s="3" t="str">
        <f>HYPERLINK("https://ceds.ed.gov/elementComment.aspx?elementName=Accommodations Needed Type &amp;elementID=6243", "Click here to submit comment")</f>
        <v>Click here to submit comment</v>
      </c>
    </row>
    <row r="3" spans="1:14" ht="409.5">
      <c r="A3" s="3" t="s">
        <v>296</v>
      </c>
      <c r="B3" s="3" t="s">
        <v>297</v>
      </c>
      <c r="C3" s="4" t="s">
        <v>6369</v>
      </c>
      <c r="D3" s="3" t="s">
        <v>5982</v>
      </c>
      <c r="E3" s="3"/>
      <c r="F3" s="3" t="s">
        <v>54</v>
      </c>
      <c r="G3" s="3" t="s">
        <v>106</v>
      </c>
      <c r="H3" s="3"/>
      <c r="I3" s="3"/>
      <c r="J3" s="3" t="s">
        <v>298</v>
      </c>
      <c r="K3" s="3" t="s">
        <v>299</v>
      </c>
      <c r="L3" s="3" t="s">
        <v>300</v>
      </c>
      <c r="M3" s="3" t="str">
        <f>HYPERLINK("https://ceds.ed.gov/cedselementdetails.aspx?termid=6244")</f>
        <v>https://ceds.ed.gov/cedselementdetails.aspx?termid=6244</v>
      </c>
      <c r="N3" s="3" t="str">
        <f>HYPERLINK("https://ceds.ed.gov/elementComment.aspx?elementName=Advanced Placement Course Code &amp;elementID=6244", "Click here to submit comment")</f>
        <v>Click here to submit comment</v>
      </c>
    </row>
    <row r="4" spans="1:14" ht="60">
      <c r="A4" s="3" t="s">
        <v>312</v>
      </c>
      <c r="B4" s="3" t="s">
        <v>313</v>
      </c>
      <c r="C4" s="3" t="s">
        <v>13</v>
      </c>
      <c r="D4" s="3" t="s">
        <v>314</v>
      </c>
      <c r="E4" s="3"/>
      <c r="F4" s="3" t="s">
        <v>54</v>
      </c>
      <c r="G4" s="3" t="s">
        <v>100</v>
      </c>
      <c r="H4" s="3"/>
      <c r="I4" s="3"/>
      <c r="J4" s="3" t="s">
        <v>315</v>
      </c>
      <c r="K4" s="3"/>
      <c r="L4" s="3" t="s">
        <v>316</v>
      </c>
      <c r="M4" s="3" t="str">
        <f>HYPERLINK("https://ceds.ed.gov/cedselementdetails.aspx?termid=6246")</f>
        <v>https://ceds.ed.gov/cedselementdetails.aspx?termid=6246</v>
      </c>
      <c r="N4" s="3" t="str">
        <f>HYPERLINK("https://ceds.ed.gov/elementComment.aspx?elementName=Agency Course Identifier &amp;elementID=6246", "Click here to submit comment")</f>
        <v>Click here to submit comment</v>
      </c>
    </row>
    <row r="5" spans="1:14" ht="60">
      <c r="A5" s="3" t="s">
        <v>317</v>
      </c>
      <c r="B5" s="3" t="s">
        <v>318</v>
      </c>
      <c r="C5" s="3" t="s">
        <v>13</v>
      </c>
      <c r="D5" s="3" t="s">
        <v>5983</v>
      </c>
      <c r="E5" s="3"/>
      <c r="F5" s="3" t="s">
        <v>54</v>
      </c>
      <c r="G5" s="3" t="s">
        <v>319</v>
      </c>
      <c r="H5" s="3"/>
      <c r="I5" s="3"/>
      <c r="J5" s="3" t="s">
        <v>320</v>
      </c>
      <c r="K5" s="3"/>
      <c r="L5" s="3" t="s">
        <v>321</v>
      </c>
      <c r="M5" s="3" t="str">
        <f>HYPERLINK("https://ceds.ed.gov/cedselementdetails.aspx?termid=6247")</f>
        <v>https://ceds.ed.gov/cedselementdetails.aspx?termid=6247</v>
      </c>
      <c r="N5" s="3" t="str">
        <f>HYPERLINK("https://ceds.ed.gov/elementComment.aspx?elementName=Allergy Reaction Description &amp;elementID=6247", "Click here to submit comment")</f>
        <v>Click here to submit comment</v>
      </c>
    </row>
    <row r="6" spans="1:14" ht="60">
      <c r="A6" s="3" t="s">
        <v>322</v>
      </c>
      <c r="B6" s="3" t="s">
        <v>323</v>
      </c>
      <c r="C6" s="3" t="s">
        <v>5984</v>
      </c>
      <c r="D6" s="3" t="s">
        <v>5983</v>
      </c>
      <c r="E6" s="3"/>
      <c r="F6" s="3" t="s">
        <v>54</v>
      </c>
      <c r="G6" s="3"/>
      <c r="H6" s="3"/>
      <c r="I6" s="3"/>
      <c r="J6" s="3" t="s">
        <v>324</v>
      </c>
      <c r="K6" s="3"/>
      <c r="L6" s="3" t="s">
        <v>325</v>
      </c>
      <c r="M6" s="3" t="str">
        <f>HYPERLINK("https://ceds.ed.gov/cedselementdetails.aspx?termid=6248")</f>
        <v>https://ceds.ed.gov/cedselementdetails.aspx?termid=6248</v>
      </c>
      <c r="N6" s="3" t="str">
        <f>HYPERLINK("https://ceds.ed.gov/elementComment.aspx?elementName=Allergy Severity &amp;elementID=6248", "Click here to submit comment")</f>
        <v>Click here to submit comment</v>
      </c>
    </row>
    <row r="7" spans="1:14" ht="409.5">
      <c r="A7" s="3" t="s">
        <v>326</v>
      </c>
      <c r="B7" s="3" t="s">
        <v>327</v>
      </c>
      <c r="C7" s="4" t="s">
        <v>6370</v>
      </c>
      <c r="D7" s="3" t="s">
        <v>5983</v>
      </c>
      <c r="E7" s="3"/>
      <c r="F7" s="3" t="s">
        <v>54</v>
      </c>
      <c r="G7" s="3"/>
      <c r="H7" s="3"/>
      <c r="I7" s="3" t="s">
        <v>328</v>
      </c>
      <c r="J7" s="3" t="s">
        <v>329</v>
      </c>
      <c r="K7" s="3"/>
      <c r="L7" s="3" t="s">
        <v>330</v>
      </c>
      <c r="M7" s="3" t="str">
        <f>HYPERLINK("https://ceds.ed.gov/cedselementdetails.aspx?termid=6249")</f>
        <v>https://ceds.ed.gov/cedselementdetails.aspx?termid=6249</v>
      </c>
      <c r="N7" s="3" t="str">
        <f>HYPERLINK("https://ceds.ed.gov/elementComment.aspx?elementName=Allergy Type &amp;elementID=6249", "Click here to submit comment")</f>
        <v>Click here to submit comment</v>
      </c>
    </row>
    <row r="8" spans="1:14" ht="75">
      <c r="A8" s="3" t="s">
        <v>912</v>
      </c>
      <c r="B8" s="3" t="s">
        <v>913</v>
      </c>
      <c r="C8" s="3" t="s">
        <v>13</v>
      </c>
      <c r="D8" s="3" t="s">
        <v>6016</v>
      </c>
      <c r="E8" s="3"/>
      <c r="F8" s="3" t="s">
        <v>54</v>
      </c>
      <c r="G8" s="3" t="s">
        <v>319</v>
      </c>
      <c r="H8" s="3"/>
      <c r="I8" s="3" t="s">
        <v>914</v>
      </c>
      <c r="J8" s="3" t="s">
        <v>915</v>
      </c>
      <c r="K8" s="3"/>
      <c r="L8" s="3" t="s">
        <v>916</v>
      </c>
      <c r="M8" s="3" t="str">
        <f>HYPERLINK("https://ceds.ed.gov/cedselementdetails.aspx?termid=6250")</f>
        <v>https://ceds.ed.gov/cedselementdetails.aspx?termid=6250</v>
      </c>
      <c r="N8" s="3" t="str">
        <f>HYPERLINK("https://ceds.ed.gov/elementComment.aspx?elementName=Assessment Item Result XML &amp;elementID=6250", "Click here to submit comment")</f>
        <v>Click here to submit comment</v>
      </c>
    </row>
    <row r="9" spans="1:14" ht="165">
      <c r="A9" s="3" t="s">
        <v>1487</v>
      </c>
      <c r="B9" s="3" t="s">
        <v>1488</v>
      </c>
      <c r="C9" s="4" t="s">
        <v>6410</v>
      </c>
      <c r="D9" s="3" t="s">
        <v>6081</v>
      </c>
      <c r="E9" s="3"/>
      <c r="F9" s="3" t="s">
        <v>54</v>
      </c>
      <c r="G9" s="3"/>
      <c r="H9" s="3"/>
      <c r="I9" s="3" t="s">
        <v>1489</v>
      </c>
      <c r="J9" s="3" t="s">
        <v>1490</v>
      </c>
      <c r="K9" s="3"/>
      <c r="L9" s="3" t="s">
        <v>1491</v>
      </c>
      <c r="M9" s="3" t="str">
        <f>HYPERLINK("https://ceds.ed.gov/cedselementdetails.aspx?termid=6253")</f>
        <v>https://ceds.ed.gov/cedselementdetails.aspx?termid=6253</v>
      </c>
      <c r="N9" s="3" t="str">
        <f>HYPERLINK("https://ceds.ed.gov/elementComment.aspx?elementName=Blended Learning Model Type &amp;elementID=6253", "Click here to submit comment")</f>
        <v>Click here to submit comment</v>
      </c>
    </row>
    <row r="10" spans="1:14" ht="90">
      <c r="A10" s="3" t="s">
        <v>1562</v>
      </c>
      <c r="B10" s="3" t="s">
        <v>1563</v>
      </c>
      <c r="C10" s="3" t="s">
        <v>5963</v>
      </c>
      <c r="D10" s="3" t="s">
        <v>6086</v>
      </c>
      <c r="E10" s="3"/>
      <c r="F10" s="3" t="s">
        <v>54</v>
      </c>
      <c r="G10" s="3"/>
      <c r="H10" s="3"/>
      <c r="I10" s="3"/>
      <c r="J10" s="3" t="s">
        <v>1564</v>
      </c>
      <c r="K10" s="3" t="s">
        <v>1565</v>
      </c>
      <c r="L10" s="3" t="s">
        <v>1566</v>
      </c>
      <c r="M10" s="3" t="str">
        <f>HYPERLINK("https://ceds.ed.gov/cedselementdetails.aspx?termid=6284")</f>
        <v>https://ceds.ed.gov/cedselementdetails.aspx?termid=6284</v>
      </c>
      <c r="N10" s="3" t="str">
        <f>HYPERLINK("https://ceds.ed.gov/elementComment.aspx?elementName=Career and Technical Education Instructor Industry Certification &amp;elementID=6284", "Click here to submit comment")</f>
        <v>Click here to submit comment</v>
      </c>
    </row>
    <row r="11" spans="1:14" ht="360">
      <c r="A11" s="3" t="s">
        <v>1577</v>
      </c>
      <c r="B11" s="3" t="s">
        <v>1578</v>
      </c>
      <c r="C11" s="4" t="s">
        <v>6415</v>
      </c>
      <c r="D11" s="3" t="s">
        <v>6088</v>
      </c>
      <c r="E11" s="3"/>
      <c r="F11" s="3" t="s">
        <v>54</v>
      </c>
      <c r="G11" s="3"/>
      <c r="H11" s="3"/>
      <c r="I11" s="3" t="s">
        <v>1579</v>
      </c>
      <c r="J11" s="3" t="s">
        <v>1580</v>
      </c>
      <c r="K11" s="3"/>
      <c r="L11" s="3" t="s">
        <v>1581</v>
      </c>
      <c r="M11" s="3" t="str">
        <f>HYPERLINK("https://ceds.ed.gov/cedselementdetails.aspx?termid=6254")</f>
        <v>https://ceds.ed.gov/cedselementdetails.aspx?termid=6254</v>
      </c>
      <c r="N11" s="3" t="str">
        <f>HYPERLINK("https://ceds.ed.gov/elementComment.aspx?elementName=Career Cluster &amp;elementID=6254", "Click here to submit comment")</f>
        <v>Click here to submit comment</v>
      </c>
    </row>
    <row r="12" spans="1:14" ht="150">
      <c r="A12" s="3" t="s">
        <v>1582</v>
      </c>
      <c r="B12" s="3" t="s">
        <v>1583</v>
      </c>
      <c r="C12" s="3" t="s">
        <v>13</v>
      </c>
      <c r="D12" s="3" t="s">
        <v>6089</v>
      </c>
      <c r="E12" s="3"/>
      <c r="F12" s="3" t="s">
        <v>54</v>
      </c>
      <c r="G12" s="3" t="s">
        <v>73</v>
      </c>
      <c r="H12" s="3"/>
      <c r="I12" s="3"/>
      <c r="J12" s="3" t="s">
        <v>1584</v>
      </c>
      <c r="K12" s="3"/>
      <c r="L12" s="3" t="s">
        <v>1585</v>
      </c>
      <c r="M12" s="3" t="str">
        <f>HYPERLINK("https://ceds.ed.gov/cedselementdetails.aspx?termid=6255")</f>
        <v>https://ceds.ed.gov/cedselementdetails.aspx?termid=6255</v>
      </c>
      <c r="N12" s="3" t="str">
        <f>HYPERLINK("https://ceds.ed.gov/elementComment.aspx?elementName=Career Education Plan Date &amp;elementID=6255", "Click here to submit comment")</f>
        <v>Click here to submit comment</v>
      </c>
    </row>
    <row r="13" spans="1:14" ht="150">
      <c r="A13" s="3" t="s">
        <v>1586</v>
      </c>
      <c r="B13" s="3" t="s">
        <v>1587</v>
      </c>
      <c r="C13" s="4" t="s">
        <v>6416</v>
      </c>
      <c r="D13" s="3" t="s">
        <v>6089</v>
      </c>
      <c r="E13" s="3"/>
      <c r="F13" s="3" t="s">
        <v>54</v>
      </c>
      <c r="G13" s="3"/>
      <c r="H13" s="3"/>
      <c r="I13" s="3"/>
      <c r="J13" s="3" t="s">
        <v>1588</v>
      </c>
      <c r="K13" s="3"/>
      <c r="L13" s="3" t="s">
        <v>1589</v>
      </c>
      <c r="M13" s="3" t="str">
        <f>HYPERLINK("https://ceds.ed.gov/cedselementdetails.aspx?termid=6256")</f>
        <v>https://ceds.ed.gov/cedselementdetails.aspx?termid=6256</v>
      </c>
      <c r="N13" s="3" t="str">
        <f>HYPERLINK("https://ceds.ed.gov/elementComment.aspx?elementName=Career Education Plan Type &amp;elementID=6256", "Click here to submit comment")</f>
        <v>Click here to submit comment</v>
      </c>
    </row>
    <row r="14" spans="1:14" ht="75">
      <c r="A14" s="3" t="s">
        <v>1590</v>
      </c>
      <c r="B14" s="3" t="s">
        <v>1591</v>
      </c>
      <c r="C14" s="3" t="s">
        <v>5963</v>
      </c>
      <c r="D14" s="3" t="s">
        <v>6090</v>
      </c>
      <c r="E14" s="3"/>
      <c r="F14" s="3" t="s">
        <v>54</v>
      </c>
      <c r="G14" s="3"/>
      <c r="H14" s="3"/>
      <c r="I14" s="3"/>
      <c r="J14" s="3" t="s">
        <v>1592</v>
      </c>
      <c r="K14" s="3"/>
      <c r="L14" s="3" t="s">
        <v>1593</v>
      </c>
      <c r="M14" s="3" t="str">
        <f>HYPERLINK("https://ceds.ed.gov/cedselementdetails.aspx?termid=6257")</f>
        <v>https://ceds.ed.gov/cedselementdetails.aspx?termid=6257</v>
      </c>
      <c r="N14" s="3" t="str">
        <f>HYPERLINK("https://ceds.ed.gov/elementComment.aspx?elementName=Career Pathways Program Participation Indicator &amp;elementID=6257", "Click here to submit comment")</f>
        <v>Click here to submit comment</v>
      </c>
    </row>
    <row r="15" spans="1:14" ht="90">
      <c r="A15" s="3" t="s">
        <v>1610</v>
      </c>
      <c r="B15" s="3" t="s">
        <v>1611</v>
      </c>
      <c r="C15" s="4" t="s">
        <v>6419</v>
      </c>
      <c r="D15" s="3" t="s">
        <v>224</v>
      </c>
      <c r="E15" s="3"/>
      <c r="F15" s="3" t="s">
        <v>54</v>
      </c>
      <c r="G15" s="3"/>
      <c r="H15" s="3"/>
      <c r="I15" s="3"/>
      <c r="J15" s="3" t="s">
        <v>1612</v>
      </c>
      <c r="K15" s="3"/>
      <c r="L15" s="3" t="s">
        <v>1613</v>
      </c>
      <c r="M15" s="3" t="str">
        <f>HYPERLINK("https://ceds.ed.gov/cedselementdetails.aspx?termid=6258")</f>
        <v>https://ceds.ed.gov/cedselementdetails.aspx?termid=6258</v>
      </c>
      <c r="N15" s="3" t="str">
        <f>HYPERLINK("https://ceds.ed.gov/elementComment.aspx?elementName=Charter School Approval Agency Type &amp;elementID=6258", "Click here to submit comment")</f>
        <v>Click here to submit comment</v>
      </c>
    </row>
    <row r="16" spans="1:14" ht="30">
      <c r="A16" s="3" t="s">
        <v>1614</v>
      </c>
      <c r="B16" s="3" t="s">
        <v>1615</v>
      </c>
      <c r="C16" s="3" t="s">
        <v>13</v>
      </c>
      <c r="D16" s="3" t="s">
        <v>224</v>
      </c>
      <c r="E16" s="3"/>
      <c r="F16" s="3" t="s">
        <v>54</v>
      </c>
      <c r="G16" s="3" t="s">
        <v>1616</v>
      </c>
      <c r="H16" s="3"/>
      <c r="I16" s="3"/>
      <c r="J16" s="3" t="s">
        <v>1617</v>
      </c>
      <c r="K16" s="3"/>
      <c r="L16" s="3" t="s">
        <v>1618</v>
      </c>
      <c r="M16" s="3" t="str">
        <f>HYPERLINK("https://ceds.ed.gov/cedselementdetails.aspx?termid=6259")</f>
        <v>https://ceds.ed.gov/cedselementdetails.aspx?termid=6259</v>
      </c>
      <c r="N16" s="3" t="str">
        <f>HYPERLINK("https://ceds.ed.gov/elementComment.aspx?elementName=Charter School Approval Year &amp;elementID=6259", "Click here to submit comment")</f>
        <v>Click here to submit comment</v>
      </c>
    </row>
    <row r="17" spans="1:14" ht="45">
      <c r="A17" s="3" t="s">
        <v>1642</v>
      </c>
      <c r="B17" s="3" t="s">
        <v>1643</v>
      </c>
      <c r="C17" s="3" t="s">
        <v>5963</v>
      </c>
      <c r="D17" s="3" t="s">
        <v>1644</v>
      </c>
      <c r="E17" s="3"/>
      <c r="F17" s="3" t="s">
        <v>54</v>
      </c>
      <c r="G17" s="3"/>
      <c r="H17" s="3"/>
      <c r="I17" s="3"/>
      <c r="J17" s="3" t="s">
        <v>1645</v>
      </c>
      <c r="K17" s="3" t="s">
        <v>1646</v>
      </c>
      <c r="L17" s="3" t="s">
        <v>1647</v>
      </c>
      <c r="M17" s="3" t="str">
        <f>HYPERLINK("https://ceds.ed.gov/cedselementdetails.aspx?termid=6476")</f>
        <v>https://ceds.ed.gov/cedselementdetails.aspx?termid=6476</v>
      </c>
      <c r="N17" s="3" t="str">
        <f>HYPERLINK("https://ceds.ed.gov/elementComment.aspx?elementName=Child Outcomes Summary Progress A Indicator &amp;elementID=6476", "Click here to submit comment")</f>
        <v>Click here to submit comment</v>
      </c>
    </row>
    <row r="18" spans="1:14" ht="60">
      <c r="A18" s="3" t="s">
        <v>1648</v>
      </c>
      <c r="B18" s="3" t="s">
        <v>1649</v>
      </c>
      <c r="C18" s="3" t="s">
        <v>5963</v>
      </c>
      <c r="D18" s="3" t="s">
        <v>1644</v>
      </c>
      <c r="E18" s="3"/>
      <c r="F18" s="3" t="s">
        <v>54</v>
      </c>
      <c r="G18" s="3"/>
      <c r="H18" s="3"/>
      <c r="I18" s="3"/>
      <c r="J18" s="3" t="s">
        <v>1650</v>
      </c>
      <c r="K18" s="3" t="s">
        <v>1651</v>
      </c>
      <c r="L18" s="3" t="s">
        <v>1652</v>
      </c>
      <c r="M18" s="3" t="str">
        <f>HYPERLINK("https://ceds.ed.gov/cedselementdetails.aspx?termid=6477")</f>
        <v>https://ceds.ed.gov/cedselementdetails.aspx?termid=6477</v>
      </c>
      <c r="N18" s="3" t="str">
        <f>HYPERLINK("https://ceds.ed.gov/elementComment.aspx?elementName=Child Outcomes Summary Progress B Indicator &amp;elementID=6477", "Click here to submit comment")</f>
        <v>Click here to submit comment</v>
      </c>
    </row>
    <row r="19" spans="1:14" ht="45">
      <c r="A19" s="3" t="s">
        <v>1653</v>
      </c>
      <c r="B19" s="3" t="s">
        <v>1654</v>
      </c>
      <c r="C19" s="3" t="s">
        <v>5963</v>
      </c>
      <c r="D19" s="3" t="s">
        <v>1644</v>
      </c>
      <c r="E19" s="3"/>
      <c r="F19" s="3" t="s">
        <v>54</v>
      </c>
      <c r="G19" s="3"/>
      <c r="H19" s="3"/>
      <c r="I19" s="3"/>
      <c r="J19" s="3" t="s">
        <v>1655</v>
      </c>
      <c r="K19" s="3" t="s">
        <v>1656</v>
      </c>
      <c r="L19" s="3" t="s">
        <v>1657</v>
      </c>
      <c r="M19" s="3" t="str">
        <f>HYPERLINK("https://ceds.ed.gov/cedselementdetails.aspx?termid=6478")</f>
        <v>https://ceds.ed.gov/cedselementdetails.aspx?termid=6478</v>
      </c>
      <c r="N19" s="3" t="str">
        <f>HYPERLINK("https://ceds.ed.gov/elementComment.aspx?elementName=Child Outcomes Summary Progress C Indicator &amp;elementID=6478", "Click here to submit comment")</f>
        <v>Click here to submit comment</v>
      </c>
    </row>
    <row r="20" spans="1:14" ht="330">
      <c r="A20" s="3" t="s">
        <v>1658</v>
      </c>
      <c r="B20" s="3" t="s">
        <v>1659</v>
      </c>
      <c r="C20" s="4" t="s">
        <v>6423</v>
      </c>
      <c r="D20" s="3" t="s">
        <v>1644</v>
      </c>
      <c r="E20" s="3"/>
      <c r="F20" s="3" t="s">
        <v>54</v>
      </c>
      <c r="G20" s="3"/>
      <c r="H20" s="3"/>
      <c r="I20" s="3"/>
      <c r="J20" s="3" t="s">
        <v>1660</v>
      </c>
      <c r="K20" s="3" t="s">
        <v>1661</v>
      </c>
      <c r="L20" s="3" t="s">
        <v>1662</v>
      </c>
      <c r="M20" s="3" t="str">
        <f>HYPERLINK("https://ceds.ed.gov/cedselementdetails.aspx?termid=6479")</f>
        <v>https://ceds.ed.gov/cedselementdetails.aspx?termid=6479</v>
      </c>
      <c r="N20" s="3" t="str">
        <f>HYPERLINK("https://ceds.ed.gov/elementComment.aspx?elementName=Child Outcomes Summary Rating A &amp;elementID=6479", "Click here to submit comment")</f>
        <v>Click here to submit comment</v>
      </c>
    </row>
    <row r="21" spans="1:14" ht="330">
      <c r="A21" s="3" t="s">
        <v>1663</v>
      </c>
      <c r="B21" s="3" t="s">
        <v>1664</v>
      </c>
      <c r="C21" s="4" t="s">
        <v>6423</v>
      </c>
      <c r="D21" s="3" t="s">
        <v>1644</v>
      </c>
      <c r="E21" s="3"/>
      <c r="F21" s="3" t="s">
        <v>54</v>
      </c>
      <c r="G21" s="3"/>
      <c r="H21" s="3"/>
      <c r="I21" s="3"/>
      <c r="J21" s="3" t="s">
        <v>1665</v>
      </c>
      <c r="K21" s="3" t="s">
        <v>1666</v>
      </c>
      <c r="L21" s="3" t="s">
        <v>1667</v>
      </c>
      <c r="M21" s="3" t="str">
        <f>HYPERLINK("https://ceds.ed.gov/cedselementdetails.aspx?termid=6480")</f>
        <v>https://ceds.ed.gov/cedselementdetails.aspx?termid=6480</v>
      </c>
      <c r="N21" s="3" t="str">
        <f>HYPERLINK("https://ceds.ed.gov/elementComment.aspx?elementName=Child Outcomes Summary Rating B &amp;elementID=6480", "Click here to submit comment")</f>
        <v>Click here to submit comment</v>
      </c>
    </row>
    <row r="22" spans="1:14" ht="330">
      <c r="A22" s="3" t="s">
        <v>1668</v>
      </c>
      <c r="B22" s="3" t="s">
        <v>1669</v>
      </c>
      <c r="C22" s="4" t="s">
        <v>6423</v>
      </c>
      <c r="D22" s="3" t="s">
        <v>1644</v>
      </c>
      <c r="E22" s="3"/>
      <c r="F22" s="3" t="s">
        <v>54</v>
      </c>
      <c r="G22" s="3"/>
      <c r="H22" s="3"/>
      <c r="I22" s="3"/>
      <c r="J22" s="3" t="s">
        <v>1670</v>
      </c>
      <c r="K22" s="3" t="s">
        <v>1671</v>
      </c>
      <c r="L22" s="3" t="s">
        <v>1672</v>
      </c>
      <c r="M22" s="3" t="str">
        <f>HYPERLINK("https://ceds.ed.gov/cedselementdetails.aspx?termid=6481")</f>
        <v>https://ceds.ed.gov/cedselementdetails.aspx?termid=6481</v>
      </c>
      <c r="N22" s="3" t="str">
        <f>HYPERLINK("https://ceds.ed.gov/elementComment.aspx?elementName=Child Outcomes Summary Rating C &amp;elementID=6481", "Click here to submit comment")</f>
        <v>Click here to submit comment</v>
      </c>
    </row>
    <row r="23" spans="1:14" ht="90">
      <c r="A23" s="3" t="s">
        <v>1757</v>
      </c>
      <c r="B23" s="3" t="s">
        <v>1758</v>
      </c>
      <c r="C23" s="3" t="s">
        <v>5963</v>
      </c>
      <c r="D23" s="3" t="s">
        <v>1759</v>
      </c>
      <c r="E23" s="3"/>
      <c r="F23" s="3" t="s">
        <v>54</v>
      </c>
      <c r="G23" s="3"/>
      <c r="H23" s="3"/>
      <c r="I23" s="3"/>
      <c r="J23" s="3" t="s">
        <v>1760</v>
      </c>
      <c r="K23" s="3"/>
      <c r="L23" s="3" t="s">
        <v>1761</v>
      </c>
      <c r="M23" s="3" t="str">
        <f>HYPERLINK("https://ceds.ed.gov/cedselementdetails.aspx?termid=6261")</f>
        <v>https://ceds.ed.gov/cedselementdetails.aspx?termid=6261</v>
      </c>
      <c r="N23" s="3" t="str">
        <f>HYPERLINK("https://ceds.ed.gov/elementComment.aspx?elementName=Consent to Share Data &amp;elementID=6261", "Click here to submit comment")</f>
        <v>Click here to submit comment</v>
      </c>
    </row>
    <row r="24" spans="1:14" ht="120">
      <c r="A24" s="3" t="s">
        <v>1796</v>
      </c>
      <c r="B24" s="3" t="s">
        <v>1797</v>
      </c>
      <c r="C24" s="4" t="s">
        <v>6431</v>
      </c>
      <c r="D24" s="3" t="s">
        <v>248</v>
      </c>
      <c r="E24" s="3"/>
      <c r="F24" s="3" t="s">
        <v>54</v>
      </c>
      <c r="G24" s="3"/>
      <c r="H24" s="3"/>
      <c r="I24" s="3"/>
      <c r="J24" s="3" t="s">
        <v>1798</v>
      </c>
      <c r="K24" s="3"/>
      <c r="L24" s="3" t="s">
        <v>1799</v>
      </c>
      <c r="M24" s="3" t="str">
        <f>HYPERLINK("https://ceds.ed.gov/cedselementdetails.aspx?termid=6262")</f>
        <v>https://ceds.ed.gov/cedselementdetails.aspx?termid=6262</v>
      </c>
      <c r="N24" s="3" t="str">
        <f>HYPERLINK("https://ceds.ed.gov/elementComment.aspx?elementName=Correctional Education Facility Type &amp;elementID=6262", "Click here to submit comment")</f>
        <v>Click here to submit comment</v>
      </c>
    </row>
    <row r="25" spans="1:14" ht="75">
      <c r="A25" s="3" t="s">
        <v>1800</v>
      </c>
      <c r="B25" s="3" t="s">
        <v>1801</v>
      </c>
      <c r="C25" s="3" t="s">
        <v>5963</v>
      </c>
      <c r="D25" s="3" t="s">
        <v>248</v>
      </c>
      <c r="E25" s="3"/>
      <c r="F25" s="3" t="s">
        <v>54</v>
      </c>
      <c r="G25" s="3"/>
      <c r="H25" s="3"/>
      <c r="I25" s="3"/>
      <c r="J25" s="3" t="s">
        <v>1802</v>
      </c>
      <c r="K25" s="3"/>
      <c r="L25" s="3" t="s">
        <v>1803</v>
      </c>
      <c r="M25" s="3" t="str">
        <f>HYPERLINK("https://ceds.ed.gov/cedselementdetails.aspx?termid=6263")</f>
        <v>https://ceds.ed.gov/cedselementdetails.aspx?termid=6263</v>
      </c>
      <c r="N25" s="3" t="str">
        <f>HYPERLINK("https://ceds.ed.gov/elementComment.aspx?elementName=Correctional Education Reentry Services Participation Indicator &amp;elementID=6263", "Click here to submit comment")</f>
        <v>Click here to submit comment</v>
      </c>
    </row>
    <row r="26" spans="1:14" ht="150">
      <c r="A26" s="3" t="s">
        <v>1829</v>
      </c>
      <c r="B26" s="3" t="s">
        <v>1830</v>
      </c>
      <c r="C26" s="3" t="s">
        <v>13</v>
      </c>
      <c r="D26" s="3" t="s">
        <v>1831</v>
      </c>
      <c r="E26" s="3"/>
      <c r="F26" s="3" t="s">
        <v>54</v>
      </c>
      <c r="G26" s="3" t="s">
        <v>1832</v>
      </c>
      <c r="H26" s="3"/>
      <c r="I26" s="3" t="s">
        <v>1833</v>
      </c>
      <c r="J26" s="3" t="s">
        <v>1834</v>
      </c>
      <c r="K26" s="3"/>
      <c r="L26" s="3" t="s">
        <v>1835</v>
      </c>
      <c r="M26" s="3" t="str">
        <f>HYPERLINK("https://ceds.ed.gov/cedselementdetails.aspx?termid=6264")</f>
        <v>https://ceds.ed.gov/cedselementdetails.aspx?termid=6264</v>
      </c>
      <c r="N26" s="3" t="str">
        <f>HYPERLINK("https://ceds.ed.gov/elementComment.aspx?elementName=Course Academic Grade Scale Code &amp;elementID=6264", "Click here to submit comment")</f>
        <v>Click here to submit comment</v>
      </c>
    </row>
    <row r="27" spans="1:14" ht="285">
      <c r="A27" s="3" t="s">
        <v>1836</v>
      </c>
      <c r="B27" s="3" t="s">
        <v>1837</v>
      </c>
      <c r="C27" s="4" t="s">
        <v>6434</v>
      </c>
      <c r="D27" s="3" t="s">
        <v>1838</v>
      </c>
      <c r="E27" s="3"/>
      <c r="F27" s="3" t="s">
        <v>54</v>
      </c>
      <c r="G27" s="3"/>
      <c r="H27" s="3"/>
      <c r="I27" s="3"/>
      <c r="J27" s="3" t="s">
        <v>1839</v>
      </c>
      <c r="K27" s="3"/>
      <c r="L27" s="3" t="s">
        <v>1840</v>
      </c>
      <c r="M27" s="3" t="str">
        <f>HYPERLINK("https://ceds.ed.gov/cedselementdetails.aspx?termid=6265")</f>
        <v>https://ceds.ed.gov/cedselementdetails.aspx?termid=6265</v>
      </c>
      <c r="N27" s="3" t="str">
        <f>HYPERLINK("https://ceds.ed.gov/elementComment.aspx?elementName=Course Academic Grade Status Code &amp;elementID=6265", "Click here to submit comment")</f>
        <v>Click here to submit comment</v>
      </c>
    </row>
    <row r="28" spans="1:14" ht="30">
      <c r="A28" s="3" t="s">
        <v>1841</v>
      </c>
      <c r="B28" s="3" t="s">
        <v>1842</v>
      </c>
      <c r="C28" s="3" t="s">
        <v>13</v>
      </c>
      <c r="D28" s="3" t="s">
        <v>1825</v>
      </c>
      <c r="E28" s="3"/>
      <c r="F28" s="3" t="s">
        <v>54</v>
      </c>
      <c r="G28" s="3" t="s">
        <v>73</v>
      </c>
      <c r="H28" s="3"/>
      <c r="I28" s="3"/>
      <c r="J28" s="3" t="s">
        <v>1843</v>
      </c>
      <c r="K28" s="3"/>
      <c r="L28" s="3" t="s">
        <v>1844</v>
      </c>
      <c r="M28" s="3" t="str">
        <f>HYPERLINK("https://ceds.ed.gov/cedselementdetails.aspx?termid=6266")</f>
        <v>https://ceds.ed.gov/cedselementdetails.aspx?termid=6266</v>
      </c>
      <c r="N28" s="3" t="str">
        <f>HYPERLINK("https://ceds.ed.gov/elementComment.aspx?elementName=Course Add Date &amp;elementID=6266", "Click here to submit comment")</f>
        <v>Click here to submit comment</v>
      </c>
    </row>
    <row r="29" spans="1:14" ht="409.5">
      <c r="A29" s="3" t="s">
        <v>1850</v>
      </c>
      <c r="B29" s="3" t="s">
        <v>1851</v>
      </c>
      <c r="C29" s="13" t="s">
        <v>6921</v>
      </c>
      <c r="D29" s="3" t="s">
        <v>6081</v>
      </c>
      <c r="E29" s="3"/>
      <c r="F29" s="3" t="s">
        <v>54</v>
      </c>
      <c r="G29" s="3"/>
      <c r="H29" s="3"/>
      <c r="I29" s="3" t="s">
        <v>1852</v>
      </c>
      <c r="J29" s="3" t="s">
        <v>1853</v>
      </c>
      <c r="K29" s="3"/>
      <c r="L29" s="3" t="s">
        <v>1854</v>
      </c>
      <c r="M29" s="3" t="str">
        <f>HYPERLINK("https://ceds.ed.gov/cedselementdetails.aspx?termid=6267")</f>
        <v>https://ceds.ed.gov/cedselementdetails.aspx?termid=6267</v>
      </c>
      <c r="N29" s="3" t="str">
        <f>HYPERLINK("https://ceds.ed.gov/elementComment.aspx?elementName=Course Applicable Education Level &amp;elementID=6267", "Click here to submit comment")</f>
        <v>Click here to submit comment</v>
      </c>
    </row>
    <row r="30" spans="1:14" ht="45">
      <c r="A30" s="3" t="s">
        <v>1859</v>
      </c>
      <c r="B30" s="3" t="s">
        <v>1860</v>
      </c>
      <c r="C30" s="3" t="s">
        <v>13</v>
      </c>
      <c r="D30" s="3" t="s">
        <v>6081</v>
      </c>
      <c r="E30" s="3"/>
      <c r="F30" s="3" t="s">
        <v>54</v>
      </c>
      <c r="G30" s="3" t="s">
        <v>93</v>
      </c>
      <c r="H30" s="3"/>
      <c r="I30" s="3"/>
      <c r="J30" s="3" t="s">
        <v>1861</v>
      </c>
      <c r="K30" s="3"/>
      <c r="L30" s="3" t="s">
        <v>1862</v>
      </c>
      <c r="M30" s="3" t="str">
        <f>HYPERLINK("https://ceds.ed.gov/cedselementdetails.aspx?termid=6268")</f>
        <v>https://ceds.ed.gov/cedselementdetails.aspx?termid=6268</v>
      </c>
      <c r="N30" s="3" t="str">
        <f>HYPERLINK("https://ceds.ed.gov/elementComment.aspx?elementName=Course Certification Description &amp;elementID=6268", "Click here to submit comment")</f>
        <v>Click here to submit comment</v>
      </c>
    </row>
    <row r="31" spans="1:14" ht="45">
      <c r="A31" s="3" t="s">
        <v>1863</v>
      </c>
      <c r="B31" s="3" t="s">
        <v>1864</v>
      </c>
      <c r="C31" s="5" t="s">
        <v>1702</v>
      </c>
      <c r="D31" s="3" t="s">
        <v>1831</v>
      </c>
      <c r="E31" s="3"/>
      <c r="F31" s="3" t="s">
        <v>54</v>
      </c>
      <c r="G31" s="3"/>
      <c r="H31" s="3"/>
      <c r="I31" s="3"/>
      <c r="J31" s="3" t="s">
        <v>1865</v>
      </c>
      <c r="K31" s="3" t="s">
        <v>1866</v>
      </c>
      <c r="L31" s="3" t="s">
        <v>1867</v>
      </c>
      <c r="M31" s="3" t="str">
        <f>HYPERLINK("https://ceds.ed.gov/cedselementdetails.aspx?termid=6474")</f>
        <v>https://ceds.ed.gov/cedselementdetails.aspx?termid=6474</v>
      </c>
      <c r="N31" s="3" t="str">
        <f>HYPERLINK("https://ceds.ed.gov/elementComment.aspx?elementName=Course Classification of Instructional Programs Code &amp;elementID=6474", "Click here to submit comment")</f>
        <v>Click here to submit comment</v>
      </c>
    </row>
    <row r="32" spans="1:14" ht="409.5">
      <c r="A32" s="3" t="s">
        <v>1872</v>
      </c>
      <c r="B32" s="3" t="s">
        <v>1873</v>
      </c>
      <c r="C32" s="4" t="s">
        <v>6436</v>
      </c>
      <c r="D32" s="3" t="s">
        <v>1831</v>
      </c>
      <c r="E32" s="3"/>
      <c r="F32" s="3" t="s">
        <v>54</v>
      </c>
      <c r="G32" s="3"/>
      <c r="H32" s="3"/>
      <c r="I32" s="3"/>
      <c r="J32" s="3" t="s">
        <v>1874</v>
      </c>
      <c r="K32" s="3"/>
      <c r="L32" s="3" t="s">
        <v>1875</v>
      </c>
      <c r="M32" s="3" t="str">
        <f>HYPERLINK("https://ceds.ed.gov/cedselementdetails.aspx?termid=6269")</f>
        <v>https://ceds.ed.gov/cedselementdetails.aspx?termid=6269</v>
      </c>
      <c r="N32" s="3" t="str">
        <f>HYPERLINK("https://ceds.ed.gov/elementComment.aspx?elementName=Course Credit Basis Type &amp;elementID=6269", "Click here to submit comment")</f>
        <v>Click here to submit comment</v>
      </c>
    </row>
    <row r="33" spans="1:14" ht="255">
      <c r="A33" s="3" t="s">
        <v>1876</v>
      </c>
      <c r="B33" s="3" t="s">
        <v>1877</v>
      </c>
      <c r="C33" s="4" t="s">
        <v>6437</v>
      </c>
      <c r="D33" s="3" t="s">
        <v>1831</v>
      </c>
      <c r="E33" s="3"/>
      <c r="F33" s="3" t="s">
        <v>54</v>
      </c>
      <c r="G33" s="3"/>
      <c r="H33" s="3"/>
      <c r="I33" s="3"/>
      <c r="J33" s="3" t="s">
        <v>1878</v>
      </c>
      <c r="K33" s="3"/>
      <c r="L33" s="3" t="s">
        <v>1879</v>
      </c>
      <c r="M33" s="3" t="str">
        <f>HYPERLINK("https://ceds.ed.gov/cedselementdetails.aspx?termid=6270")</f>
        <v>https://ceds.ed.gov/cedselementdetails.aspx?termid=6270</v>
      </c>
      <c r="N33" s="3" t="str">
        <f>HYPERLINK("https://ceds.ed.gov/elementComment.aspx?elementName=Course Credit Level Type &amp;elementID=6270", "Click here to submit comment")</f>
        <v>Click here to submit comment</v>
      </c>
    </row>
    <row r="34" spans="1:14" ht="30">
      <c r="A34" s="3" t="s">
        <v>1893</v>
      </c>
      <c r="B34" s="3" t="s">
        <v>1894</v>
      </c>
      <c r="C34" s="3" t="s">
        <v>13</v>
      </c>
      <c r="D34" s="3" t="s">
        <v>1831</v>
      </c>
      <c r="E34" s="3"/>
      <c r="F34" s="3" t="s">
        <v>54</v>
      </c>
      <c r="G34" s="3" t="s">
        <v>73</v>
      </c>
      <c r="H34" s="3"/>
      <c r="I34" s="3"/>
      <c r="J34" s="3" t="s">
        <v>1895</v>
      </c>
      <c r="K34" s="3"/>
      <c r="L34" s="3" t="s">
        <v>1896</v>
      </c>
      <c r="M34" s="3" t="str">
        <f>HYPERLINK("https://ceds.ed.gov/cedselementdetails.aspx?termid=6271")</f>
        <v>https://ceds.ed.gov/cedselementdetails.aspx?termid=6271</v>
      </c>
      <c r="N34" s="3" t="str">
        <f>HYPERLINK("https://ceds.ed.gov/elementComment.aspx?elementName=Course Drop Date &amp;elementID=6271", "Click here to submit comment")</f>
        <v>Click here to submit comment</v>
      </c>
    </row>
    <row r="35" spans="1:14" ht="90">
      <c r="A35" s="3" t="s">
        <v>1901</v>
      </c>
      <c r="B35" s="3" t="s">
        <v>1902</v>
      </c>
      <c r="C35" s="3" t="s">
        <v>13</v>
      </c>
      <c r="D35" s="3" t="s">
        <v>6081</v>
      </c>
      <c r="E35" s="3"/>
      <c r="F35" s="3" t="s">
        <v>54</v>
      </c>
      <c r="G35" s="3" t="s">
        <v>100</v>
      </c>
      <c r="H35" s="3"/>
      <c r="I35" s="3" t="s">
        <v>1903</v>
      </c>
      <c r="J35" s="3" t="s">
        <v>1904</v>
      </c>
      <c r="K35" s="3"/>
      <c r="L35" s="3" t="s">
        <v>1905</v>
      </c>
      <c r="M35" s="3" t="str">
        <f>HYPERLINK("https://ceds.ed.gov/cedselementdetails.aspx?termid=6272")</f>
        <v>https://ceds.ed.gov/cedselementdetails.aspx?termid=6272</v>
      </c>
      <c r="N35" s="3" t="str">
        <f>HYPERLINK("https://ceds.ed.gov/elementComment.aspx?elementName=Course Funding Program &amp;elementID=6272", "Click here to submit comment")</f>
        <v>Click here to submit comment</v>
      </c>
    </row>
    <row r="36" spans="1:14" ht="45">
      <c r="A36" s="3" t="s">
        <v>1911</v>
      </c>
      <c r="B36" s="3" t="s">
        <v>1912</v>
      </c>
      <c r="C36" s="4" t="s">
        <v>6440</v>
      </c>
      <c r="D36" s="3" t="s">
        <v>1831</v>
      </c>
      <c r="E36" s="3"/>
      <c r="F36" s="3" t="s">
        <v>54</v>
      </c>
      <c r="G36" s="3"/>
      <c r="H36" s="3"/>
      <c r="I36" s="3"/>
      <c r="J36" s="3" t="s">
        <v>1913</v>
      </c>
      <c r="K36" s="3"/>
      <c r="L36" s="3" t="s">
        <v>1914</v>
      </c>
      <c r="M36" s="3" t="str">
        <f>HYPERLINK("https://ceds.ed.gov/cedselementdetails.aspx?termid=6273")</f>
        <v>https://ceds.ed.gov/cedselementdetails.aspx?termid=6273</v>
      </c>
      <c r="N36" s="3" t="str">
        <f>HYPERLINK("https://ceds.ed.gov/elementComment.aspx?elementName=Course Honors Type &amp;elementID=6273", "Click here to submit comment")</f>
        <v>Click here to submit comment</v>
      </c>
    </row>
    <row r="37" spans="1:14" ht="390">
      <c r="A37" s="3" t="s">
        <v>1921</v>
      </c>
      <c r="B37" s="3" t="s">
        <v>1922</v>
      </c>
      <c r="C37" s="3" t="s">
        <v>6117</v>
      </c>
      <c r="D37" s="3" t="s">
        <v>1831</v>
      </c>
      <c r="E37" s="3"/>
      <c r="F37" s="3" t="s">
        <v>54</v>
      </c>
      <c r="G37" s="3"/>
      <c r="H37" s="3"/>
      <c r="I37" s="3"/>
      <c r="J37" s="3" t="s">
        <v>1923</v>
      </c>
      <c r="K37" s="3"/>
      <c r="L37" s="3" t="s">
        <v>1924</v>
      </c>
      <c r="M37" s="3" t="str">
        <f>HYPERLINK("https://ceds.ed.gov/cedselementdetails.aspx?termid=6274")</f>
        <v>https://ceds.ed.gov/cedselementdetails.aspx?termid=6274</v>
      </c>
      <c r="N37" s="3" t="str">
        <f>HYPERLINK("https://ceds.ed.gov/elementComment.aspx?elementName=Course Instruction Method &amp;elementID=6274", "Click here to submit comment")</f>
        <v>Click here to submit comment</v>
      </c>
    </row>
    <row r="38" spans="1:14" ht="30">
      <c r="A38" s="3" t="s">
        <v>1925</v>
      </c>
      <c r="B38" s="3" t="s">
        <v>1926</v>
      </c>
      <c r="C38" s="3" t="s">
        <v>13</v>
      </c>
      <c r="D38" s="3" t="s">
        <v>1831</v>
      </c>
      <c r="E38" s="3"/>
      <c r="F38" s="3" t="s">
        <v>54</v>
      </c>
      <c r="G38" s="3" t="s">
        <v>106</v>
      </c>
      <c r="H38" s="3"/>
      <c r="I38" s="3"/>
      <c r="J38" s="3" t="s">
        <v>1927</v>
      </c>
      <c r="K38" s="3"/>
      <c r="L38" s="3" t="s">
        <v>1928</v>
      </c>
      <c r="M38" s="3" t="str">
        <f>HYPERLINK("https://ceds.ed.gov/cedselementdetails.aspx?termid=6275")</f>
        <v>https://ceds.ed.gov/cedselementdetails.aspx?termid=6275</v>
      </c>
      <c r="N38" s="3" t="str">
        <f>HYPERLINK("https://ceds.ed.gov/elementComment.aspx?elementName=Course Instruction Site Name &amp;elementID=6275", "Click here to submit comment")</f>
        <v>Click here to submit comment</v>
      </c>
    </row>
    <row r="39" spans="1:14" ht="180">
      <c r="A39" s="3" t="s">
        <v>1929</v>
      </c>
      <c r="B39" s="3" t="s">
        <v>1930</v>
      </c>
      <c r="C39" s="4" t="s">
        <v>6441</v>
      </c>
      <c r="D39" s="3" t="s">
        <v>1831</v>
      </c>
      <c r="E39" s="3"/>
      <c r="F39" s="3" t="s">
        <v>54</v>
      </c>
      <c r="G39" s="3"/>
      <c r="H39" s="3"/>
      <c r="I39" s="3"/>
      <c r="J39" s="3" t="s">
        <v>1931</v>
      </c>
      <c r="K39" s="3"/>
      <c r="L39" s="3" t="s">
        <v>1932</v>
      </c>
      <c r="M39" s="3" t="str">
        <f>HYPERLINK("https://ceds.ed.gov/cedselementdetails.aspx?termid=6276")</f>
        <v>https://ceds.ed.gov/cedselementdetails.aspx?termid=6276</v>
      </c>
      <c r="N39" s="3" t="str">
        <f>HYPERLINK("https://ceds.ed.gov/elementComment.aspx?elementName=Course Instruction Site Type &amp;elementID=6276", "Click here to submit comment")</f>
        <v>Click here to submit comment</v>
      </c>
    </row>
    <row r="40" spans="1:14" ht="45">
      <c r="A40" s="3" t="s">
        <v>1933</v>
      </c>
      <c r="B40" s="3" t="s">
        <v>1934</v>
      </c>
      <c r="C40" s="4" t="s">
        <v>6442</v>
      </c>
      <c r="D40" s="3" t="s">
        <v>6081</v>
      </c>
      <c r="E40" s="3"/>
      <c r="F40" s="3" t="s">
        <v>54</v>
      </c>
      <c r="G40" s="3"/>
      <c r="H40" s="3"/>
      <c r="I40" s="3" t="s">
        <v>1935</v>
      </c>
      <c r="J40" s="3" t="s">
        <v>1936</v>
      </c>
      <c r="K40" s="3"/>
      <c r="L40" s="3" t="s">
        <v>1937</v>
      </c>
      <c r="M40" s="3" t="str">
        <f>HYPERLINK("https://ceds.ed.gov/cedselementdetails.aspx?termid=6277")</f>
        <v>https://ceds.ed.gov/cedselementdetails.aspx?termid=6277</v>
      </c>
      <c r="N40" s="3" t="str">
        <f>HYPERLINK("https://ceds.ed.gov/elementComment.aspx?elementName=Course Interaction Mode &amp;elementID=6277", "Click here to submit comment")</f>
        <v>Click here to submit comment</v>
      </c>
    </row>
    <row r="41" spans="1:14" ht="375">
      <c r="A41" s="3" t="s">
        <v>1942</v>
      </c>
      <c r="B41" s="3" t="s">
        <v>1943</v>
      </c>
      <c r="C41" s="4" t="s">
        <v>6444</v>
      </c>
      <c r="D41" s="3" t="s">
        <v>6118</v>
      </c>
      <c r="E41" s="3"/>
      <c r="F41" s="3" t="s">
        <v>54</v>
      </c>
      <c r="G41" s="3"/>
      <c r="H41" s="3"/>
      <c r="I41" s="3"/>
      <c r="J41" s="3" t="s">
        <v>1944</v>
      </c>
      <c r="K41" s="3"/>
      <c r="L41" s="3" t="s">
        <v>1945</v>
      </c>
      <c r="M41" s="3" t="str">
        <f>HYPERLINK("https://ceds.ed.gov/cedselementdetails.aspx?termid=6278")</f>
        <v>https://ceds.ed.gov/cedselementdetails.aspx?termid=6278</v>
      </c>
      <c r="N41" s="3" t="str">
        <f>HYPERLINK("https://ceds.ed.gov/elementComment.aspx?elementName=Course Level Type &amp;elementID=6278", "Click here to submit comment")</f>
        <v>Click here to submit comment</v>
      </c>
    </row>
    <row r="42" spans="1:14" ht="90">
      <c r="A42" s="3" t="s">
        <v>1946</v>
      </c>
      <c r="B42" s="3" t="s">
        <v>1947</v>
      </c>
      <c r="C42" s="3" t="s">
        <v>13</v>
      </c>
      <c r="D42" s="3" t="s">
        <v>1831</v>
      </c>
      <c r="E42" s="3"/>
      <c r="F42" s="3" t="s">
        <v>54</v>
      </c>
      <c r="G42" s="3" t="s">
        <v>319</v>
      </c>
      <c r="H42" s="3"/>
      <c r="I42" s="3"/>
      <c r="J42" s="3" t="s">
        <v>1948</v>
      </c>
      <c r="K42" s="3"/>
      <c r="L42" s="3" t="s">
        <v>1949</v>
      </c>
      <c r="M42" s="3" t="str">
        <f>HYPERLINK("https://ceds.ed.gov/cedselementdetails.aspx?termid=6279")</f>
        <v>https://ceds.ed.gov/cedselementdetails.aspx?termid=6279</v>
      </c>
      <c r="N42" s="3" t="str">
        <f>HYPERLINK("https://ceds.ed.gov/elementComment.aspx?elementName=Course Narrative Explanation Grade &amp;elementID=6279", "Click here to submit comment")</f>
        <v>Click here to submit comment</v>
      </c>
    </row>
    <row r="43" spans="1:14" ht="90">
      <c r="A43" s="3" t="s">
        <v>1950</v>
      </c>
      <c r="B43" s="3" t="s">
        <v>1951</v>
      </c>
      <c r="C43" s="3" t="s">
        <v>13</v>
      </c>
      <c r="D43" s="3" t="s">
        <v>1831</v>
      </c>
      <c r="E43" s="3"/>
      <c r="F43" s="3" t="s">
        <v>54</v>
      </c>
      <c r="G43" s="3" t="s">
        <v>100</v>
      </c>
      <c r="H43" s="3"/>
      <c r="I43" s="3"/>
      <c r="J43" s="3" t="s">
        <v>1952</v>
      </c>
      <c r="K43" s="3"/>
      <c r="L43" s="3" t="s">
        <v>1953</v>
      </c>
      <c r="M43" s="3" t="str">
        <f>HYPERLINK("https://ceds.ed.gov/cedselementdetails.aspx?termid=6280")</f>
        <v>https://ceds.ed.gov/cedselementdetails.aspx?termid=6280</v>
      </c>
      <c r="N43" s="3" t="str">
        <f>HYPERLINK("https://ceds.ed.gov/elementComment.aspx?elementName=Course Number &amp;elementID=6280", "Click here to submit comment")</f>
        <v>Click here to submit comment</v>
      </c>
    </row>
    <row r="44" spans="1:14" ht="75">
      <c r="A44" s="3" t="s">
        <v>2014</v>
      </c>
      <c r="B44" s="3" t="s">
        <v>2015</v>
      </c>
      <c r="C44" s="3" t="s">
        <v>13</v>
      </c>
      <c r="D44" s="3" t="s">
        <v>1831</v>
      </c>
      <c r="E44" s="3"/>
      <c r="F44" s="3" t="s">
        <v>54</v>
      </c>
      <c r="G44" s="3" t="s">
        <v>100</v>
      </c>
      <c r="H44" s="3"/>
      <c r="I44" s="3"/>
      <c r="J44" s="3" t="s">
        <v>2016</v>
      </c>
      <c r="K44" s="3"/>
      <c r="L44" s="3" t="s">
        <v>2017</v>
      </c>
      <c r="M44" s="3" t="str">
        <f>HYPERLINK("https://ceds.ed.gov/cedselementdetails.aspx?termid=6281")</f>
        <v>https://ceds.ed.gov/cedselementdetails.aspx?termid=6281</v>
      </c>
      <c r="N44" s="3" t="str">
        <f>HYPERLINK("https://ceds.ed.gov/elementComment.aspx?elementName=Course Section Number &amp;elementID=6281", "Click here to submit comment")</f>
        <v>Click here to submit comment</v>
      </c>
    </row>
    <row r="45" spans="1:14" ht="45">
      <c r="A45" s="3" t="s">
        <v>2038</v>
      </c>
      <c r="B45" s="3" t="s">
        <v>2039</v>
      </c>
      <c r="C45" s="3" t="s">
        <v>13</v>
      </c>
      <c r="D45" s="3" t="s">
        <v>14</v>
      </c>
      <c r="E45" s="3"/>
      <c r="F45" s="3" t="s">
        <v>54</v>
      </c>
      <c r="G45" s="3" t="s">
        <v>575</v>
      </c>
      <c r="H45" s="3"/>
      <c r="I45" s="3"/>
      <c r="J45" s="3" t="s">
        <v>2040</v>
      </c>
      <c r="K45" s="3"/>
      <c r="L45" s="3" t="s">
        <v>2041</v>
      </c>
      <c r="M45" s="3" t="str">
        <f>HYPERLINK("https://ceds.ed.gov/cedselementdetails.aspx?termid=6282")</f>
        <v>https://ceds.ed.gov/cedselementdetails.aspx?termid=6282</v>
      </c>
      <c r="N45" s="3" t="str">
        <f>HYPERLINK("https://ceds.ed.gov/elementComment.aspx?elementName=Course Total &amp;elementID=6282", "Click here to submit comment")</f>
        <v>Click here to submit comment</v>
      </c>
    </row>
    <row r="46" spans="1:14" ht="270">
      <c r="A46" s="3" t="s">
        <v>2054</v>
      </c>
      <c r="B46" s="3" t="s">
        <v>2055</v>
      </c>
      <c r="C46" s="4" t="s">
        <v>6450</v>
      </c>
      <c r="D46" s="3" t="s">
        <v>14</v>
      </c>
      <c r="E46" s="3"/>
      <c r="F46" s="3" t="s">
        <v>54</v>
      </c>
      <c r="G46" s="3"/>
      <c r="H46" s="3"/>
      <c r="I46" s="3"/>
      <c r="J46" s="3" t="s">
        <v>2056</v>
      </c>
      <c r="K46" s="3"/>
      <c r="L46" s="3" t="s">
        <v>2057</v>
      </c>
      <c r="M46" s="3" t="str">
        <f>HYPERLINK("https://ceds.ed.gov/cedselementdetails.aspx?termid=6283")</f>
        <v>https://ceds.ed.gov/cedselementdetails.aspx?termid=6283</v>
      </c>
      <c r="N46" s="3" t="str">
        <f>HYPERLINK("https://ceds.ed.gov/elementComment.aspx?elementName=Credit Hours Applied Other Program &amp;elementID=6283", "Click here to submit comment")</f>
        <v>Click here to submit comment</v>
      </c>
    </row>
    <row r="47" spans="1:14" ht="75">
      <c r="A47" s="3" t="s">
        <v>2194</v>
      </c>
      <c r="B47" s="3" t="s">
        <v>2195</v>
      </c>
      <c r="C47" s="4" t="s">
        <v>6458</v>
      </c>
      <c r="D47" s="3" t="s">
        <v>53</v>
      </c>
      <c r="E47" s="3"/>
      <c r="F47" s="3" t="s">
        <v>54</v>
      </c>
      <c r="G47" s="3"/>
      <c r="H47" s="3"/>
      <c r="I47" s="3"/>
      <c r="J47" s="3" t="s">
        <v>2196</v>
      </c>
      <c r="K47" s="3" t="s">
        <v>2197</v>
      </c>
      <c r="L47" s="3" t="s">
        <v>2198</v>
      </c>
      <c r="M47" s="3" t="str">
        <f>HYPERLINK("https://ceds.ed.gov/cedselementdetails.aspx?termid=6285")</f>
        <v>https://ceds.ed.gov/cedselementdetails.aspx?termid=6285</v>
      </c>
      <c r="N47" s="3" t="str">
        <f>HYPERLINK("https://ceds.ed.gov/elementComment.aspx?elementName=Disability Condition Status Type &amp;elementID=6285", "Click here to submit comment")</f>
        <v>Click here to submit comment</v>
      </c>
    </row>
    <row r="48" spans="1:14" ht="255">
      <c r="A48" s="3" t="s">
        <v>2199</v>
      </c>
      <c r="B48" s="3" t="s">
        <v>2200</v>
      </c>
      <c r="C48" s="4" t="s">
        <v>6459</v>
      </c>
      <c r="D48" s="3" t="s">
        <v>6136</v>
      </c>
      <c r="E48" s="3"/>
      <c r="F48" s="3" t="s">
        <v>54</v>
      </c>
      <c r="G48" s="3"/>
      <c r="H48" s="3"/>
      <c r="I48" s="3" t="s">
        <v>2201</v>
      </c>
      <c r="J48" s="3" t="s">
        <v>2202</v>
      </c>
      <c r="K48" s="3"/>
      <c r="L48" s="3" t="s">
        <v>2203</v>
      </c>
      <c r="M48" s="3" t="str">
        <f>HYPERLINK("https://ceds.ed.gov/cedselementdetails.aspx?termid=6286")</f>
        <v>https://ceds.ed.gov/cedselementdetails.aspx?termid=6286</v>
      </c>
      <c r="N48" s="3" t="str">
        <f>HYPERLINK("https://ceds.ed.gov/elementComment.aspx?elementName=Disability Condition Type &amp;elementID=6286", "Click here to submit comment")</f>
        <v>Click here to submit comment</v>
      </c>
    </row>
    <row r="49" spans="1:14" ht="180">
      <c r="A49" s="3" t="s">
        <v>2204</v>
      </c>
      <c r="B49" s="3" t="s">
        <v>2205</v>
      </c>
      <c r="C49" s="4" t="s">
        <v>6460</v>
      </c>
      <c r="D49" s="3" t="s">
        <v>6136</v>
      </c>
      <c r="E49" s="3"/>
      <c r="F49" s="3" t="s">
        <v>54</v>
      </c>
      <c r="G49" s="3"/>
      <c r="H49" s="3"/>
      <c r="I49" s="3" t="s">
        <v>2201</v>
      </c>
      <c r="J49" s="3" t="s">
        <v>2206</v>
      </c>
      <c r="K49" s="3"/>
      <c r="L49" s="3" t="s">
        <v>2207</v>
      </c>
      <c r="M49" s="3" t="str">
        <f>HYPERLINK("https://ceds.ed.gov/cedselementdetails.aspx?termid=6287")</f>
        <v>https://ceds.ed.gov/cedselementdetails.aspx?termid=6287</v>
      </c>
      <c r="N49" s="3" t="str">
        <f>HYPERLINK("https://ceds.ed.gov/elementComment.aspx?elementName=Disability Determination Source Type &amp;elementID=6287", "Click here to submit comment")</f>
        <v>Click here to submit comment</v>
      </c>
    </row>
    <row r="50" spans="1:14" ht="75">
      <c r="A50" s="3" t="s">
        <v>2216</v>
      </c>
      <c r="B50" s="3" t="s">
        <v>2217</v>
      </c>
      <c r="C50" s="3" t="s">
        <v>5963</v>
      </c>
      <c r="D50" s="3" t="s">
        <v>2218</v>
      </c>
      <c r="E50" s="3"/>
      <c r="F50" s="3" t="s">
        <v>54</v>
      </c>
      <c r="G50" s="3"/>
      <c r="H50" s="3"/>
      <c r="I50" s="3"/>
      <c r="J50" s="3" t="s">
        <v>2219</v>
      </c>
      <c r="K50" s="3"/>
      <c r="L50" s="3" t="s">
        <v>2220</v>
      </c>
      <c r="M50" s="3" t="str">
        <f>HYPERLINK("https://ceds.ed.gov/cedselementdetails.aspx?termid=6288")</f>
        <v>https://ceds.ed.gov/cedselementdetails.aspx?termid=6288</v>
      </c>
      <c r="N50" s="3" t="str">
        <f>HYPERLINK("https://ceds.ed.gov/elementComment.aspx?elementName=Disciplinary Action IEP Placement Meeting Indicator &amp;elementID=6288", "Click here to submit comment")</f>
        <v>Click here to submit comment</v>
      </c>
    </row>
    <row r="51" spans="1:14" ht="180">
      <c r="A51" s="3" t="s">
        <v>2261</v>
      </c>
      <c r="B51" s="3" t="s">
        <v>2262</v>
      </c>
      <c r="C51" s="3" t="s">
        <v>5963</v>
      </c>
      <c r="D51" s="3" t="s">
        <v>1708</v>
      </c>
      <c r="E51" s="3"/>
      <c r="F51" s="3" t="s">
        <v>54</v>
      </c>
      <c r="G51" s="3"/>
      <c r="H51" s="3"/>
      <c r="I51" s="3" t="s">
        <v>2258</v>
      </c>
      <c r="J51" s="3" t="s">
        <v>2263</v>
      </c>
      <c r="K51" s="3"/>
      <c r="L51" s="3" t="s">
        <v>2264</v>
      </c>
      <c r="M51" s="3" t="str">
        <f>HYPERLINK("https://ceds.ed.gov/cedselementdetails.aspx?termid=6289")</f>
        <v>https://ceds.ed.gov/cedselementdetails.aspx?termid=6289</v>
      </c>
      <c r="N51" s="3" t="str">
        <f>HYPERLINK("https://ceds.ed.gov/elementComment.aspx?elementName=Distance Education Program Enrollment Indicator &amp;elementID=6289", "Click here to submit comment")</f>
        <v>Click here to submit comment</v>
      </c>
    </row>
    <row r="52" spans="1:14" ht="75">
      <c r="A52" s="3" t="s">
        <v>2265</v>
      </c>
      <c r="B52" s="3" t="s">
        <v>2266</v>
      </c>
      <c r="C52" s="4" t="s">
        <v>6467</v>
      </c>
      <c r="D52" s="3" t="s">
        <v>2267</v>
      </c>
      <c r="E52" s="3"/>
      <c r="F52" s="3" t="s">
        <v>54</v>
      </c>
      <c r="G52" s="3"/>
      <c r="H52" s="3"/>
      <c r="I52" s="3"/>
      <c r="J52" s="3" t="s">
        <v>2268</v>
      </c>
      <c r="K52" s="3"/>
      <c r="L52" s="3" t="s">
        <v>2269</v>
      </c>
      <c r="M52" s="3" t="str">
        <f>HYPERLINK("https://ceds.ed.gov/cedselementdetails.aspx?termid=6290")</f>
        <v>https://ceds.ed.gov/cedselementdetails.aspx?termid=6290</v>
      </c>
      <c r="N52" s="3" t="str">
        <f>HYPERLINK("https://ceds.ed.gov/elementComment.aspx?elementName=Doctoral Candidacy Admit Indicator &amp;elementID=6290", "Click here to submit comment")</f>
        <v>Click here to submit comment</v>
      </c>
    </row>
    <row r="53" spans="1:14" ht="30">
      <c r="A53" s="3" t="s">
        <v>2270</v>
      </c>
      <c r="B53" s="3" t="s">
        <v>2271</v>
      </c>
      <c r="C53" s="3" t="s">
        <v>13</v>
      </c>
      <c r="D53" s="3" t="s">
        <v>2267</v>
      </c>
      <c r="E53" s="3"/>
      <c r="F53" s="3" t="s">
        <v>54</v>
      </c>
      <c r="G53" s="3" t="s">
        <v>73</v>
      </c>
      <c r="H53" s="3"/>
      <c r="I53" s="3"/>
      <c r="J53" s="3" t="s">
        <v>2272</v>
      </c>
      <c r="K53" s="3"/>
      <c r="L53" s="3" t="s">
        <v>2273</v>
      </c>
      <c r="M53" s="3" t="str">
        <f>HYPERLINK("https://ceds.ed.gov/cedselementdetails.aspx?termid=6291")</f>
        <v>https://ceds.ed.gov/cedselementdetails.aspx?termid=6291</v>
      </c>
      <c r="N53" s="3" t="str">
        <f>HYPERLINK("https://ceds.ed.gov/elementComment.aspx?elementName=Doctoral Candidacy Date &amp;elementID=6291", "Click here to submit comment")</f>
        <v>Click here to submit comment</v>
      </c>
    </row>
    <row r="54" spans="1:14" ht="60">
      <c r="A54" s="3" t="s">
        <v>2274</v>
      </c>
      <c r="B54" s="3" t="s">
        <v>2275</v>
      </c>
      <c r="C54" s="3" t="s">
        <v>13</v>
      </c>
      <c r="D54" s="3" t="s">
        <v>2267</v>
      </c>
      <c r="E54" s="3"/>
      <c r="F54" s="3" t="s">
        <v>54</v>
      </c>
      <c r="G54" s="3" t="s">
        <v>73</v>
      </c>
      <c r="H54" s="3"/>
      <c r="I54" s="3"/>
      <c r="J54" s="3" t="s">
        <v>2276</v>
      </c>
      <c r="K54" s="3"/>
      <c r="L54" s="3" t="s">
        <v>2277</v>
      </c>
      <c r="M54" s="3" t="str">
        <f>HYPERLINK("https://ceds.ed.gov/cedselementdetails.aspx?termid=6292")</f>
        <v>https://ceds.ed.gov/cedselementdetails.aspx?termid=6292</v>
      </c>
      <c r="N54" s="3" t="str">
        <f>HYPERLINK("https://ceds.ed.gov/elementComment.aspx?elementName=Doctoral Exam Taken Date &amp;elementID=6292", "Click here to submit comment")</f>
        <v>Click here to submit comment</v>
      </c>
    </row>
    <row r="55" spans="1:14" ht="135">
      <c r="A55" s="3" t="s">
        <v>2278</v>
      </c>
      <c r="B55" s="3" t="s">
        <v>2279</v>
      </c>
      <c r="C55" s="4" t="s">
        <v>6468</v>
      </c>
      <c r="D55" s="3" t="s">
        <v>2267</v>
      </c>
      <c r="E55" s="3"/>
      <c r="F55" s="3" t="s">
        <v>54</v>
      </c>
      <c r="G55" s="3"/>
      <c r="H55" s="3"/>
      <c r="I55" s="3"/>
      <c r="J55" s="3" t="s">
        <v>2280</v>
      </c>
      <c r="K55" s="3"/>
      <c r="L55" s="3" t="s">
        <v>2281</v>
      </c>
      <c r="M55" s="3" t="str">
        <f>HYPERLINK("https://ceds.ed.gov/cedselementdetails.aspx?termid=6293")</f>
        <v>https://ceds.ed.gov/cedselementdetails.aspx?termid=6293</v>
      </c>
      <c r="N55" s="3" t="str">
        <f>HYPERLINK("https://ceds.ed.gov/elementComment.aspx?elementName=Doctoral Exams Required Type &amp;elementID=6293", "Click here to submit comment")</f>
        <v>Click here to submit comment</v>
      </c>
    </row>
    <row r="56" spans="1:14" ht="165">
      <c r="A56" s="3" t="s">
        <v>2344</v>
      </c>
      <c r="B56" s="3" t="s">
        <v>2345</v>
      </c>
      <c r="C56" s="4" t="s">
        <v>6478</v>
      </c>
      <c r="D56" s="3" t="s">
        <v>2346</v>
      </c>
      <c r="E56" s="3"/>
      <c r="F56" s="3" t="s">
        <v>54</v>
      </c>
      <c r="G56" s="3"/>
      <c r="H56" s="3"/>
      <c r="I56" s="3"/>
      <c r="J56" s="3" t="s">
        <v>2347</v>
      </c>
      <c r="K56" s="3"/>
      <c r="L56" s="3" t="s">
        <v>2348</v>
      </c>
      <c r="M56" s="3" t="str">
        <f>HYPERLINK("https://ceds.ed.gov/cedselementdetails.aspx?termid=6294")</f>
        <v>https://ceds.ed.gov/cedselementdetails.aspx?termid=6294</v>
      </c>
      <c r="N56" s="3" t="str">
        <f>HYPERLINK("https://ceds.ed.gov/elementComment.aspx?elementName=Early Learning Federal Funding Type &amp;elementID=6294", "Click here to submit comment")</f>
        <v>Click here to submit comment</v>
      </c>
    </row>
    <row r="57" spans="1:14" ht="30">
      <c r="A57" s="3" t="s">
        <v>2349</v>
      </c>
      <c r="B57" s="3" t="s">
        <v>2350</v>
      </c>
      <c r="C57" s="3" t="s">
        <v>13</v>
      </c>
      <c r="D57" s="3" t="s">
        <v>2351</v>
      </c>
      <c r="E57" s="3"/>
      <c r="F57" s="3" t="s">
        <v>54</v>
      </c>
      <c r="G57" s="3" t="s">
        <v>575</v>
      </c>
      <c r="H57" s="3"/>
      <c r="I57" s="3"/>
      <c r="J57" s="3" t="s">
        <v>2352</v>
      </c>
      <c r="K57" s="3"/>
      <c r="L57" s="3" t="s">
        <v>2353</v>
      </c>
      <c r="M57" s="3" t="str">
        <f>HYPERLINK("https://ceds.ed.gov/cedselementdetails.aspx?termid=6295")</f>
        <v>https://ceds.ed.gov/cedselementdetails.aspx?termid=6295</v>
      </c>
      <c r="N57" s="3" t="str">
        <f>HYPERLINK("https://ceds.ed.gov/elementComment.aspx?elementName=Early Learning Group Size &amp;elementID=6295", "Click here to submit comment")</f>
        <v>Click here to submit comment</v>
      </c>
    </row>
    <row r="58" spans="1:14" ht="120">
      <c r="A58" s="3" t="s">
        <v>2363</v>
      </c>
      <c r="B58" s="3" t="s">
        <v>2364</v>
      </c>
      <c r="C58" s="4" t="s">
        <v>6480</v>
      </c>
      <c r="D58" s="3" t="s">
        <v>2346</v>
      </c>
      <c r="E58" s="3"/>
      <c r="F58" s="3" t="s">
        <v>54</v>
      </c>
      <c r="G58" s="3"/>
      <c r="H58" s="3"/>
      <c r="I58" s="3"/>
      <c r="J58" s="3" t="s">
        <v>2365</v>
      </c>
      <c r="K58" s="3"/>
      <c r="L58" s="3" t="s">
        <v>2366</v>
      </c>
      <c r="M58" s="3" t="str">
        <f>HYPERLINK("https://ceds.ed.gov/cedselementdetails.aspx?termid=6302")</f>
        <v>https://ceds.ed.gov/cedselementdetails.aspx?termid=6302</v>
      </c>
      <c r="N58" s="3" t="str">
        <f>HYPERLINK("https://ceds.ed.gov/elementComment.aspx?elementName=Early Learning Other Federal Funding Sources &amp;elementID=6302", "Click here to submit comment")</f>
        <v>Click here to submit comment</v>
      </c>
    </row>
    <row r="59" spans="1:14" ht="75">
      <c r="A59" s="3" t="s">
        <v>2367</v>
      </c>
      <c r="B59" s="3" t="s">
        <v>2368</v>
      </c>
      <c r="C59" s="4" t="s">
        <v>6481</v>
      </c>
      <c r="D59" s="3" t="s">
        <v>2369</v>
      </c>
      <c r="E59" s="3"/>
      <c r="F59" s="3" t="s">
        <v>54</v>
      </c>
      <c r="G59" s="3"/>
      <c r="H59" s="3"/>
      <c r="I59" s="3"/>
      <c r="J59" s="3" t="s">
        <v>2370</v>
      </c>
      <c r="K59" s="3"/>
      <c r="L59" s="3" t="s">
        <v>2371</v>
      </c>
      <c r="M59" s="3" t="str">
        <f>HYPERLINK("https://ceds.ed.gov/cedselementdetails.aspx?termid=6303")</f>
        <v>https://ceds.ed.gov/cedselementdetails.aspx?termid=6303</v>
      </c>
      <c r="N59" s="3" t="str">
        <f>HYPERLINK("https://ceds.ed.gov/elementComment.aspx?elementName=Early Learning Outcome Measurement Level &amp;elementID=6303", "Click here to submit comment")</f>
        <v>Click here to submit comment</v>
      </c>
    </row>
    <row r="60" spans="1:14" ht="75">
      <c r="A60" s="3" t="s">
        <v>2372</v>
      </c>
      <c r="B60" s="3" t="s">
        <v>2373</v>
      </c>
      <c r="C60" s="4" t="s">
        <v>6482</v>
      </c>
      <c r="D60" s="3" t="s">
        <v>2369</v>
      </c>
      <c r="E60" s="3"/>
      <c r="F60" s="3" t="s">
        <v>54</v>
      </c>
      <c r="G60" s="3"/>
      <c r="H60" s="3"/>
      <c r="I60" s="3"/>
      <c r="J60" s="3" t="s">
        <v>2374</v>
      </c>
      <c r="K60" s="3"/>
      <c r="L60" s="3" t="s">
        <v>2375</v>
      </c>
      <c r="M60" s="3" t="str">
        <f>HYPERLINK("https://ceds.ed.gov/cedselementdetails.aspx?termid=6475")</f>
        <v>https://ceds.ed.gov/cedselementdetails.aspx?termid=6475</v>
      </c>
      <c r="N60" s="3" t="str">
        <f>HYPERLINK("https://ceds.ed.gov/elementComment.aspx?elementName=Early Learning Outcome Time Point &amp;elementID=6475", "Click here to submit comment")</f>
        <v>Click here to submit comment</v>
      </c>
    </row>
    <row r="61" spans="1:14" ht="165">
      <c r="A61" s="3" t="s">
        <v>2376</v>
      </c>
      <c r="B61" s="3" t="s">
        <v>2377</v>
      </c>
      <c r="C61" s="4" t="s">
        <v>6483</v>
      </c>
      <c r="D61" s="3" t="s">
        <v>1542</v>
      </c>
      <c r="E61" s="3"/>
      <c r="F61" s="3" t="s">
        <v>54</v>
      </c>
      <c r="G61" s="3"/>
      <c r="H61" s="3"/>
      <c r="I61" s="3"/>
      <c r="J61" s="3" t="s">
        <v>2378</v>
      </c>
      <c r="K61" s="3"/>
      <c r="L61" s="3" t="s">
        <v>2379</v>
      </c>
      <c r="M61" s="3" t="str">
        <f>HYPERLINK("https://ceds.ed.gov/cedselementdetails.aspx?termid=6304")</f>
        <v>https://ceds.ed.gov/cedselementdetails.aspx?termid=6304</v>
      </c>
      <c r="N61" s="3" t="str">
        <f>HYPERLINK("https://ceds.ed.gov/elementComment.aspx?elementName=Early Learning Professional Development Topic Area &amp;elementID=6304", "Click here to submit comment")</f>
        <v>Click here to submit comment</v>
      </c>
    </row>
    <row r="62" spans="1:14" ht="45">
      <c r="A62" s="3" t="s">
        <v>2395</v>
      </c>
      <c r="B62" s="3" t="s">
        <v>2396</v>
      </c>
      <c r="C62" s="3" t="s">
        <v>13</v>
      </c>
      <c r="D62" s="3" t="s">
        <v>2397</v>
      </c>
      <c r="E62" s="3"/>
      <c r="F62" s="3" t="s">
        <v>54</v>
      </c>
      <c r="G62" s="3" t="s">
        <v>73</v>
      </c>
      <c r="H62" s="3"/>
      <c r="I62" s="3"/>
      <c r="J62" s="3" t="s">
        <v>2398</v>
      </c>
      <c r="K62" s="3"/>
      <c r="L62" s="3" t="s">
        <v>2399</v>
      </c>
      <c r="M62" s="3" t="str">
        <f>HYPERLINK("https://ceds.ed.gov/cedselementdetails.aspx?termid=6305")</f>
        <v>https://ceds.ed.gov/cedselementdetails.aspx?termid=6305</v>
      </c>
      <c r="N62" s="3" t="str">
        <f>HYPERLINK("https://ceds.ed.gov/elementComment.aspx?elementName=Early Learning Program Eligibility Expiration Date &amp;elementID=6305", "Click here to submit comment")</f>
        <v>Click here to submit comment</v>
      </c>
    </row>
    <row r="63" spans="1:14" ht="75">
      <c r="A63" s="3" t="s">
        <v>2400</v>
      </c>
      <c r="B63" s="3" t="s">
        <v>2401</v>
      </c>
      <c r="C63" s="4" t="s">
        <v>6485</v>
      </c>
      <c r="D63" s="3" t="s">
        <v>2397</v>
      </c>
      <c r="E63" s="3"/>
      <c r="F63" s="3" t="s">
        <v>54</v>
      </c>
      <c r="G63" s="3"/>
      <c r="H63" s="3"/>
      <c r="I63" s="3"/>
      <c r="J63" s="3" t="s">
        <v>2402</v>
      </c>
      <c r="K63" s="3"/>
      <c r="L63" s="3" t="s">
        <v>2403</v>
      </c>
      <c r="M63" s="3" t="str">
        <f>HYPERLINK("https://ceds.ed.gov/cedselementdetails.aspx?termid=6306")</f>
        <v>https://ceds.ed.gov/cedselementdetails.aspx?termid=6306</v>
      </c>
      <c r="N63" s="3" t="str">
        <f>HYPERLINK("https://ceds.ed.gov/elementComment.aspx?elementName=Early Learning Program Eligibility Status &amp;elementID=6306", "Click here to submit comment")</f>
        <v>Click here to submit comment</v>
      </c>
    </row>
    <row r="64" spans="1:14" ht="30">
      <c r="A64" s="3" t="s">
        <v>2404</v>
      </c>
      <c r="B64" s="3" t="s">
        <v>2405</v>
      </c>
      <c r="C64" s="3" t="s">
        <v>13</v>
      </c>
      <c r="D64" s="3" t="s">
        <v>2397</v>
      </c>
      <c r="E64" s="3"/>
      <c r="F64" s="3" t="s">
        <v>54</v>
      </c>
      <c r="G64" s="3" t="s">
        <v>73</v>
      </c>
      <c r="H64" s="3"/>
      <c r="I64" s="3"/>
      <c r="J64" s="3" t="s">
        <v>2406</v>
      </c>
      <c r="K64" s="3"/>
      <c r="L64" s="3" t="s">
        <v>2407</v>
      </c>
      <c r="M64" s="3" t="str">
        <f>HYPERLINK("https://ceds.ed.gov/cedselementdetails.aspx?termid=6307")</f>
        <v>https://ceds.ed.gov/cedselementdetails.aspx?termid=6307</v>
      </c>
      <c r="N64" s="3" t="str">
        <f>HYPERLINK("https://ceds.ed.gov/elementComment.aspx?elementName=Early Learning Program Eligibility Status Date &amp;elementID=6307", "Click here to submit comment")</f>
        <v>Click here to submit comment</v>
      </c>
    </row>
    <row r="65" spans="1:14" ht="45">
      <c r="A65" s="3" t="s">
        <v>2470</v>
      </c>
      <c r="B65" s="3" t="s">
        <v>2471</v>
      </c>
      <c r="C65" s="3" t="s">
        <v>5963</v>
      </c>
      <c r="D65" s="3" t="s">
        <v>6149</v>
      </c>
      <c r="E65" s="3"/>
      <c r="F65" s="3" t="s">
        <v>54</v>
      </c>
      <c r="G65" s="3"/>
      <c r="H65" s="3"/>
      <c r="I65" s="3"/>
      <c r="J65" s="3" t="s">
        <v>2472</v>
      </c>
      <c r="K65" s="3"/>
      <c r="L65" s="3" t="s">
        <v>2473</v>
      </c>
      <c r="M65" s="3" t="str">
        <f>HYPERLINK("https://ceds.ed.gov/cedselementdetails.aspx?termid=6308")</f>
        <v>https://ceds.ed.gov/cedselementdetails.aspx?termid=6308</v>
      </c>
      <c r="N65" s="3" t="str">
        <f>HYPERLINK("https://ceds.ed.gov/elementComment.aspx?elementName=Emergency Contact Indicator &amp;elementID=6308", "Click here to submit comment")</f>
        <v>Click here to submit comment</v>
      </c>
    </row>
    <row r="66" spans="1:14" ht="225">
      <c r="A66" s="3" t="s">
        <v>2481</v>
      </c>
      <c r="B66" s="3" t="s">
        <v>2482</v>
      </c>
      <c r="C66" s="3" t="s">
        <v>6150</v>
      </c>
      <c r="D66" s="3" t="s">
        <v>2483</v>
      </c>
      <c r="E66" s="3"/>
      <c r="F66" s="3" t="s">
        <v>54</v>
      </c>
      <c r="G66" s="3"/>
      <c r="H66" s="3"/>
      <c r="I66" s="3" t="s">
        <v>2484</v>
      </c>
      <c r="J66" s="3" t="s">
        <v>2485</v>
      </c>
      <c r="K66" s="3"/>
      <c r="L66" s="3" t="s">
        <v>2486</v>
      </c>
      <c r="M66" s="3" t="str">
        <f>HYPERLINK("https://ceds.ed.gov/cedselementdetails.aspx?termid=6309")</f>
        <v>https://ceds.ed.gov/cedselementdetails.aspx?termid=6309</v>
      </c>
      <c r="N66" s="3" t="str">
        <f>HYPERLINK("https://ceds.ed.gov/elementComment.aspx?elementName=Employed Prior to Enrollment &amp;elementID=6309", "Click here to submit comment")</f>
        <v>Click here to submit comment</v>
      </c>
    </row>
    <row r="67" spans="1:14" ht="75">
      <c r="A67" s="3" t="s">
        <v>2541</v>
      </c>
      <c r="B67" s="3" t="s">
        <v>2542</v>
      </c>
      <c r="C67" s="4" t="s">
        <v>6497</v>
      </c>
      <c r="D67" s="3" t="s">
        <v>2543</v>
      </c>
      <c r="E67" s="3"/>
      <c r="F67" s="3" t="s">
        <v>54</v>
      </c>
      <c r="G67" s="3"/>
      <c r="H67" s="3"/>
      <c r="I67" s="3"/>
      <c r="J67" s="3" t="s">
        <v>2544</v>
      </c>
      <c r="K67" s="3"/>
      <c r="L67" s="3" t="s">
        <v>2545</v>
      </c>
      <c r="M67" s="3" t="str">
        <f>HYPERLINK("https://ceds.ed.gov/cedselementdetails.aspx?termid=6310")</f>
        <v>https://ceds.ed.gov/cedselementdetails.aspx?termid=6310</v>
      </c>
      <c r="N67" s="3" t="str">
        <f>HYPERLINK("https://ceds.ed.gov/elementComment.aspx?elementName=Employment Status While Enrolled &amp;elementID=6310", "Click here to submit comment")</f>
        <v>Click here to submit comment</v>
      </c>
    </row>
    <row r="68" spans="1:14" ht="45">
      <c r="A68" s="3" t="s">
        <v>2633</v>
      </c>
      <c r="B68" s="3" t="s">
        <v>2634</v>
      </c>
      <c r="C68" s="3" t="s">
        <v>5963</v>
      </c>
      <c r="D68" s="3" t="s">
        <v>6081</v>
      </c>
      <c r="E68" s="3"/>
      <c r="F68" s="3" t="s">
        <v>54</v>
      </c>
      <c r="G68" s="3"/>
      <c r="H68" s="3"/>
      <c r="I68" s="3"/>
      <c r="J68" s="3" t="s">
        <v>2635</v>
      </c>
      <c r="K68" s="3"/>
      <c r="L68" s="3" t="s">
        <v>2636</v>
      </c>
      <c r="M68" s="3" t="str">
        <f>HYPERLINK("https://ceds.ed.gov/cedselementdetails.aspx?termid=6311")</f>
        <v>https://ceds.ed.gov/cedselementdetails.aspx?termid=6311</v>
      </c>
      <c r="N68" s="3" t="str">
        <f>HYPERLINK("https://ceds.ed.gov/elementComment.aspx?elementName=Family and Consumer Sciences Course Indicator &amp;elementID=6311", "Click here to submit comment")</f>
        <v>Click here to submit comment</v>
      </c>
    </row>
    <row r="69" spans="1:14" ht="105">
      <c r="A69" s="3" t="s">
        <v>2670</v>
      </c>
      <c r="B69" s="3" t="s">
        <v>2671</v>
      </c>
      <c r="C69" s="4" t="s">
        <v>6508</v>
      </c>
      <c r="D69" s="3" t="s">
        <v>6171</v>
      </c>
      <c r="E69" s="3"/>
      <c r="F69" s="3" t="s">
        <v>54</v>
      </c>
      <c r="G69" s="3"/>
      <c r="H69" s="3"/>
      <c r="I69" s="3"/>
      <c r="J69" s="3" t="s">
        <v>2672</v>
      </c>
      <c r="K69" s="3"/>
      <c r="L69" s="3" t="s">
        <v>2673</v>
      </c>
      <c r="M69" s="3" t="str">
        <f>HYPERLINK("https://ceds.ed.gov/cedselementdetails.aspx?termid=6312")</f>
        <v>https://ceds.ed.gov/cedselementdetails.aspx?termid=6312</v>
      </c>
      <c r="N69" s="3" t="str">
        <f>HYPERLINK("https://ceds.ed.gov/elementComment.aspx?elementName=Financial Account Category &amp;elementID=6312", "Click here to submit comment")</f>
        <v>Click here to submit comment</v>
      </c>
    </row>
    <row r="70" spans="1:14" ht="105">
      <c r="A70" s="3" t="s">
        <v>2674</v>
      </c>
      <c r="B70" s="3" t="s">
        <v>2675</v>
      </c>
      <c r="C70" s="3" t="s">
        <v>13</v>
      </c>
      <c r="D70" s="3" t="s">
        <v>6171</v>
      </c>
      <c r="E70" s="3"/>
      <c r="F70" s="3" t="s">
        <v>54</v>
      </c>
      <c r="G70" s="3" t="s">
        <v>93</v>
      </c>
      <c r="H70" s="3"/>
      <c r="I70" s="3"/>
      <c r="J70" s="3" t="s">
        <v>2676</v>
      </c>
      <c r="K70" s="3"/>
      <c r="L70" s="3" t="s">
        <v>2677</v>
      </c>
      <c r="M70" s="3" t="str">
        <f>HYPERLINK("https://ceds.ed.gov/cedselementdetails.aspx?termid=6313")</f>
        <v>https://ceds.ed.gov/cedselementdetails.aspx?termid=6313</v>
      </c>
      <c r="N70" s="3" t="str">
        <f>HYPERLINK("https://ceds.ed.gov/elementComment.aspx?elementName=Financial Account Description &amp;elementID=6313", "Click here to submit comment")</f>
        <v>Click here to submit comment</v>
      </c>
    </row>
    <row r="71" spans="1:14" ht="150">
      <c r="A71" s="3" t="s">
        <v>2678</v>
      </c>
      <c r="B71" s="3" t="s">
        <v>2679</v>
      </c>
      <c r="C71" s="4" t="s">
        <v>6509</v>
      </c>
      <c r="D71" s="3" t="s">
        <v>6171</v>
      </c>
      <c r="E71" s="3"/>
      <c r="F71" s="3" t="s">
        <v>54</v>
      </c>
      <c r="G71" s="3"/>
      <c r="H71" s="3"/>
      <c r="I71" s="3" t="s">
        <v>2680</v>
      </c>
      <c r="J71" s="3" t="s">
        <v>2681</v>
      </c>
      <c r="K71" s="3"/>
      <c r="L71" s="3" t="s">
        <v>2682</v>
      </c>
      <c r="M71" s="3" t="str">
        <f>HYPERLINK("https://ceds.ed.gov/cedselementdetails.aspx?termid=6314")</f>
        <v>https://ceds.ed.gov/cedselementdetails.aspx?termid=6314</v>
      </c>
      <c r="N71" s="3" t="str">
        <f>HYPERLINK("https://ceds.ed.gov/elementComment.aspx?elementName=Financial Account Fund Classification &amp;elementID=6314", "Click here to submit comment")</f>
        <v>Click here to submit comment</v>
      </c>
    </row>
    <row r="72" spans="1:14" ht="105">
      <c r="A72" s="3" t="s">
        <v>2683</v>
      </c>
      <c r="B72" s="3" t="s">
        <v>2684</v>
      </c>
      <c r="C72" s="3" t="s">
        <v>13</v>
      </c>
      <c r="D72" s="3" t="s">
        <v>6171</v>
      </c>
      <c r="E72" s="3"/>
      <c r="F72" s="3" t="s">
        <v>54</v>
      </c>
      <c r="G72" s="3" t="s">
        <v>745</v>
      </c>
      <c r="H72" s="3"/>
      <c r="I72" s="3"/>
      <c r="J72" s="3" t="s">
        <v>2685</v>
      </c>
      <c r="K72" s="3"/>
      <c r="L72" s="3" t="s">
        <v>2686</v>
      </c>
      <c r="M72" s="3" t="str">
        <f>HYPERLINK("https://ceds.ed.gov/cedselementdetails.aspx?termid=6315")</f>
        <v>https://ceds.ed.gov/cedselementdetails.aspx?termid=6315</v>
      </c>
      <c r="N72" s="3" t="str">
        <f>HYPERLINK("https://ceds.ed.gov/elementComment.aspx?elementName=Financial Account Name &amp;elementID=6315", "Click here to submit comment")</f>
        <v>Click here to submit comment</v>
      </c>
    </row>
    <row r="73" spans="1:14" ht="240">
      <c r="A73" s="3" t="s">
        <v>2687</v>
      </c>
      <c r="B73" s="3" t="s">
        <v>2688</v>
      </c>
      <c r="C73" s="4" t="s">
        <v>6510</v>
      </c>
      <c r="D73" s="3" t="s">
        <v>6171</v>
      </c>
      <c r="E73" s="3"/>
      <c r="F73" s="3" t="s">
        <v>54</v>
      </c>
      <c r="G73" s="3"/>
      <c r="H73" s="3"/>
      <c r="I73" s="3"/>
      <c r="J73" s="3" t="s">
        <v>2689</v>
      </c>
      <c r="K73" s="3"/>
      <c r="L73" s="3" t="s">
        <v>2690</v>
      </c>
      <c r="M73" s="3" t="str">
        <f>HYPERLINK("https://ceds.ed.gov/cedselementdetails.aspx?termid=6316")</f>
        <v>https://ceds.ed.gov/cedselementdetails.aspx?termid=6316</v>
      </c>
      <c r="N73" s="3" t="str">
        <f>HYPERLINK("https://ceds.ed.gov/elementComment.aspx?elementName=Financial Account Program Code &amp;elementID=6316", "Click here to submit comment")</f>
        <v>Click here to submit comment</v>
      </c>
    </row>
    <row r="74" spans="1:14" ht="105">
      <c r="A74" s="3" t="s">
        <v>2691</v>
      </c>
      <c r="B74" s="3" t="s">
        <v>2692</v>
      </c>
      <c r="C74" s="3" t="s">
        <v>13</v>
      </c>
      <c r="D74" s="3" t="s">
        <v>6171</v>
      </c>
      <c r="E74" s="3"/>
      <c r="F74" s="3" t="s">
        <v>54</v>
      </c>
      <c r="G74" s="3" t="s">
        <v>1461</v>
      </c>
      <c r="H74" s="3"/>
      <c r="I74" s="3"/>
      <c r="J74" s="3" t="s">
        <v>2693</v>
      </c>
      <c r="K74" s="3"/>
      <c r="L74" s="3" t="s">
        <v>2694</v>
      </c>
      <c r="M74" s="3" t="str">
        <f>HYPERLINK("https://ceds.ed.gov/cedselementdetails.aspx?termid=6317")</f>
        <v>https://ceds.ed.gov/cedselementdetails.aspx?termid=6317</v>
      </c>
      <c r="N74" s="3" t="str">
        <f>HYPERLINK("https://ceds.ed.gov/elementComment.aspx?elementName=Financial Accounting Period Actual Value &amp;elementID=6317", "Click here to submit comment")</f>
        <v>Click here to submit comment</v>
      </c>
    </row>
    <row r="75" spans="1:14" ht="105">
      <c r="A75" s="3" t="s">
        <v>2695</v>
      </c>
      <c r="B75" s="3" t="s">
        <v>2696</v>
      </c>
      <c r="C75" s="3" t="s">
        <v>13</v>
      </c>
      <c r="D75" s="3" t="s">
        <v>6171</v>
      </c>
      <c r="E75" s="3"/>
      <c r="F75" s="3" t="s">
        <v>54</v>
      </c>
      <c r="G75" s="3" t="s">
        <v>1461</v>
      </c>
      <c r="H75" s="3"/>
      <c r="I75" s="3"/>
      <c r="J75" s="3" t="s">
        <v>2697</v>
      </c>
      <c r="K75" s="3"/>
      <c r="L75" s="3" t="s">
        <v>2698</v>
      </c>
      <c r="M75" s="3" t="str">
        <f>HYPERLINK("https://ceds.ed.gov/cedselementdetails.aspx?termid=6318")</f>
        <v>https://ceds.ed.gov/cedselementdetails.aspx?termid=6318</v>
      </c>
      <c r="N75" s="3" t="str">
        <f>HYPERLINK("https://ceds.ed.gov/elementComment.aspx?elementName=Financial Accounting Period Budgeted Value &amp;elementID=6318", "Click here to submit comment")</f>
        <v>Click here to submit comment</v>
      </c>
    </row>
    <row r="76" spans="1:14" ht="150">
      <c r="A76" s="3" t="s">
        <v>2726</v>
      </c>
      <c r="B76" s="3" t="s">
        <v>2727</v>
      </c>
      <c r="C76" s="3" t="s">
        <v>13</v>
      </c>
      <c r="D76" s="3" t="s">
        <v>2701</v>
      </c>
      <c r="E76" s="3"/>
      <c r="F76" s="3" t="s">
        <v>54</v>
      </c>
      <c r="G76" s="3" t="s">
        <v>1461</v>
      </c>
      <c r="H76" s="3"/>
      <c r="I76" s="3"/>
      <c r="J76" s="3" t="s">
        <v>2728</v>
      </c>
      <c r="K76" s="3"/>
      <c r="L76" s="3" t="s">
        <v>2729</v>
      </c>
      <c r="M76" s="3" t="str">
        <f>HYPERLINK("https://ceds.ed.gov/cedselementdetails.aspx?termid=6319")</f>
        <v>https://ceds.ed.gov/cedselementdetails.aspx?termid=6319</v>
      </c>
      <c r="N76" s="3" t="str">
        <f>HYPERLINK("https://ceds.ed.gov/elementComment.aspx?elementName=Financial Aid Income Level &amp;elementID=6319", "Click here to submit comment")</f>
        <v>Click here to submit comment</v>
      </c>
    </row>
    <row r="77" spans="1:14" ht="409.5">
      <c r="A77" s="3" t="s">
        <v>2730</v>
      </c>
      <c r="B77" s="3" t="s">
        <v>2731</v>
      </c>
      <c r="C77" s="4" t="s">
        <v>6513</v>
      </c>
      <c r="D77" s="3" t="s">
        <v>6171</v>
      </c>
      <c r="E77" s="3"/>
      <c r="F77" s="3" t="s">
        <v>54</v>
      </c>
      <c r="G77" s="3"/>
      <c r="H77" s="3"/>
      <c r="I77" s="3" t="s">
        <v>2732</v>
      </c>
      <c r="J77" s="3" t="s">
        <v>2733</v>
      </c>
      <c r="K77" s="3"/>
      <c r="L77" s="3" t="s">
        <v>2734</v>
      </c>
      <c r="M77" s="3" t="str">
        <f>HYPERLINK("https://ceds.ed.gov/cedselementdetails.aspx?termid=6320")</f>
        <v>https://ceds.ed.gov/cedselementdetails.aspx?termid=6320</v>
      </c>
      <c r="N77" s="3" t="str">
        <f>HYPERLINK("https://ceds.ed.gov/elementComment.aspx?elementName=Financial Balance Sheet Account Code &amp;elementID=6320", "Click here to submit comment")</f>
        <v>Click here to submit comment</v>
      </c>
    </row>
    <row r="78" spans="1:14" ht="409.5">
      <c r="A78" s="3" t="s">
        <v>2735</v>
      </c>
      <c r="B78" s="3" t="s">
        <v>2736</v>
      </c>
      <c r="C78" s="4" t="s">
        <v>6514</v>
      </c>
      <c r="D78" s="3" t="s">
        <v>6171</v>
      </c>
      <c r="E78" s="3"/>
      <c r="F78" s="3" t="s">
        <v>54</v>
      </c>
      <c r="G78" s="3"/>
      <c r="H78" s="3"/>
      <c r="I78" s="3" t="s">
        <v>2732</v>
      </c>
      <c r="J78" s="3" t="s">
        <v>2737</v>
      </c>
      <c r="K78" s="3"/>
      <c r="L78" s="3" t="s">
        <v>2738</v>
      </c>
      <c r="M78" s="3" t="str">
        <f>HYPERLINK("https://ceds.ed.gov/cedselementdetails.aspx?termid=6321")</f>
        <v>https://ceds.ed.gov/cedselementdetails.aspx?termid=6321</v>
      </c>
      <c r="N78" s="3" t="str">
        <f>HYPERLINK("https://ceds.ed.gov/elementComment.aspx?elementName=Financial Expenditure Function Code &amp;elementID=6321", "Click here to submit comment")</f>
        <v>Click here to submit comment</v>
      </c>
    </row>
    <row r="79" spans="1:14" ht="409.5">
      <c r="A79" s="3" t="s">
        <v>2739</v>
      </c>
      <c r="B79" s="3" t="s">
        <v>2740</v>
      </c>
      <c r="C79" s="4" t="s">
        <v>6515</v>
      </c>
      <c r="D79" s="3" t="s">
        <v>6171</v>
      </c>
      <c r="E79" s="3"/>
      <c r="F79" s="3" t="s">
        <v>54</v>
      </c>
      <c r="G79" s="3"/>
      <c r="H79" s="3"/>
      <c r="I79" s="3" t="s">
        <v>2741</v>
      </c>
      <c r="J79" s="3" t="s">
        <v>2742</v>
      </c>
      <c r="K79" s="3"/>
      <c r="L79" s="3" t="s">
        <v>2743</v>
      </c>
      <c r="M79" s="3" t="str">
        <f>HYPERLINK("https://ceds.ed.gov/cedselementdetails.aspx?termid=6322")</f>
        <v>https://ceds.ed.gov/cedselementdetails.aspx?termid=6322</v>
      </c>
      <c r="N79" s="3" t="str">
        <f>HYPERLINK("https://ceds.ed.gov/elementComment.aspx?elementName=Financial Expenditure Object Code &amp;elementID=6322", "Click here to submit comment")</f>
        <v>Click here to submit comment</v>
      </c>
    </row>
    <row r="80" spans="1:14" ht="409.5">
      <c r="A80" s="3" t="s">
        <v>2754</v>
      </c>
      <c r="B80" s="3" t="s">
        <v>2755</v>
      </c>
      <c r="C80" s="4" t="s">
        <v>6516</v>
      </c>
      <c r="D80" s="3"/>
      <c r="E80" s="3"/>
      <c r="F80" s="3" t="s">
        <v>54</v>
      </c>
      <c r="G80" s="3"/>
      <c r="H80" s="3"/>
      <c r="I80" s="3"/>
      <c r="J80" s="3" t="s">
        <v>2756</v>
      </c>
      <c r="K80" s="3"/>
      <c r="L80" s="3" t="s">
        <v>2757</v>
      </c>
      <c r="M80" s="3" t="str">
        <f>HYPERLINK("https://ceds.ed.gov/cedselementdetails.aspx?termid=6440")</f>
        <v>https://ceds.ed.gov/cedselementdetails.aspx?termid=6440</v>
      </c>
      <c r="N80" s="3" t="str">
        <f>HYPERLINK("https://ceds.ed.gov/elementComment.aspx?elementName=Financial Revenue Account Code &amp;elementID=6440", "Click here to submit comment")</f>
        <v>Click here to submit comment</v>
      </c>
    </row>
    <row r="81" spans="1:14" ht="30">
      <c r="A81" s="3" t="s">
        <v>2785</v>
      </c>
      <c r="B81" s="3" t="s">
        <v>2786</v>
      </c>
      <c r="C81" s="3" t="s">
        <v>13</v>
      </c>
      <c r="D81" s="3" t="s">
        <v>2787</v>
      </c>
      <c r="E81" s="3"/>
      <c r="F81" s="3" t="s">
        <v>54</v>
      </c>
      <c r="G81" s="3" t="s">
        <v>73</v>
      </c>
      <c r="H81" s="3"/>
      <c r="I81" s="3"/>
      <c r="J81" s="3" t="s">
        <v>2788</v>
      </c>
      <c r="K81" s="3"/>
      <c r="L81" s="3" t="s">
        <v>2789</v>
      </c>
      <c r="M81" s="3" t="str">
        <f>HYPERLINK("https://ceds.ed.gov/cedselementdetails.aspx?termid=6495")</f>
        <v>https://ceds.ed.gov/cedselementdetails.aspx?termid=6495</v>
      </c>
      <c r="N81" s="3" t="str">
        <f>HYPERLINK("https://ceds.ed.gov/elementComment.aspx?elementName=Foster Care End Date &amp;elementID=6495", "Click here to submit comment")</f>
        <v>Click here to submit comment</v>
      </c>
    </row>
    <row r="82" spans="1:14" ht="30">
      <c r="A82" s="3" t="s">
        <v>2790</v>
      </c>
      <c r="B82" s="3" t="s">
        <v>2791</v>
      </c>
      <c r="C82" s="3" t="s">
        <v>13</v>
      </c>
      <c r="D82" s="3" t="s">
        <v>2787</v>
      </c>
      <c r="E82" s="3"/>
      <c r="F82" s="3" t="s">
        <v>54</v>
      </c>
      <c r="G82" s="3" t="s">
        <v>73</v>
      </c>
      <c r="H82" s="3"/>
      <c r="I82" s="3"/>
      <c r="J82" s="3" t="s">
        <v>2792</v>
      </c>
      <c r="K82" s="3"/>
      <c r="L82" s="3" t="s">
        <v>2793</v>
      </c>
      <c r="M82" s="3" t="str">
        <f>HYPERLINK("https://ceds.ed.gov/cedselementdetails.aspx?termid=6496")</f>
        <v>https://ceds.ed.gov/cedselementdetails.aspx?termid=6496</v>
      </c>
      <c r="N82" s="3" t="str">
        <f>HYPERLINK("https://ceds.ed.gov/elementComment.aspx?elementName=Foster Care Start Date &amp;elementID=6496", "Click here to submit comment")</f>
        <v>Click here to submit comment</v>
      </c>
    </row>
    <row r="83" spans="1:14" ht="90">
      <c r="A83" s="3" t="s">
        <v>2802</v>
      </c>
      <c r="B83" s="3" t="s">
        <v>2803</v>
      </c>
      <c r="C83" s="3" t="s">
        <v>6177</v>
      </c>
      <c r="D83" s="3" t="s">
        <v>2804</v>
      </c>
      <c r="E83" s="3"/>
      <c r="F83" s="3" t="s">
        <v>54</v>
      </c>
      <c r="G83" s="3"/>
      <c r="H83" s="3"/>
      <c r="I83" s="3"/>
      <c r="J83" s="3" t="s">
        <v>2805</v>
      </c>
      <c r="K83" s="3"/>
      <c r="L83" s="3" t="s">
        <v>2806</v>
      </c>
      <c r="M83" s="3" t="str">
        <f>HYPERLINK("https://ceds.ed.gov/cedselementdetails.aspx?termid=6323")</f>
        <v>https://ceds.ed.gov/cedselementdetails.aspx?termid=6323</v>
      </c>
      <c r="N83" s="3" t="str">
        <f>HYPERLINK("https://ceds.ed.gov/elementComment.aspx?elementName=Frequency of Service &amp;elementID=6323", "Click here to submit comment")</f>
        <v>Click here to submit comment</v>
      </c>
    </row>
    <row r="84" spans="1:14" ht="105">
      <c r="A84" s="3" t="s">
        <v>2903</v>
      </c>
      <c r="B84" s="3" t="s">
        <v>2904</v>
      </c>
      <c r="C84" s="4" t="s">
        <v>6524</v>
      </c>
      <c r="D84" s="3" t="s">
        <v>2267</v>
      </c>
      <c r="E84" s="3"/>
      <c r="F84" s="3" t="s">
        <v>54</v>
      </c>
      <c r="G84" s="3"/>
      <c r="H84" s="3"/>
      <c r="I84" s="3"/>
      <c r="J84" s="3" t="s">
        <v>2905</v>
      </c>
      <c r="K84" s="3"/>
      <c r="L84" s="3" t="s">
        <v>2906</v>
      </c>
      <c r="M84" s="3" t="str">
        <f>HYPERLINK("https://ceds.ed.gov/cedselementdetails.aspx?termid=6324")</f>
        <v>https://ceds.ed.gov/cedselementdetails.aspx?termid=6324</v>
      </c>
      <c r="N84" s="3" t="str">
        <f>HYPERLINK("https://ceds.ed.gov/elementComment.aspx?elementName=Graduate or Doctoral Exam Results Status &amp;elementID=6324", "Click here to submit comment")</f>
        <v>Click here to submit comment</v>
      </c>
    </row>
    <row r="85" spans="1:14" ht="45">
      <c r="A85" s="3" t="s">
        <v>2924</v>
      </c>
      <c r="B85" s="3" t="s">
        <v>2925</v>
      </c>
      <c r="C85" s="3" t="s">
        <v>13</v>
      </c>
      <c r="D85" s="3" t="s">
        <v>2926</v>
      </c>
      <c r="E85" s="3"/>
      <c r="F85" s="3" t="s">
        <v>54</v>
      </c>
      <c r="G85" s="3" t="s">
        <v>93</v>
      </c>
      <c r="H85" s="3"/>
      <c r="I85" s="3"/>
      <c r="J85" s="3" t="s">
        <v>2927</v>
      </c>
      <c r="K85" s="3"/>
      <c r="L85" s="3" t="s">
        <v>2928</v>
      </c>
      <c r="M85" s="3" t="str">
        <f>HYPERLINK("https://ceds.ed.gov/cedselementdetails.aspx?termid=6325")</f>
        <v>https://ceds.ed.gov/cedselementdetails.aspx?termid=6325</v>
      </c>
      <c r="N85" s="3" t="str">
        <f>HYPERLINK("https://ceds.ed.gov/elementComment.aspx?elementName=Health Screening Equipment Used &amp;elementID=6325", "Click here to submit comment")</f>
        <v>Click here to submit comment</v>
      </c>
    </row>
    <row r="86" spans="1:14" ht="45">
      <c r="A86" s="3" t="s">
        <v>2929</v>
      </c>
      <c r="B86" s="3" t="s">
        <v>2930</v>
      </c>
      <c r="C86" s="3" t="s">
        <v>13</v>
      </c>
      <c r="D86" s="3" t="s">
        <v>2926</v>
      </c>
      <c r="E86" s="3"/>
      <c r="F86" s="3" t="s">
        <v>54</v>
      </c>
      <c r="G86" s="3" t="s">
        <v>319</v>
      </c>
      <c r="H86" s="3"/>
      <c r="I86" s="3"/>
      <c r="J86" s="3" t="s">
        <v>2931</v>
      </c>
      <c r="K86" s="3"/>
      <c r="L86" s="3" t="s">
        <v>2932</v>
      </c>
      <c r="M86" s="3" t="str">
        <f>HYPERLINK("https://ceds.ed.gov/cedselementdetails.aspx?termid=6326")</f>
        <v>https://ceds.ed.gov/cedselementdetails.aspx?termid=6326</v>
      </c>
      <c r="N86" s="3" t="str">
        <f>HYPERLINK("https://ceds.ed.gov/elementComment.aspx?elementName=Health Screening Follow-up Recommendation &amp;elementID=6326", "Click here to submit comment")</f>
        <v>Click here to submit comment</v>
      </c>
    </row>
    <row r="87" spans="1:14" ht="60">
      <c r="A87" s="3" t="s">
        <v>3035</v>
      </c>
      <c r="B87" s="3" t="s">
        <v>3036</v>
      </c>
      <c r="C87" s="4" t="s">
        <v>6537</v>
      </c>
      <c r="D87" s="3" t="s">
        <v>3037</v>
      </c>
      <c r="E87" s="3"/>
      <c r="F87" s="3" t="s">
        <v>54</v>
      </c>
      <c r="G87" s="3"/>
      <c r="H87" s="3"/>
      <c r="I87" s="3"/>
      <c r="J87" s="3" t="s">
        <v>3038</v>
      </c>
      <c r="K87" s="3"/>
      <c r="L87" s="3" t="s">
        <v>3039</v>
      </c>
      <c r="M87" s="3" t="str">
        <f>HYPERLINK("https://ceds.ed.gov/cedselementdetails.aspx?termid=6473")</f>
        <v>https://ceds.ed.gov/cedselementdetails.aspx?termid=6473</v>
      </c>
      <c r="N87" s="3" t="str">
        <f>HYPERLINK("https://ceds.ed.gov/elementComment.aspx?elementName=IDEA IEP Status &amp;elementID=6473", "Click here to submit comment")</f>
        <v>Click here to submit comment</v>
      </c>
    </row>
    <row r="88" spans="1:14" ht="45">
      <c r="A88" s="3" t="s">
        <v>3052</v>
      </c>
      <c r="B88" s="3" t="s">
        <v>3053</v>
      </c>
      <c r="C88" s="3" t="s">
        <v>5963</v>
      </c>
      <c r="D88" s="3" t="s">
        <v>6201</v>
      </c>
      <c r="E88" s="3"/>
      <c r="F88" s="3" t="s">
        <v>54</v>
      </c>
      <c r="G88" s="3"/>
      <c r="H88" s="3"/>
      <c r="I88" s="3"/>
      <c r="J88" s="3" t="s">
        <v>3054</v>
      </c>
      <c r="K88" s="3"/>
      <c r="L88" s="3" t="s">
        <v>3055</v>
      </c>
      <c r="M88" s="3" t="str">
        <f>HYPERLINK("https://ceds.ed.gov/cedselementdetails.aspx?termid=6327")</f>
        <v>https://ceds.ed.gov/cedselementdetails.aspx?termid=6327</v>
      </c>
      <c r="N88" s="3" t="str">
        <f>HYPERLINK("https://ceds.ed.gov/elementComment.aspx?elementName=IDEA Part B 619 Potential Eligibility Indicator &amp;elementID=6327", "Click here to submit comment")</f>
        <v>Click here to submit comment</v>
      </c>
    </row>
    <row r="89" spans="1:14" ht="75">
      <c r="A89" s="3" t="s">
        <v>3056</v>
      </c>
      <c r="B89" s="3" t="s">
        <v>3057</v>
      </c>
      <c r="C89" s="3" t="s">
        <v>13</v>
      </c>
      <c r="D89" s="3" t="s">
        <v>3037</v>
      </c>
      <c r="E89" s="3"/>
      <c r="F89" s="3" t="s">
        <v>54</v>
      </c>
      <c r="G89" s="3" t="s">
        <v>73</v>
      </c>
      <c r="H89" s="3"/>
      <c r="I89" s="3"/>
      <c r="J89" s="3" t="s">
        <v>3058</v>
      </c>
      <c r="K89" s="3"/>
      <c r="L89" s="3" t="s">
        <v>3059</v>
      </c>
      <c r="M89" s="3" t="str">
        <f>HYPERLINK("https://ceds.ed.gov/cedselementdetails.aspx?termid=6472")</f>
        <v>https://ceds.ed.gov/cedselementdetails.aspx?termid=6472</v>
      </c>
      <c r="N89" s="3" t="str">
        <f>HYPERLINK("https://ceds.ed.gov/elementComment.aspx?elementName=IDEA Part C to B Sharing Notification Date &amp;elementID=6472", "Click here to submit comment")</f>
        <v>Click here to submit comment</v>
      </c>
    </row>
    <row r="90" spans="1:14" ht="30">
      <c r="A90" s="3" t="s">
        <v>3060</v>
      </c>
      <c r="B90" s="3" t="s">
        <v>3061</v>
      </c>
      <c r="C90" s="3" t="s">
        <v>13</v>
      </c>
      <c r="D90" s="3" t="s">
        <v>3037</v>
      </c>
      <c r="E90" s="3"/>
      <c r="F90" s="3" t="s">
        <v>54</v>
      </c>
      <c r="G90" s="3" t="s">
        <v>73</v>
      </c>
      <c r="H90" s="3"/>
      <c r="I90" s="3"/>
      <c r="J90" s="3" t="s">
        <v>3062</v>
      </c>
      <c r="K90" s="3"/>
      <c r="L90" s="3" t="s">
        <v>3063</v>
      </c>
      <c r="M90" s="3" t="str">
        <f>HYPERLINK("https://ceds.ed.gov/cedselementdetails.aspx?termid=6333")</f>
        <v>https://ceds.ed.gov/cedselementdetails.aspx?termid=6333</v>
      </c>
      <c r="N90" s="3" t="str">
        <f>HYPERLINK("https://ceds.ed.gov/elementComment.aspx?elementName=IDEA Part C to Part B Date of Transition Conference &amp;elementID=6333", "Click here to submit comment")</f>
        <v>Click here to submit comment</v>
      </c>
    </row>
    <row r="91" spans="1:14" ht="45">
      <c r="A91" s="3" t="s">
        <v>3064</v>
      </c>
      <c r="B91" s="3" t="s">
        <v>3065</v>
      </c>
      <c r="C91" s="3" t="s">
        <v>13</v>
      </c>
      <c r="D91" s="3" t="s">
        <v>3037</v>
      </c>
      <c r="E91" s="3"/>
      <c r="F91" s="3" t="s">
        <v>54</v>
      </c>
      <c r="G91" s="3" t="s">
        <v>73</v>
      </c>
      <c r="H91" s="3"/>
      <c r="I91" s="3"/>
      <c r="J91" s="3" t="s">
        <v>3066</v>
      </c>
      <c r="K91" s="3"/>
      <c r="L91" s="3" t="s">
        <v>3067</v>
      </c>
      <c r="M91" s="3" t="str">
        <f>HYPERLINK("https://ceds.ed.gov/cedselementdetails.aspx?termid=6334")</f>
        <v>https://ceds.ed.gov/cedselementdetails.aspx?termid=6334</v>
      </c>
      <c r="N91" s="3" t="str">
        <f>HYPERLINK("https://ceds.ed.gov/elementComment.aspx?elementName=IDEA Part C to Part B Date of Transition Conference Decline &amp;elementID=6334", "Click here to submit comment")</f>
        <v>Click here to submit comment</v>
      </c>
    </row>
    <row r="92" spans="1:14" ht="45">
      <c r="A92" s="3" t="s">
        <v>3068</v>
      </c>
      <c r="B92" s="3" t="s">
        <v>3069</v>
      </c>
      <c r="C92" s="3" t="s">
        <v>13</v>
      </c>
      <c r="D92" s="3" t="s">
        <v>3037</v>
      </c>
      <c r="E92" s="3"/>
      <c r="F92" s="3" t="s">
        <v>54</v>
      </c>
      <c r="G92" s="3" t="s">
        <v>73</v>
      </c>
      <c r="H92" s="3"/>
      <c r="I92" s="3"/>
      <c r="J92" s="3" t="s">
        <v>3070</v>
      </c>
      <c r="K92" s="3"/>
      <c r="L92" s="3" t="s">
        <v>3071</v>
      </c>
      <c r="M92" s="3" t="str">
        <f>HYPERLINK("https://ceds.ed.gov/cedselementdetails.aspx?termid=6335")</f>
        <v>https://ceds.ed.gov/cedselementdetails.aspx?termid=6335</v>
      </c>
      <c r="N92" s="3" t="str">
        <f>HYPERLINK("https://ceds.ed.gov/elementComment.aspx?elementName=IDEA Part C to Part B Date of Transition Plan Steps or Services &amp;elementID=6335", "Click here to submit comment")</f>
        <v>Click here to submit comment</v>
      </c>
    </row>
    <row r="93" spans="1:14" ht="105">
      <c r="A93" s="3" t="s">
        <v>3072</v>
      </c>
      <c r="B93" s="3" t="s">
        <v>3073</v>
      </c>
      <c r="C93" s="3" t="s">
        <v>13</v>
      </c>
      <c r="D93" s="3" t="s">
        <v>3037</v>
      </c>
      <c r="E93" s="3"/>
      <c r="F93" s="3" t="s">
        <v>54</v>
      </c>
      <c r="G93" s="3" t="s">
        <v>73</v>
      </c>
      <c r="H93" s="3"/>
      <c r="I93" s="3"/>
      <c r="J93" s="3" t="s">
        <v>3074</v>
      </c>
      <c r="K93" s="3"/>
      <c r="L93" s="3" t="s">
        <v>3075</v>
      </c>
      <c r="M93" s="3" t="str">
        <f>HYPERLINK("https://ceds.ed.gov/cedselementdetails.aspx?termid=6331")</f>
        <v>https://ceds.ed.gov/cedselementdetails.aspx?termid=6331</v>
      </c>
      <c r="N93" s="3" t="str">
        <f>HYPERLINK("https://ceds.ed.gov/elementComment.aspx?elementName=IDEA Part C to Part B Parent Notification Opt Out Date &amp;elementID=6331", "Click here to submit comment")</f>
        <v>Click here to submit comment</v>
      </c>
    </row>
    <row r="94" spans="1:14" ht="105">
      <c r="A94" s="3" t="s">
        <v>3076</v>
      </c>
      <c r="B94" s="3" t="s">
        <v>3077</v>
      </c>
      <c r="C94" s="3" t="s">
        <v>5963</v>
      </c>
      <c r="D94" s="3" t="s">
        <v>3037</v>
      </c>
      <c r="E94" s="3"/>
      <c r="F94" s="3" t="s">
        <v>54</v>
      </c>
      <c r="G94" s="3"/>
      <c r="H94" s="3"/>
      <c r="I94" s="3"/>
      <c r="J94" s="3" t="s">
        <v>3078</v>
      </c>
      <c r="K94" s="3"/>
      <c r="L94" s="3" t="s">
        <v>3079</v>
      </c>
      <c r="M94" s="3" t="str">
        <f>HYPERLINK("https://ceds.ed.gov/cedselementdetails.aspx?termid=6330")</f>
        <v>https://ceds.ed.gov/cedselementdetails.aspx?termid=6330</v>
      </c>
      <c r="N94" s="3" t="str">
        <f>HYPERLINK("https://ceds.ed.gov/elementComment.aspx?elementName=IDEA Part C to Part B Parent Notification Opt Out Indicator &amp;elementID=6330", "Click here to submit comment")</f>
        <v>Click here to submit comment</v>
      </c>
    </row>
    <row r="95" spans="1:14" ht="60">
      <c r="A95" s="3" t="s">
        <v>3130</v>
      </c>
      <c r="B95" s="3" t="s">
        <v>3131</v>
      </c>
      <c r="C95" s="3" t="s">
        <v>6205</v>
      </c>
      <c r="D95" s="3" t="s">
        <v>2760</v>
      </c>
      <c r="E95" s="3"/>
      <c r="F95" s="3" t="s">
        <v>54</v>
      </c>
      <c r="G95" s="3"/>
      <c r="H95" s="3"/>
      <c r="I95" s="3"/>
      <c r="J95" s="3" t="s">
        <v>3132</v>
      </c>
      <c r="K95" s="3"/>
      <c r="L95" s="3" t="s">
        <v>3133</v>
      </c>
      <c r="M95" s="3" t="str">
        <f>HYPERLINK("https://ceds.ed.gov/cedselementdetails.aspx?termid=6337")</f>
        <v>https://ceds.ed.gov/cedselementdetails.aspx?termid=6337</v>
      </c>
      <c r="N95" s="3" t="str">
        <f>HYPERLINK("https://ceds.ed.gov/elementComment.aspx?elementName=Incident Multiple Offense Type &amp;elementID=6337", "Click here to submit comment")</f>
        <v>Click here to submit comment</v>
      </c>
    </row>
    <row r="96" spans="1:14" ht="60">
      <c r="A96" s="3" t="s">
        <v>3134</v>
      </c>
      <c r="B96" s="3" t="s">
        <v>3135</v>
      </c>
      <c r="C96" s="3" t="s">
        <v>13</v>
      </c>
      <c r="D96" s="3" t="s">
        <v>2760</v>
      </c>
      <c r="E96" s="3"/>
      <c r="F96" s="3" t="s">
        <v>54</v>
      </c>
      <c r="G96" s="3" t="s">
        <v>100</v>
      </c>
      <c r="H96" s="3"/>
      <c r="I96" s="3"/>
      <c r="J96" s="3" t="s">
        <v>3136</v>
      </c>
      <c r="K96" s="3"/>
      <c r="L96" s="3" t="s">
        <v>3137</v>
      </c>
      <c r="M96" s="3" t="str">
        <f>HYPERLINK("https://ceds.ed.gov/cedselementdetails.aspx?termid=6338")</f>
        <v>https://ceds.ed.gov/cedselementdetails.aspx?termid=6338</v>
      </c>
      <c r="N96" s="3" t="str">
        <f>HYPERLINK("https://ceds.ed.gov/elementComment.aspx?elementName=Incident Perpetrator Identifier &amp;elementID=6338", "Click here to submit comment")</f>
        <v>Click here to submit comment</v>
      </c>
    </row>
    <row r="97" spans="1:14" ht="105">
      <c r="A97" s="3" t="s">
        <v>3138</v>
      </c>
      <c r="B97" s="3" t="s">
        <v>3139</v>
      </c>
      <c r="C97" s="4" t="s">
        <v>6542</v>
      </c>
      <c r="D97" s="3" t="s">
        <v>2760</v>
      </c>
      <c r="E97" s="3"/>
      <c r="F97" s="3" t="s">
        <v>54</v>
      </c>
      <c r="G97" s="3"/>
      <c r="H97" s="3"/>
      <c r="I97" s="3"/>
      <c r="J97" s="3" t="s">
        <v>3140</v>
      </c>
      <c r="K97" s="3"/>
      <c r="L97" s="3" t="s">
        <v>3141</v>
      </c>
      <c r="M97" s="3" t="str">
        <f>HYPERLINK("https://ceds.ed.gov/cedselementdetails.aspx?termid=6339")</f>
        <v>https://ceds.ed.gov/cedselementdetails.aspx?termid=6339</v>
      </c>
      <c r="N97" s="3" t="str">
        <f>HYPERLINK("https://ceds.ed.gov/elementComment.aspx?elementName=Incident Perpetrator Injury Type &amp;elementID=6339", "Click here to submit comment")</f>
        <v>Click here to submit comment</v>
      </c>
    </row>
    <row r="98" spans="1:14" ht="409.5">
      <c r="A98" s="3" t="s">
        <v>3142</v>
      </c>
      <c r="B98" s="3" t="s">
        <v>3143</v>
      </c>
      <c r="C98" s="4" t="s">
        <v>6544</v>
      </c>
      <c r="D98" s="3" t="s">
        <v>2760</v>
      </c>
      <c r="E98" s="3"/>
      <c r="F98" s="3" t="s">
        <v>54</v>
      </c>
      <c r="G98" s="3"/>
      <c r="H98" s="3"/>
      <c r="I98" s="3"/>
      <c r="J98" s="3" t="s">
        <v>3144</v>
      </c>
      <c r="K98" s="3"/>
      <c r="L98" s="3" t="s">
        <v>3145</v>
      </c>
      <c r="M98" s="3" t="str">
        <f>HYPERLINK("https://ceds.ed.gov/cedselementdetails.aspx?termid=6340")</f>
        <v>https://ceds.ed.gov/cedselementdetails.aspx?termid=6340</v>
      </c>
      <c r="N98" s="3" t="str">
        <f>HYPERLINK("https://ceds.ed.gov/elementComment.aspx?elementName=Incident Perpetrator Type &amp;elementID=6340", "Click here to submit comment")</f>
        <v>Click here to submit comment</v>
      </c>
    </row>
    <row r="99" spans="1:14" ht="75">
      <c r="A99" s="3" t="s">
        <v>3146</v>
      </c>
      <c r="B99" s="3" t="s">
        <v>3147</v>
      </c>
      <c r="C99" s="3" t="s">
        <v>6206</v>
      </c>
      <c r="D99" s="3" t="s">
        <v>2760</v>
      </c>
      <c r="E99" s="3"/>
      <c r="F99" s="3" t="s">
        <v>54</v>
      </c>
      <c r="G99" s="3"/>
      <c r="H99" s="3"/>
      <c r="I99" s="3"/>
      <c r="J99" s="3" t="s">
        <v>3148</v>
      </c>
      <c r="K99" s="3"/>
      <c r="L99" s="3" t="s">
        <v>3149</v>
      </c>
      <c r="M99" s="3" t="str">
        <f>HYPERLINK("https://ceds.ed.gov/cedselementdetails.aspx?termid=6341")</f>
        <v>https://ceds.ed.gov/cedselementdetails.aspx?termid=6341</v>
      </c>
      <c r="N99" s="3" t="str">
        <f>HYPERLINK("https://ceds.ed.gov/elementComment.aspx?elementName=Incident Person Role Type &amp;elementID=6341", "Click here to submit comment")</f>
        <v>Click here to submit comment</v>
      </c>
    </row>
    <row r="100" spans="1:14" ht="90">
      <c r="A100" s="3" t="s">
        <v>3150</v>
      </c>
      <c r="B100" s="3" t="s">
        <v>3151</v>
      </c>
      <c r="C100" s="3" t="s">
        <v>13</v>
      </c>
      <c r="D100" s="3" t="s">
        <v>2760</v>
      </c>
      <c r="E100" s="3"/>
      <c r="F100" s="3" t="s">
        <v>54</v>
      </c>
      <c r="G100" s="3" t="s">
        <v>745</v>
      </c>
      <c r="H100" s="3"/>
      <c r="I100" s="3"/>
      <c r="J100" s="3" t="s">
        <v>3152</v>
      </c>
      <c r="K100" s="3"/>
      <c r="L100" s="3" t="s">
        <v>3153</v>
      </c>
      <c r="M100" s="3" t="str">
        <f>HYPERLINK("https://ceds.ed.gov/cedselementdetails.aspx?termid=6342")</f>
        <v>https://ceds.ed.gov/cedselementdetails.aspx?termid=6342</v>
      </c>
      <c r="N100" s="3" t="str">
        <f>HYPERLINK("https://ceds.ed.gov/elementComment.aspx?elementName=Incident Regulation Violated Description &amp;elementID=6342", "Click here to submit comment")</f>
        <v>Click here to submit comment</v>
      </c>
    </row>
    <row r="101" spans="1:14" ht="90">
      <c r="A101" s="3" t="s">
        <v>3154</v>
      </c>
      <c r="B101" s="3" t="s">
        <v>3155</v>
      </c>
      <c r="C101" s="3" t="s">
        <v>5963</v>
      </c>
      <c r="D101" s="3" t="s">
        <v>2760</v>
      </c>
      <c r="E101" s="3"/>
      <c r="F101" s="3" t="s">
        <v>54</v>
      </c>
      <c r="G101" s="3"/>
      <c r="H101" s="3"/>
      <c r="I101" s="3" t="s">
        <v>3156</v>
      </c>
      <c r="J101" s="3" t="s">
        <v>3157</v>
      </c>
      <c r="K101" s="3"/>
      <c r="L101" s="3" t="s">
        <v>3158</v>
      </c>
      <c r="M101" s="3" t="str">
        <f>HYPERLINK("https://ceds.ed.gov/cedselementdetails.aspx?termid=6343")</f>
        <v>https://ceds.ed.gov/cedselementdetails.aspx?termid=6343</v>
      </c>
      <c r="N101" s="3" t="str">
        <f>HYPERLINK("https://ceds.ed.gov/elementComment.aspx?elementName=Incident Related to Disability Manifestation &amp;elementID=6343", "Click here to submit comment")</f>
        <v>Click here to submit comment</v>
      </c>
    </row>
    <row r="102" spans="1:14" ht="75">
      <c r="A102" s="3" t="s">
        <v>3159</v>
      </c>
      <c r="B102" s="3" t="s">
        <v>3160</v>
      </c>
      <c r="C102" s="3" t="s">
        <v>5963</v>
      </c>
      <c r="D102" s="3" t="s">
        <v>2760</v>
      </c>
      <c r="E102" s="3"/>
      <c r="F102" s="3" t="s">
        <v>54</v>
      </c>
      <c r="G102" s="3"/>
      <c r="H102" s="3"/>
      <c r="I102" s="3"/>
      <c r="J102" s="3" t="s">
        <v>3161</v>
      </c>
      <c r="K102" s="3"/>
      <c r="L102" s="3" t="s">
        <v>3162</v>
      </c>
      <c r="M102" s="3" t="str">
        <f>HYPERLINK("https://ceds.ed.gov/cedselementdetails.aspx?termid=6345")</f>
        <v>https://ceds.ed.gov/cedselementdetails.aspx?termid=6345</v>
      </c>
      <c r="N102" s="3" t="str">
        <f>HYPERLINK("https://ceds.ed.gov/elementComment.aspx?elementName=Incident Reported to Law Enforcement Indicator &amp;elementID=6345", "Click here to submit comment")</f>
        <v>Click here to submit comment</v>
      </c>
    </row>
    <row r="103" spans="1:14" ht="60">
      <c r="A103" s="3" t="s">
        <v>3175</v>
      </c>
      <c r="B103" s="3" t="s">
        <v>3176</v>
      </c>
      <c r="C103" s="3" t="s">
        <v>13</v>
      </c>
      <c r="D103" s="3" t="s">
        <v>2760</v>
      </c>
      <c r="E103" s="3"/>
      <c r="F103" s="3" t="s">
        <v>54</v>
      </c>
      <c r="G103" s="3" t="s">
        <v>100</v>
      </c>
      <c r="H103" s="3"/>
      <c r="I103" s="3"/>
      <c r="J103" s="3" t="s">
        <v>3177</v>
      </c>
      <c r="K103" s="3"/>
      <c r="L103" s="3" t="s">
        <v>3178</v>
      </c>
      <c r="M103" s="3" t="str">
        <f>HYPERLINK("https://ceds.ed.gov/cedselementdetails.aspx?termid=6346")</f>
        <v>https://ceds.ed.gov/cedselementdetails.aspx?termid=6346</v>
      </c>
      <c r="N103" s="3" t="str">
        <f>HYPERLINK("https://ceds.ed.gov/elementComment.aspx?elementName=Incident Victim Identifier &amp;elementID=6346", "Click here to submit comment")</f>
        <v>Click here to submit comment</v>
      </c>
    </row>
    <row r="104" spans="1:14" ht="409.5">
      <c r="A104" s="3" t="s">
        <v>3179</v>
      </c>
      <c r="B104" s="3" t="s">
        <v>3180</v>
      </c>
      <c r="C104" s="4" t="s">
        <v>6544</v>
      </c>
      <c r="D104" s="3" t="s">
        <v>2760</v>
      </c>
      <c r="E104" s="3"/>
      <c r="F104" s="3" t="s">
        <v>54</v>
      </c>
      <c r="G104" s="3"/>
      <c r="H104" s="3"/>
      <c r="I104" s="3"/>
      <c r="J104" s="3" t="s">
        <v>3181</v>
      </c>
      <c r="K104" s="3"/>
      <c r="L104" s="3" t="s">
        <v>3182</v>
      </c>
      <c r="M104" s="3" t="str">
        <f>HYPERLINK("https://ceds.ed.gov/cedselementdetails.aspx?termid=6347")</f>
        <v>https://ceds.ed.gov/cedselementdetails.aspx?termid=6347</v>
      </c>
      <c r="N104" s="3" t="str">
        <f>HYPERLINK("https://ceds.ed.gov/elementComment.aspx?elementName=Incident Victim Type &amp;elementID=6347", "Click here to submit comment")</f>
        <v>Click here to submit comment</v>
      </c>
    </row>
    <row r="105" spans="1:14" ht="120">
      <c r="A105" s="3" t="s">
        <v>3183</v>
      </c>
      <c r="B105" s="3" t="s">
        <v>3184</v>
      </c>
      <c r="C105" s="3" t="s">
        <v>13</v>
      </c>
      <c r="D105" s="3" t="s">
        <v>2760</v>
      </c>
      <c r="E105" s="3"/>
      <c r="F105" s="3" t="s">
        <v>54</v>
      </c>
      <c r="G105" s="3" t="s">
        <v>100</v>
      </c>
      <c r="H105" s="3"/>
      <c r="I105" s="3"/>
      <c r="J105" s="3" t="s">
        <v>3185</v>
      </c>
      <c r="K105" s="3"/>
      <c r="L105" s="3" t="s">
        <v>3186</v>
      </c>
      <c r="M105" s="3" t="str">
        <f>HYPERLINK("https://ceds.ed.gov/cedselementdetails.aspx?termid=6348")</f>
        <v>https://ceds.ed.gov/cedselementdetails.aspx?termid=6348</v>
      </c>
      <c r="N105" s="3" t="str">
        <f>HYPERLINK("https://ceds.ed.gov/elementComment.aspx?elementName=Incident Witness Identifier &amp;elementID=6348", "Click here to submit comment")</f>
        <v>Click here to submit comment</v>
      </c>
    </row>
    <row r="106" spans="1:14" ht="409.5">
      <c r="A106" s="3" t="s">
        <v>3187</v>
      </c>
      <c r="B106" s="3" t="s">
        <v>3188</v>
      </c>
      <c r="C106" s="4" t="s">
        <v>6544</v>
      </c>
      <c r="D106" s="3" t="s">
        <v>2760</v>
      </c>
      <c r="E106" s="3"/>
      <c r="F106" s="3" t="s">
        <v>54</v>
      </c>
      <c r="G106" s="3"/>
      <c r="H106" s="3"/>
      <c r="I106" s="3"/>
      <c r="J106" s="3" t="s">
        <v>3189</v>
      </c>
      <c r="K106" s="3"/>
      <c r="L106" s="3" t="s">
        <v>3190</v>
      </c>
      <c r="M106" s="3" t="str">
        <f>HYPERLINK("https://ceds.ed.gov/cedselementdetails.aspx?termid=6349")</f>
        <v>https://ceds.ed.gov/cedselementdetails.aspx?termid=6349</v>
      </c>
      <c r="N106" s="3" t="str">
        <f>HYPERLINK("https://ceds.ed.gov/elementComment.aspx?elementName=Incident Witness Type &amp;elementID=6349", "Click here to submit comment")</f>
        <v>Click here to submit comment</v>
      </c>
    </row>
    <row r="107" spans="1:14" ht="30">
      <c r="A107" s="3" t="s">
        <v>3215</v>
      </c>
      <c r="B107" s="3" t="s">
        <v>3216</v>
      </c>
      <c r="C107" s="3" t="s">
        <v>13</v>
      </c>
      <c r="D107" s="3" t="s">
        <v>2804</v>
      </c>
      <c r="E107" s="3"/>
      <c r="F107" s="3" t="s">
        <v>54</v>
      </c>
      <c r="G107" s="3" t="s">
        <v>1461</v>
      </c>
      <c r="H107" s="3"/>
      <c r="I107" s="3"/>
      <c r="J107" s="3" t="s">
        <v>3217</v>
      </c>
      <c r="K107" s="3"/>
      <c r="L107" s="3" t="s">
        <v>3218</v>
      </c>
      <c r="M107" s="3" t="str">
        <f>HYPERLINK("https://ceds.ed.gov/cedselementdetails.aspx?termid=6493")</f>
        <v>https://ceds.ed.gov/cedselementdetails.aspx?termid=6493</v>
      </c>
      <c r="N107" s="3" t="str">
        <f>HYPERLINK("https://ceds.ed.gov/elementComment.aspx?elementName=Individualized Program Planned Service Duration &amp;elementID=6493", "Click here to submit comment")</f>
        <v>Click here to submit comment</v>
      </c>
    </row>
    <row r="108" spans="1:14" ht="150">
      <c r="A108" s="3" t="s">
        <v>3219</v>
      </c>
      <c r="B108" s="3" t="s">
        <v>3220</v>
      </c>
      <c r="C108" s="3" t="s">
        <v>6208</v>
      </c>
      <c r="D108" s="3" t="s">
        <v>2804</v>
      </c>
      <c r="E108" s="3"/>
      <c r="F108" s="3" t="s">
        <v>54</v>
      </c>
      <c r="G108" s="3"/>
      <c r="H108" s="3"/>
      <c r="I108" s="3"/>
      <c r="J108" s="3" t="s">
        <v>3221</v>
      </c>
      <c r="K108" s="3"/>
      <c r="L108" s="3" t="s">
        <v>3222</v>
      </c>
      <c r="M108" s="3" t="str">
        <f>HYPERLINK("https://ceds.ed.gov/cedselementdetails.aspx?termid=6492")</f>
        <v>https://ceds.ed.gov/cedselementdetails.aspx?termid=6492</v>
      </c>
      <c r="N108" s="3" t="str">
        <f>HYPERLINK("https://ceds.ed.gov/elementComment.aspx?elementName=Individualized Program Planned Service Frequency &amp;elementID=6492", "Click here to submit comment")</f>
        <v>Click here to submit comment</v>
      </c>
    </row>
    <row r="109" spans="1:14" ht="30">
      <c r="A109" s="3" t="s">
        <v>3223</v>
      </c>
      <c r="B109" s="3" t="s">
        <v>3224</v>
      </c>
      <c r="C109" s="3" t="s">
        <v>13</v>
      </c>
      <c r="D109" s="3" t="s">
        <v>2804</v>
      </c>
      <c r="E109" s="3"/>
      <c r="F109" s="3" t="s">
        <v>54</v>
      </c>
      <c r="G109" s="3" t="s">
        <v>73</v>
      </c>
      <c r="H109" s="3"/>
      <c r="I109" s="3" t="s">
        <v>3225</v>
      </c>
      <c r="J109" s="3" t="s">
        <v>3226</v>
      </c>
      <c r="K109" s="3"/>
      <c r="L109" s="3" t="s">
        <v>3227</v>
      </c>
      <c r="M109" s="3" t="str">
        <f>HYPERLINK("https://ceds.ed.gov/cedselementdetails.aspx?termid=6350")</f>
        <v>https://ceds.ed.gov/cedselementdetails.aspx?termid=6350</v>
      </c>
      <c r="N109" s="3" t="str">
        <f>HYPERLINK("https://ceds.ed.gov/elementComment.aspx?elementName=Individualized Program Planned Service Start Date &amp;elementID=6350", "Click here to submit comment")</f>
        <v>Click here to submit comment</v>
      </c>
    </row>
    <row r="110" spans="1:14" ht="300">
      <c r="A110" s="3" t="s">
        <v>3228</v>
      </c>
      <c r="B110" s="3" t="s">
        <v>2313</v>
      </c>
      <c r="C110" s="4" t="s">
        <v>6473</v>
      </c>
      <c r="D110" s="3" t="s">
        <v>2804</v>
      </c>
      <c r="E110" s="3"/>
      <c r="F110" s="3" t="s">
        <v>54</v>
      </c>
      <c r="G110" s="3"/>
      <c r="H110" s="3"/>
      <c r="I110" s="3"/>
      <c r="J110" s="3" t="s">
        <v>3229</v>
      </c>
      <c r="K110" s="3"/>
      <c r="L110" s="3" t="s">
        <v>3230</v>
      </c>
      <c r="M110" s="3" t="str">
        <f>HYPERLINK("https://ceds.ed.gov/cedselementdetails.aspx?termid=6352")</f>
        <v>https://ceds.ed.gov/cedselementdetails.aspx?termid=6352</v>
      </c>
      <c r="N110" s="3" t="str">
        <f>HYPERLINK("https://ceds.ed.gov/elementComment.aspx?elementName=Individualized Program Planned Service Type &amp;elementID=6352", "Click here to submit comment")</f>
        <v>Click here to submit comment</v>
      </c>
    </row>
    <row r="111" spans="1:14" ht="45">
      <c r="A111" s="3" t="s">
        <v>3384</v>
      </c>
      <c r="B111" s="3" t="s">
        <v>3385</v>
      </c>
      <c r="C111" s="3" t="s">
        <v>5963</v>
      </c>
      <c r="D111" s="3" t="s">
        <v>3012</v>
      </c>
      <c r="E111" s="3"/>
      <c r="F111" s="3" t="s">
        <v>54</v>
      </c>
      <c r="G111" s="3"/>
      <c r="H111" s="3"/>
      <c r="I111" s="3"/>
      <c r="J111" s="3" t="s">
        <v>3386</v>
      </c>
      <c r="K111" s="3"/>
      <c r="L111" s="3" t="s">
        <v>3387</v>
      </c>
      <c r="M111" s="3" t="str">
        <f>HYPERLINK("https://ceds.ed.gov/cedselementdetails.aspx?termid=6353")</f>
        <v>https://ceds.ed.gov/cedselementdetails.aspx?termid=6353</v>
      </c>
      <c r="N111" s="3" t="str">
        <f>HYPERLINK("https://ceds.ed.gov/elementComment.aspx?elementName=Itinerant Provider &amp;elementID=6353", "Click here to submit comment")</f>
        <v>Click here to submit comment</v>
      </c>
    </row>
    <row r="112" spans="1:14" ht="75">
      <c r="A112" s="3" t="s">
        <v>3392</v>
      </c>
      <c r="B112" s="3" t="s">
        <v>3393</v>
      </c>
      <c r="C112" s="4" t="s">
        <v>6560</v>
      </c>
      <c r="D112" s="3" t="s">
        <v>3394</v>
      </c>
      <c r="E112" s="3"/>
      <c r="F112" s="3" t="s">
        <v>54</v>
      </c>
      <c r="G112" s="3"/>
      <c r="H112" s="3"/>
      <c r="I112" s="3"/>
      <c r="J112" s="3" t="s">
        <v>3395</v>
      </c>
      <c r="K112" s="3"/>
      <c r="L112" s="3" t="s">
        <v>3396</v>
      </c>
      <c r="M112" s="3" t="str">
        <f>HYPERLINK("https://ceds.ed.gov/cedselementdetails.aspx?termid=6355")</f>
        <v>https://ceds.ed.gov/cedselementdetails.aspx?termid=6355</v>
      </c>
      <c r="N112" s="3" t="str">
        <f>HYPERLINK("https://ceds.ed.gov/elementComment.aspx?elementName=K12 End of Course Requirement &amp;elementID=6355", "Click here to submit comment")</f>
        <v>Click here to submit comment</v>
      </c>
    </row>
    <row r="113" spans="1:14" ht="45">
      <c r="A113" s="3" t="s">
        <v>3411</v>
      </c>
      <c r="B113" s="3" t="s">
        <v>3412</v>
      </c>
      <c r="C113" s="5" t="s">
        <v>939</v>
      </c>
      <c r="D113" s="3"/>
      <c r="E113" s="3"/>
      <c r="F113" s="3" t="s">
        <v>54</v>
      </c>
      <c r="G113" s="3"/>
      <c r="H113" s="3"/>
      <c r="I113" s="3"/>
      <c r="J113" s="3" t="s">
        <v>3413</v>
      </c>
      <c r="K113" s="3"/>
      <c r="L113" s="3" t="s">
        <v>3414</v>
      </c>
      <c r="M113" s="3" t="str">
        <f>HYPERLINK("https://ceds.ed.gov/cedselementdetails.aspx?termid=6357")</f>
        <v>https://ceds.ed.gov/cedselementdetails.aspx?termid=6357</v>
      </c>
      <c r="N113" s="3" t="str">
        <f>HYPERLINK("https://ceds.ed.gov/elementComment.aspx?elementName=Language of Session &amp;elementID=6357", "Click here to submit comment")</f>
        <v>Click here to submit comment</v>
      </c>
    </row>
    <row r="114" spans="1:14" ht="180">
      <c r="A114" s="3" t="s">
        <v>3540</v>
      </c>
      <c r="B114" s="3" t="s">
        <v>3541</v>
      </c>
      <c r="C114" s="3" t="s">
        <v>6225</v>
      </c>
      <c r="D114" s="3" t="s">
        <v>6226</v>
      </c>
      <c r="E114" s="3"/>
      <c r="F114" s="3" t="s">
        <v>54</v>
      </c>
      <c r="G114" s="3"/>
      <c r="H114" s="3"/>
      <c r="I114" s="3" t="s">
        <v>3542</v>
      </c>
      <c r="J114" s="3" t="s">
        <v>3543</v>
      </c>
      <c r="K114" s="3"/>
      <c r="L114" s="3" t="s">
        <v>3544</v>
      </c>
      <c r="M114" s="3" t="str">
        <f>HYPERLINK("https://ceds.ed.gov/cedselementdetails.aspx?termid=6358")</f>
        <v>https://ceds.ed.gov/cedselementdetails.aspx?termid=6358</v>
      </c>
      <c r="N114" s="3" t="str">
        <f>HYPERLINK("https://ceds.ed.gov/elementComment.aspx?elementName=Learning Resource Access API Type &amp;elementID=6358", "Click here to submit comment")</f>
        <v>Click here to submit comment</v>
      </c>
    </row>
    <row r="115" spans="1:14" ht="90">
      <c r="A115" s="3" t="s">
        <v>3545</v>
      </c>
      <c r="B115" s="3" t="s">
        <v>3546</v>
      </c>
      <c r="C115" s="3" t="s">
        <v>6227</v>
      </c>
      <c r="D115" s="3" t="s">
        <v>6226</v>
      </c>
      <c r="E115" s="3"/>
      <c r="F115" s="3" t="s">
        <v>54</v>
      </c>
      <c r="G115" s="3"/>
      <c r="H115" s="3"/>
      <c r="I115" s="3"/>
      <c r="J115" s="3" t="s">
        <v>3547</v>
      </c>
      <c r="K115" s="3"/>
      <c r="L115" s="3" t="s">
        <v>3548</v>
      </c>
      <c r="M115" s="3" t="str">
        <f>HYPERLINK("https://ceds.ed.gov/cedselementdetails.aspx?termid=6359")</f>
        <v>https://ceds.ed.gov/cedselementdetails.aspx?termid=6359</v>
      </c>
      <c r="N115" s="3" t="str">
        <f>HYPERLINK("https://ceds.ed.gov/elementComment.aspx?elementName=Learning Resource Access Hazard Type &amp;elementID=6359", "Click here to submit comment")</f>
        <v>Click here to submit comment</v>
      </c>
    </row>
    <row r="116" spans="1:14" ht="105">
      <c r="A116" s="3" t="s">
        <v>3549</v>
      </c>
      <c r="B116" s="3" t="s">
        <v>3550</v>
      </c>
      <c r="C116" s="3" t="s">
        <v>6228</v>
      </c>
      <c r="D116" s="3" t="s">
        <v>6226</v>
      </c>
      <c r="E116" s="3"/>
      <c r="F116" s="3" t="s">
        <v>54</v>
      </c>
      <c r="G116" s="3"/>
      <c r="H116" s="3"/>
      <c r="I116" s="3" t="s">
        <v>3551</v>
      </c>
      <c r="J116" s="3" t="s">
        <v>3552</v>
      </c>
      <c r="K116" s="3"/>
      <c r="L116" s="3" t="s">
        <v>3553</v>
      </c>
      <c r="M116" s="3" t="str">
        <f>HYPERLINK("https://ceds.ed.gov/cedselementdetails.aspx?termid=6360")</f>
        <v>https://ceds.ed.gov/cedselementdetails.aspx?termid=6360</v>
      </c>
      <c r="N116" s="3" t="str">
        <f>HYPERLINK("https://ceds.ed.gov/elementComment.aspx?elementName=Learning Resource Access Mode Type &amp;elementID=6360", "Click here to submit comment")</f>
        <v>Click here to submit comment</v>
      </c>
    </row>
    <row r="117" spans="1:14" ht="90">
      <c r="A117" s="3" t="s">
        <v>3554</v>
      </c>
      <c r="B117" s="3" t="s">
        <v>3555</v>
      </c>
      <c r="C117" s="3" t="s">
        <v>13</v>
      </c>
      <c r="D117" s="3" t="s">
        <v>6226</v>
      </c>
      <c r="E117" s="3"/>
      <c r="F117" s="3" t="s">
        <v>54</v>
      </c>
      <c r="G117" s="3" t="s">
        <v>93</v>
      </c>
      <c r="H117" s="3"/>
      <c r="I117" s="3"/>
      <c r="J117" s="3" t="s">
        <v>3556</v>
      </c>
      <c r="K117" s="3"/>
      <c r="L117" s="3" t="s">
        <v>3557</v>
      </c>
      <c r="M117" s="3" t="str">
        <f>HYPERLINK("https://ceds.ed.gov/cedselementdetails.aspx?termid=6361")</f>
        <v>https://ceds.ed.gov/cedselementdetails.aspx?termid=6361</v>
      </c>
      <c r="N117" s="3" t="str">
        <f>HYPERLINK("https://ceds.ed.gov/elementComment.aspx?elementName=Learning Resource Adaptation URL &amp;elementID=6361", "Click here to submit comment")</f>
        <v>Click here to submit comment</v>
      </c>
    </row>
    <row r="118" spans="1:14" ht="90">
      <c r="A118" s="3" t="s">
        <v>3558</v>
      </c>
      <c r="B118" s="3" t="s">
        <v>3559</v>
      </c>
      <c r="C118" s="3" t="s">
        <v>13</v>
      </c>
      <c r="D118" s="3" t="s">
        <v>6226</v>
      </c>
      <c r="E118" s="3"/>
      <c r="F118" s="3" t="s">
        <v>54</v>
      </c>
      <c r="G118" s="3" t="s">
        <v>93</v>
      </c>
      <c r="H118" s="3"/>
      <c r="I118" s="3"/>
      <c r="J118" s="3" t="s">
        <v>3560</v>
      </c>
      <c r="K118" s="3"/>
      <c r="L118" s="3" t="s">
        <v>3561</v>
      </c>
      <c r="M118" s="3" t="str">
        <f>HYPERLINK("https://ceds.ed.gov/cedselementdetails.aspx?termid=6367")</f>
        <v>https://ceds.ed.gov/cedselementdetails.aspx?termid=6367</v>
      </c>
      <c r="N118" s="3" t="str">
        <f>HYPERLINK("https://ceds.ed.gov/elementComment.aspx?elementName=Learning Resource Adapted From URL &amp;elementID=6367", "Click here to submit comment")</f>
        <v>Click here to submit comment</v>
      </c>
    </row>
    <row r="119" spans="1:14" ht="90">
      <c r="A119" s="3" t="s">
        <v>3562</v>
      </c>
      <c r="B119" s="3" t="s">
        <v>3563</v>
      </c>
      <c r="C119" s="3" t="s">
        <v>5963</v>
      </c>
      <c r="D119" s="3" t="s">
        <v>6226</v>
      </c>
      <c r="E119" s="3"/>
      <c r="F119" s="3" t="s">
        <v>54</v>
      </c>
      <c r="G119" s="3"/>
      <c r="H119" s="3"/>
      <c r="I119" s="3" t="s">
        <v>3564</v>
      </c>
      <c r="J119" s="3" t="s">
        <v>3565</v>
      </c>
      <c r="K119" s="3"/>
      <c r="L119" s="3" t="s">
        <v>3566</v>
      </c>
      <c r="M119" s="3" t="str">
        <f>HYPERLINK("https://ceds.ed.gov/cedselementdetails.aspx?termid=6362")</f>
        <v>https://ceds.ed.gov/cedselementdetails.aspx?termid=6362</v>
      </c>
      <c r="N119" s="3" t="str">
        <f>HYPERLINK("https://ceds.ed.gov/elementComment.aspx?elementName=Learning Resource Assistive Technologies Compatible Indicator &amp;elementID=6362", "Click here to submit comment")</f>
        <v>Click here to submit comment</v>
      </c>
    </row>
    <row r="120" spans="1:14" ht="135">
      <c r="A120" s="3" t="s">
        <v>3573</v>
      </c>
      <c r="B120" s="3" t="s">
        <v>3574</v>
      </c>
      <c r="C120" s="3" t="s">
        <v>6229</v>
      </c>
      <c r="D120" s="3" t="s">
        <v>6226</v>
      </c>
      <c r="E120" s="3"/>
      <c r="F120" s="3" t="s">
        <v>54</v>
      </c>
      <c r="G120" s="3"/>
      <c r="H120" s="3"/>
      <c r="I120" s="3"/>
      <c r="J120" s="3" t="s">
        <v>3575</v>
      </c>
      <c r="K120" s="3"/>
      <c r="L120" s="3" t="s">
        <v>3576</v>
      </c>
      <c r="M120" s="3" t="str">
        <f>HYPERLINK("https://ceds.ed.gov/cedselementdetails.aspx?termid=6363")</f>
        <v>https://ceds.ed.gov/cedselementdetails.aspx?termid=6363</v>
      </c>
      <c r="N120" s="3" t="str">
        <f>HYPERLINK("https://ceds.ed.gov/elementComment.aspx?elementName=Learning Resource Book Format Type &amp;elementID=6363", "Click here to submit comment")</f>
        <v>Click here to submit comment</v>
      </c>
    </row>
    <row r="121" spans="1:14" ht="90">
      <c r="A121" s="3" t="s">
        <v>3586</v>
      </c>
      <c r="B121" s="3" t="s">
        <v>3587</v>
      </c>
      <c r="C121" s="3" t="s">
        <v>6232</v>
      </c>
      <c r="D121" s="3" t="s">
        <v>6226</v>
      </c>
      <c r="E121" s="3"/>
      <c r="F121" s="3" t="s">
        <v>54</v>
      </c>
      <c r="G121" s="3"/>
      <c r="H121" s="3"/>
      <c r="I121" s="3"/>
      <c r="J121" s="3" t="s">
        <v>3588</v>
      </c>
      <c r="K121" s="3"/>
      <c r="L121" s="3" t="s">
        <v>3589</v>
      </c>
      <c r="M121" s="3" t="str">
        <f>HYPERLINK("https://ceds.ed.gov/cedselementdetails.aspx?termid=6364")</f>
        <v>https://ceds.ed.gov/cedselementdetails.aspx?termid=6364</v>
      </c>
      <c r="N121" s="3" t="str">
        <f>HYPERLINK("https://ceds.ed.gov/elementComment.aspx?elementName=Learning Resource Control Flexibility Type &amp;elementID=6364", "Click here to submit comment")</f>
        <v>Click here to submit comment</v>
      </c>
    </row>
    <row r="122" spans="1:14" ht="105">
      <c r="A122" s="3" t="s">
        <v>3610</v>
      </c>
      <c r="B122" s="3" t="s">
        <v>3611</v>
      </c>
      <c r="C122" s="3" t="s">
        <v>3612</v>
      </c>
      <c r="D122" s="3" t="s">
        <v>6226</v>
      </c>
      <c r="E122" s="3"/>
      <c r="F122" s="3" t="s">
        <v>54</v>
      </c>
      <c r="G122" s="3"/>
      <c r="H122" s="3"/>
      <c r="I122" s="3"/>
      <c r="J122" s="3" t="s">
        <v>3613</v>
      </c>
      <c r="K122" s="3"/>
      <c r="L122" s="3" t="s">
        <v>3614</v>
      </c>
      <c r="M122" s="3" t="str">
        <f>HYPERLINK("https://ceds.ed.gov/cedselementdetails.aspx?termid=6365")</f>
        <v>https://ceds.ed.gov/cedselementdetails.aspx?termid=6365</v>
      </c>
      <c r="N122" s="3" t="str">
        <f>HYPERLINK("https://ceds.ed.gov/elementComment.aspx?elementName=Learning Resource Digital Media Sub Type &amp;elementID=6365", "Click here to submit comment")</f>
        <v>Click here to submit comment</v>
      </c>
    </row>
    <row r="123" spans="1:14" ht="150">
      <c r="A123" s="3" t="s">
        <v>3615</v>
      </c>
      <c r="B123" s="3" t="s">
        <v>3616</v>
      </c>
      <c r="C123" s="3" t="s">
        <v>6233</v>
      </c>
      <c r="D123" s="3" t="s">
        <v>6226</v>
      </c>
      <c r="E123" s="3"/>
      <c r="F123" s="3" t="s">
        <v>54</v>
      </c>
      <c r="G123" s="3"/>
      <c r="H123" s="3"/>
      <c r="I123" s="3"/>
      <c r="J123" s="3" t="s">
        <v>3617</v>
      </c>
      <c r="K123" s="3"/>
      <c r="L123" s="3" t="s">
        <v>3618</v>
      </c>
      <c r="M123" s="3" t="str">
        <f>HYPERLINK("https://ceds.ed.gov/cedselementdetails.aspx?termid=6366")</f>
        <v>https://ceds.ed.gov/cedselementdetails.aspx?termid=6366</v>
      </c>
      <c r="N123" s="3" t="str">
        <f>HYPERLINK("https://ceds.ed.gov/elementComment.aspx?elementName=Learning Resource Digital Media Type &amp;elementID=6366", "Click here to submit comment")</f>
        <v>Click here to submit comment</v>
      </c>
    </row>
    <row r="124" spans="1:14" ht="315">
      <c r="A124" s="3" t="s">
        <v>3643</v>
      </c>
      <c r="B124" s="3" t="s">
        <v>3644</v>
      </c>
      <c r="C124" s="3" t="s">
        <v>6237</v>
      </c>
      <c r="D124" s="3" t="s">
        <v>6226</v>
      </c>
      <c r="E124" s="3"/>
      <c r="F124" s="3" t="s">
        <v>54</v>
      </c>
      <c r="G124" s="3"/>
      <c r="H124" s="3"/>
      <c r="I124" s="3" t="s">
        <v>3645</v>
      </c>
      <c r="J124" s="3" t="s">
        <v>3646</v>
      </c>
      <c r="K124" s="3"/>
      <c r="L124" s="3" t="s">
        <v>3647</v>
      </c>
      <c r="M124" s="3" t="str">
        <f>HYPERLINK("https://ceds.ed.gov/cedselementdetails.aspx?termid=6368")</f>
        <v>https://ceds.ed.gov/cedselementdetails.aspx?termid=6368</v>
      </c>
      <c r="N124" s="3" t="str">
        <f>HYPERLINK("https://ceds.ed.gov/elementComment.aspx?elementName=Learning Resource Media Feature Type &amp;elementID=6368", "Click here to submit comment")</f>
        <v>Click here to submit comment</v>
      </c>
    </row>
    <row r="125" spans="1:14" ht="90">
      <c r="A125" s="3" t="s">
        <v>3653</v>
      </c>
      <c r="B125" s="3" t="s">
        <v>3654</v>
      </c>
      <c r="C125" s="3" t="s">
        <v>13</v>
      </c>
      <c r="D125" s="3" t="s">
        <v>6238</v>
      </c>
      <c r="E125" s="3"/>
      <c r="F125" s="3" t="s">
        <v>54</v>
      </c>
      <c r="G125" s="3" t="s">
        <v>575</v>
      </c>
      <c r="H125" s="3"/>
      <c r="I125" s="3"/>
      <c r="J125" s="3" t="s">
        <v>3655</v>
      </c>
      <c r="K125" s="3"/>
      <c r="L125" s="3" t="s">
        <v>3656</v>
      </c>
      <c r="M125" s="3" t="str">
        <f>HYPERLINK("https://ceds.ed.gov/cedselementdetails.aspx?termid=6369")</f>
        <v>https://ceds.ed.gov/cedselementdetails.aspx?termid=6369</v>
      </c>
      <c r="N125" s="3" t="str">
        <f>HYPERLINK("https://ceds.ed.gov/elementComment.aspx?elementName=Learning Resource Peer Rating Sample Size &amp;elementID=6369", "Click here to submit comment")</f>
        <v>Click here to submit comment</v>
      </c>
    </row>
    <row r="126" spans="1:14" ht="409.5">
      <c r="A126" s="3" t="s">
        <v>3661</v>
      </c>
      <c r="B126" s="3" t="s">
        <v>3662</v>
      </c>
      <c r="C126" s="4" t="s">
        <v>6566</v>
      </c>
      <c r="D126" s="3" t="s">
        <v>6226</v>
      </c>
      <c r="E126" s="3"/>
      <c r="F126" s="3" t="s">
        <v>54</v>
      </c>
      <c r="G126" s="3"/>
      <c r="H126" s="3"/>
      <c r="I126" s="3"/>
      <c r="J126" s="3" t="s">
        <v>3663</v>
      </c>
      <c r="K126" s="3"/>
      <c r="L126" s="3" t="s">
        <v>3664</v>
      </c>
      <c r="M126" s="3" t="str">
        <f>HYPERLINK("https://ceds.ed.gov/cedselementdetails.aspx?termid=6370")</f>
        <v>https://ceds.ed.gov/cedselementdetails.aspx?termid=6370</v>
      </c>
      <c r="N126" s="3" t="str">
        <f>HYPERLINK("https://ceds.ed.gov/elementComment.aspx?elementName=Learning Resource Physical Media Type &amp;elementID=6370", "Click here to submit comment")</f>
        <v>Click here to submit comment</v>
      </c>
    </row>
    <row r="127" spans="1:14" ht="45">
      <c r="A127" s="3" t="s">
        <v>3791</v>
      </c>
      <c r="B127" s="3" t="s">
        <v>3792</v>
      </c>
      <c r="C127" s="3" t="s">
        <v>13</v>
      </c>
      <c r="D127" s="3" t="s">
        <v>3793</v>
      </c>
      <c r="E127" s="3"/>
      <c r="F127" s="3" t="s">
        <v>54</v>
      </c>
      <c r="G127" s="3" t="s">
        <v>93</v>
      </c>
      <c r="H127" s="3"/>
      <c r="I127" s="3"/>
      <c r="J127" s="3" t="s">
        <v>3794</v>
      </c>
      <c r="K127" s="3"/>
      <c r="L127" s="3" t="s">
        <v>3795</v>
      </c>
      <c r="M127" s="3" t="str">
        <f>HYPERLINK("https://ceds.ed.gov/cedselementdetails.aspx?termid=6371")</f>
        <v>https://ceds.ed.gov/cedselementdetails.aspx?termid=6371</v>
      </c>
      <c r="N127" s="3" t="str">
        <f>HYPERLINK("https://ceds.ed.gov/elementComment.aspx?elementName=Learning Standard Item Association Connection Citation &amp;elementID=6371", "Click here to submit comment")</f>
        <v>Click here to submit comment</v>
      </c>
    </row>
    <row r="128" spans="1:14" ht="60">
      <c r="A128" s="3" t="s">
        <v>3796</v>
      </c>
      <c r="B128" s="3" t="s">
        <v>3797</v>
      </c>
      <c r="C128" s="3" t="s">
        <v>13</v>
      </c>
      <c r="D128" s="3" t="s">
        <v>3793</v>
      </c>
      <c r="E128" s="3"/>
      <c r="F128" s="3" t="s">
        <v>54</v>
      </c>
      <c r="G128" s="3" t="s">
        <v>100</v>
      </c>
      <c r="H128" s="3"/>
      <c r="I128" s="3"/>
      <c r="J128" s="3" t="s">
        <v>3798</v>
      </c>
      <c r="K128" s="3"/>
      <c r="L128" s="3" t="s">
        <v>3799</v>
      </c>
      <c r="M128" s="3" t="str">
        <f>HYPERLINK("https://ceds.ed.gov/cedselementdetails.aspx?termid=6372")</f>
        <v>https://ceds.ed.gov/cedselementdetails.aspx?termid=6372</v>
      </c>
      <c r="N128" s="3" t="str">
        <f>HYPERLINK("https://ceds.ed.gov/elementComment.aspx?elementName=Learning Standard Item Association Destination Node Name &amp;elementID=6372", "Click here to submit comment")</f>
        <v>Click here to submit comment</v>
      </c>
    </row>
    <row r="129" spans="1:14" ht="45">
      <c r="A129" s="3" t="s">
        <v>3800</v>
      </c>
      <c r="B129" s="3" t="s">
        <v>3801</v>
      </c>
      <c r="C129" s="3" t="s">
        <v>13</v>
      </c>
      <c r="D129" s="3" t="s">
        <v>3793</v>
      </c>
      <c r="E129" s="3"/>
      <c r="F129" s="3" t="s">
        <v>54</v>
      </c>
      <c r="G129" s="3" t="s">
        <v>93</v>
      </c>
      <c r="H129" s="3"/>
      <c r="I129" s="3"/>
      <c r="J129" s="3" t="s">
        <v>3802</v>
      </c>
      <c r="K129" s="3"/>
      <c r="L129" s="3" t="s">
        <v>3803</v>
      </c>
      <c r="M129" s="3" t="str">
        <f>HYPERLINK("https://ceds.ed.gov/cedselementdetails.aspx?termid=6373")</f>
        <v>https://ceds.ed.gov/cedselementdetails.aspx?termid=6373</v>
      </c>
      <c r="N129" s="3" t="str">
        <f>HYPERLINK("https://ceds.ed.gov/elementComment.aspx?elementName=Learning Standard Item Association Destination Node URI &amp;elementID=6373", "Click here to submit comment")</f>
        <v>Click here to submit comment</v>
      </c>
    </row>
    <row r="130" spans="1:14" ht="45">
      <c r="A130" s="3" t="s">
        <v>3808</v>
      </c>
      <c r="B130" s="3" t="s">
        <v>3809</v>
      </c>
      <c r="C130" s="3" t="s">
        <v>13</v>
      </c>
      <c r="D130" s="3" t="s">
        <v>3793</v>
      </c>
      <c r="E130" s="3"/>
      <c r="F130" s="3" t="s">
        <v>54</v>
      </c>
      <c r="G130" s="3" t="s">
        <v>100</v>
      </c>
      <c r="H130" s="3"/>
      <c r="I130" s="3"/>
      <c r="J130" s="3" t="s">
        <v>3810</v>
      </c>
      <c r="K130" s="3"/>
      <c r="L130" s="3" t="s">
        <v>3811</v>
      </c>
      <c r="M130" s="3" t="str">
        <f>HYPERLINK("https://ceds.ed.gov/cedselementdetails.aspx?termid=6374")</f>
        <v>https://ceds.ed.gov/cedselementdetails.aspx?termid=6374</v>
      </c>
      <c r="N130" s="3" t="str">
        <f>HYPERLINK("https://ceds.ed.gov/elementComment.aspx?elementName=Learning Standard Item Association Origin Node Name &amp;elementID=6374", "Click here to submit comment")</f>
        <v>Click here to submit comment</v>
      </c>
    </row>
    <row r="131" spans="1:14" ht="45">
      <c r="A131" s="3" t="s">
        <v>3812</v>
      </c>
      <c r="B131" s="3" t="s">
        <v>3813</v>
      </c>
      <c r="C131" s="3" t="s">
        <v>13</v>
      </c>
      <c r="D131" s="3" t="s">
        <v>3793</v>
      </c>
      <c r="E131" s="3"/>
      <c r="F131" s="3" t="s">
        <v>54</v>
      </c>
      <c r="G131" s="3" t="s">
        <v>93</v>
      </c>
      <c r="H131" s="3"/>
      <c r="I131" s="3"/>
      <c r="J131" s="3" t="s">
        <v>3814</v>
      </c>
      <c r="K131" s="3"/>
      <c r="L131" s="3" t="s">
        <v>3815</v>
      </c>
      <c r="M131" s="3" t="str">
        <f>HYPERLINK("https://ceds.ed.gov/cedselementdetails.aspx?termid=6375")</f>
        <v>https://ceds.ed.gov/cedselementdetails.aspx?termid=6375</v>
      </c>
      <c r="N131" s="3" t="str">
        <f>HYPERLINK("https://ceds.ed.gov/elementComment.aspx?elementName=Learning Standard Item Association Origin Node URI &amp;elementID=6375", "Click here to submit comment")</f>
        <v>Click here to submit comment</v>
      </c>
    </row>
    <row r="132" spans="1:14" ht="135">
      <c r="A132" s="3" t="s">
        <v>3822</v>
      </c>
      <c r="B132" s="3" t="s">
        <v>3823</v>
      </c>
      <c r="C132" s="3" t="s">
        <v>13</v>
      </c>
      <c r="D132" s="3" t="s">
        <v>3793</v>
      </c>
      <c r="E132" s="3"/>
      <c r="F132" s="3" t="s">
        <v>54</v>
      </c>
      <c r="G132" s="3" t="s">
        <v>3824</v>
      </c>
      <c r="H132" s="3"/>
      <c r="I132" s="3" t="s">
        <v>3825</v>
      </c>
      <c r="J132" s="3" t="s">
        <v>3826</v>
      </c>
      <c r="K132" s="3"/>
      <c r="L132" s="3" t="s">
        <v>3827</v>
      </c>
      <c r="M132" s="3" t="str">
        <f>HYPERLINK("https://ceds.ed.gov/cedselementdetails.aspx?termid=6376")</f>
        <v>https://ceds.ed.gov/cedselementdetails.aspx?termid=6376</v>
      </c>
      <c r="N132" s="3" t="str">
        <f>HYPERLINK("https://ceds.ed.gov/elementComment.aspx?elementName=Learning Standard Item Association Weight &amp;elementID=6376", "Click here to submit comment")</f>
        <v>Click here to submit comment</v>
      </c>
    </row>
    <row r="133" spans="1:14" ht="240">
      <c r="A133" s="3" t="s">
        <v>3846</v>
      </c>
      <c r="B133" s="3" t="s">
        <v>3847</v>
      </c>
      <c r="C133" s="3" t="s">
        <v>5963</v>
      </c>
      <c r="D133" s="3" t="s">
        <v>6247</v>
      </c>
      <c r="E133" s="3"/>
      <c r="F133" s="3" t="s">
        <v>54</v>
      </c>
      <c r="G133" s="3"/>
      <c r="H133" s="3"/>
      <c r="I133" s="3" t="s">
        <v>3848</v>
      </c>
      <c r="J133" s="3" t="s">
        <v>3849</v>
      </c>
      <c r="K133" s="3"/>
      <c r="L133" s="3" t="s">
        <v>3850</v>
      </c>
      <c r="M133" s="3" t="str">
        <f>HYPERLINK("https://ceds.ed.gov/cedselementdetails.aspx?termid=6499")</f>
        <v>https://ceds.ed.gov/cedselementdetails.aspx?termid=6499</v>
      </c>
      <c r="N133" s="3" t="str">
        <f>HYPERLINK("https://ceds.ed.gov/elementComment.aspx?elementName=Learning Standard Item Current Version Indicator &amp;elementID=6499", "Click here to submit comment")</f>
        <v>Click here to submit comment</v>
      </c>
    </row>
    <row r="134" spans="1:14" ht="105">
      <c r="A134" s="3" t="s">
        <v>3874</v>
      </c>
      <c r="B134" s="3" t="s">
        <v>3875</v>
      </c>
      <c r="C134" s="3" t="s">
        <v>6248</v>
      </c>
      <c r="D134" s="3" t="s">
        <v>3876</v>
      </c>
      <c r="E134" s="3"/>
      <c r="F134" s="3" t="s">
        <v>54</v>
      </c>
      <c r="G134" s="3"/>
      <c r="H134" s="3"/>
      <c r="I134" s="3"/>
      <c r="J134" s="3" t="s">
        <v>3877</v>
      </c>
      <c r="K134" s="3"/>
      <c r="L134" s="3" t="s">
        <v>3878</v>
      </c>
      <c r="M134" s="3" t="str">
        <f>HYPERLINK("https://ceds.ed.gov/cedselementdetails.aspx?termid=6377")</f>
        <v>https://ceds.ed.gov/cedselementdetails.aspx?termid=6377</v>
      </c>
      <c r="N134" s="3" t="str">
        <f>HYPERLINK("https://ceds.ed.gov/elementComment.aspx?elementName=Learning Standard Item Node Accessibility Profile &amp;elementID=6377", "Click here to submit comment")</f>
        <v>Click here to submit comment</v>
      </c>
    </row>
    <row r="135" spans="1:14" ht="45">
      <c r="A135" s="3" t="s">
        <v>3879</v>
      </c>
      <c r="B135" s="3" t="s">
        <v>3880</v>
      </c>
      <c r="C135" s="3" t="s">
        <v>13</v>
      </c>
      <c r="D135" s="3" t="s">
        <v>3876</v>
      </c>
      <c r="E135" s="3"/>
      <c r="F135" s="3" t="s">
        <v>54</v>
      </c>
      <c r="G135" s="3" t="s">
        <v>100</v>
      </c>
      <c r="H135" s="3"/>
      <c r="I135" s="3"/>
      <c r="J135" s="3" t="s">
        <v>3881</v>
      </c>
      <c r="K135" s="3"/>
      <c r="L135" s="3" t="s">
        <v>3882</v>
      </c>
      <c r="M135" s="3" t="str">
        <f>HYPERLINK("https://ceds.ed.gov/cedselementdetails.aspx?termid=6378")</f>
        <v>https://ceds.ed.gov/cedselementdetails.aspx?termid=6378</v>
      </c>
      <c r="N135" s="3" t="str">
        <f>HYPERLINK("https://ceds.ed.gov/elementComment.aspx?elementName=Learning Standard Item Node Name &amp;elementID=6378", "Click here to submit comment")</f>
        <v>Click here to submit comment</v>
      </c>
    </row>
    <row r="136" spans="1:14" ht="240">
      <c r="A136" s="3" t="s">
        <v>3904</v>
      </c>
      <c r="B136" s="3" t="s">
        <v>3905</v>
      </c>
      <c r="C136" s="3" t="s">
        <v>13</v>
      </c>
      <c r="D136" s="3" t="s">
        <v>6247</v>
      </c>
      <c r="E136" s="3"/>
      <c r="F136" s="3" t="s">
        <v>54</v>
      </c>
      <c r="G136" s="3" t="s">
        <v>3906</v>
      </c>
      <c r="H136" s="3"/>
      <c r="I136" s="3" t="s">
        <v>3848</v>
      </c>
      <c r="J136" s="3" t="s">
        <v>3907</v>
      </c>
      <c r="K136" s="3"/>
      <c r="L136" s="3" t="s">
        <v>3908</v>
      </c>
      <c r="M136" s="3" t="str">
        <f>HYPERLINK("https://ceds.ed.gov/cedselementdetails.aspx?termid=6498")</f>
        <v>https://ceds.ed.gov/cedselementdetails.aspx?termid=6498</v>
      </c>
      <c r="N136" s="3" t="str">
        <f>HYPERLINK("https://ceds.ed.gov/elementComment.aspx?elementName=Learning Standard Item Previous Version Identifier &amp;elementID=6498", "Click here to submit comment")</f>
        <v>Click here to submit comment</v>
      </c>
    </row>
    <row r="137" spans="1:14" ht="105">
      <c r="A137" s="3" t="s">
        <v>3915</v>
      </c>
      <c r="B137" s="3" t="s">
        <v>3916</v>
      </c>
      <c r="C137" s="4" t="s">
        <v>6570</v>
      </c>
      <c r="D137" s="3" t="s">
        <v>3876</v>
      </c>
      <c r="E137" s="3"/>
      <c r="F137" s="3" t="s">
        <v>54</v>
      </c>
      <c r="G137" s="3"/>
      <c r="H137" s="3"/>
      <c r="I137" s="3"/>
      <c r="J137" s="3" t="s">
        <v>3917</v>
      </c>
      <c r="K137" s="3"/>
      <c r="L137" s="3" t="s">
        <v>3918</v>
      </c>
      <c r="M137" s="3" t="str">
        <f>HYPERLINK("https://ceds.ed.gov/cedselementdetails.aspx?termid=6380")</f>
        <v>https://ceds.ed.gov/cedselementdetails.aspx?termid=6380</v>
      </c>
      <c r="N137" s="3" t="str">
        <f>HYPERLINK("https://ceds.ed.gov/elementComment.aspx?elementName=Learning Standard Item Testability Type &amp;elementID=6380", "Click here to submit comment")</f>
        <v>Click here to submit comment</v>
      </c>
    </row>
    <row r="138" spans="1:14" ht="120">
      <c r="A138" s="3" t="s">
        <v>3945</v>
      </c>
      <c r="B138" s="3" t="s">
        <v>3946</v>
      </c>
      <c r="C138" s="3" t="s">
        <v>13</v>
      </c>
      <c r="D138" s="3" t="s">
        <v>6240</v>
      </c>
      <c r="E138" s="3"/>
      <c r="F138" s="3" t="s">
        <v>54</v>
      </c>
      <c r="G138" s="3" t="s">
        <v>73</v>
      </c>
      <c r="H138" s="3"/>
      <c r="I138" s="3" t="s">
        <v>3947</v>
      </c>
      <c r="J138" s="3" t="s">
        <v>3948</v>
      </c>
      <c r="K138" s="3"/>
      <c r="L138" s="3" t="s">
        <v>3949</v>
      </c>
      <c r="M138" s="3" t="str">
        <f>HYPERLINK("https://ceds.ed.gov/cedselementdetails.aspx?termid=6483")</f>
        <v>https://ceds.ed.gov/cedselementdetails.aspx?termid=6483</v>
      </c>
      <c r="N138" s="3" t="str">
        <f>HYPERLINK("https://ceds.ed.gov/elementComment.aspx?elementName=Learning Standard Item Valid End Date &amp;elementID=6483", "Click here to submit comment")</f>
        <v>Click here to submit comment</v>
      </c>
    </row>
    <row r="139" spans="1:14" ht="120">
      <c r="A139" s="3" t="s">
        <v>3950</v>
      </c>
      <c r="B139" s="3" t="s">
        <v>3951</v>
      </c>
      <c r="C139" s="3" t="s">
        <v>13</v>
      </c>
      <c r="D139" s="3" t="s">
        <v>6240</v>
      </c>
      <c r="E139" s="3"/>
      <c r="F139" s="3" t="s">
        <v>54</v>
      </c>
      <c r="G139" s="3" t="s">
        <v>73</v>
      </c>
      <c r="H139" s="3"/>
      <c r="I139" s="3"/>
      <c r="J139" s="3" t="s">
        <v>3952</v>
      </c>
      <c r="K139" s="3"/>
      <c r="L139" s="3" t="s">
        <v>3953</v>
      </c>
      <c r="M139" s="3" t="str">
        <f>HYPERLINK("https://ceds.ed.gov/cedselementdetails.aspx?termid=6484")</f>
        <v>https://ceds.ed.gov/cedselementdetails.aspx?termid=6484</v>
      </c>
      <c r="N139" s="3" t="str">
        <f>HYPERLINK("https://ceds.ed.gov/elementComment.aspx?elementName=Learning Standard Item Valid Start Date &amp;elementID=6484", "Click here to submit comment")</f>
        <v>Click here to submit comment</v>
      </c>
    </row>
    <row r="140" spans="1:14" ht="45">
      <c r="A140" s="3" t="s">
        <v>4078</v>
      </c>
      <c r="B140" s="3" t="s">
        <v>4079</v>
      </c>
      <c r="C140" s="3" t="s">
        <v>6254</v>
      </c>
      <c r="D140" s="3" t="s">
        <v>4080</v>
      </c>
      <c r="E140" s="3"/>
      <c r="F140" s="3" t="s">
        <v>54</v>
      </c>
      <c r="G140" s="3" t="s">
        <v>106</v>
      </c>
      <c r="H140" s="3"/>
      <c r="I140" s="3"/>
      <c r="J140" s="3" t="s">
        <v>4081</v>
      </c>
      <c r="K140" s="3"/>
      <c r="L140" s="3" t="s">
        <v>4082</v>
      </c>
      <c r="M140" s="3" t="str">
        <f>HYPERLINK("https://ceds.ed.gov/cedselementdetails.aspx?termid=6482")</f>
        <v>https://ceds.ed.gov/cedselementdetails.aspx?termid=6482</v>
      </c>
      <c r="N140" s="3" t="str">
        <f>HYPERLINK("https://ceds.ed.gov/elementComment.aspx?elementName=Method of Service Delivery &amp;elementID=6482", "Click here to submit comment")</f>
        <v>Click here to submit comment</v>
      </c>
    </row>
    <row r="141" spans="1:14" ht="210">
      <c r="A141" s="3" t="s">
        <v>4155</v>
      </c>
      <c r="B141" s="3" t="s">
        <v>4156</v>
      </c>
      <c r="C141" s="3" t="s">
        <v>5963</v>
      </c>
      <c r="D141" s="3" t="s">
        <v>2483</v>
      </c>
      <c r="E141" s="3"/>
      <c r="F141" s="3" t="s">
        <v>54</v>
      </c>
      <c r="G141" s="3"/>
      <c r="H141" s="3"/>
      <c r="I141" s="3" t="s">
        <v>4157</v>
      </c>
      <c r="J141" s="3" t="s">
        <v>4158</v>
      </c>
      <c r="K141" s="3"/>
      <c r="L141" s="3" t="s">
        <v>4159</v>
      </c>
      <c r="M141" s="3" t="str">
        <f>HYPERLINK("https://ceds.ed.gov/cedselementdetails.aspx?termid=6381")</f>
        <v>https://ceds.ed.gov/cedselementdetails.aspx?termid=6381</v>
      </c>
      <c r="N141" s="3" t="str">
        <f>HYPERLINK("https://ceds.ed.gov/elementComment.aspx?elementName=Military Enlistment After Exit &amp;elementID=6381", "Click here to submit comment")</f>
        <v>Click here to submit comment</v>
      </c>
    </row>
    <row r="142" spans="1:14" ht="30">
      <c r="A142" s="3" t="s">
        <v>4164</v>
      </c>
      <c r="B142" s="3" t="s">
        <v>4165</v>
      </c>
      <c r="C142" s="3" t="s">
        <v>13</v>
      </c>
      <c r="D142" s="3" t="s">
        <v>4166</v>
      </c>
      <c r="E142" s="3"/>
      <c r="F142" s="3" t="s">
        <v>54</v>
      </c>
      <c r="G142" s="3" t="s">
        <v>73</v>
      </c>
      <c r="H142" s="3"/>
      <c r="I142" s="3"/>
      <c r="J142" s="3" t="s">
        <v>4167</v>
      </c>
      <c r="K142" s="3"/>
      <c r="L142" s="3" t="s">
        <v>4168</v>
      </c>
      <c r="M142" s="3" t="str">
        <f>HYPERLINK("https://ceds.ed.gov/cedselementdetails.aspx?termid=6298")</f>
        <v>https://ceds.ed.gov/cedselementdetails.aspx?termid=6298</v>
      </c>
      <c r="N142" s="3" t="str">
        <f>HYPERLINK("https://ceds.ed.gov/elementComment.aspx?elementName=Monitoring Visit End Date &amp;elementID=6298", "Click here to submit comment")</f>
        <v>Click here to submit comment</v>
      </c>
    </row>
    <row r="143" spans="1:14" ht="30">
      <c r="A143" s="3" t="s">
        <v>4169</v>
      </c>
      <c r="B143" s="3" t="s">
        <v>4170</v>
      </c>
      <c r="C143" s="3" t="s">
        <v>13</v>
      </c>
      <c r="D143" s="3" t="s">
        <v>4166</v>
      </c>
      <c r="E143" s="3"/>
      <c r="F143" s="3" t="s">
        <v>54</v>
      </c>
      <c r="G143" s="3" t="s">
        <v>73</v>
      </c>
      <c r="H143" s="3"/>
      <c r="I143" s="3"/>
      <c r="J143" s="3" t="s">
        <v>4171</v>
      </c>
      <c r="K143" s="3"/>
      <c r="L143" s="3" t="s">
        <v>4172</v>
      </c>
      <c r="M143" s="3" t="str">
        <f>HYPERLINK("https://ceds.ed.gov/cedselementdetails.aspx?termid=6297")</f>
        <v>https://ceds.ed.gov/cedselementdetails.aspx?termid=6297</v>
      </c>
      <c r="N143" s="3" t="str">
        <f>HYPERLINK("https://ceds.ed.gov/elementComment.aspx?elementName=Monitoring Visit Start Date &amp;elementID=6297", "Click here to submit comment")</f>
        <v>Click here to submit comment</v>
      </c>
    </row>
    <row r="144" spans="1:14" ht="45">
      <c r="A144" s="3" t="s">
        <v>4197</v>
      </c>
      <c r="B144" s="3" t="s">
        <v>4198</v>
      </c>
      <c r="C144" s="3" t="s">
        <v>5963</v>
      </c>
      <c r="D144" s="3" t="s">
        <v>6081</v>
      </c>
      <c r="E144" s="3"/>
      <c r="F144" s="3" t="s">
        <v>54</v>
      </c>
      <c r="G144" s="3"/>
      <c r="H144" s="3"/>
      <c r="I144" s="3"/>
      <c r="J144" s="3" t="s">
        <v>4199</v>
      </c>
      <c r="K144" s="3" t="s">
        <v>4200</v>
      </c>
      <c r="L144" s="3" t="s">
        <v>4201</v>
      </c>
      <c r="M144" s="3" t="str">
        <f>HYPERLINK("https://ceds.ed.gov/cedselementdetails.aspx?termid=6382")</f>
        <v>https://ceds.ed.gov/cedselementdetails.aspx?termid=6382</v>
      </c>
      <c r="N144" s="3" t="str">
        <f>HYPERLINK("https://ceds.ed.gov/elementComment.aspx?elementName=National Collegiate Athletic Association Eligibility &amp;elementID=6382", "Click here to submit comment")</f>
        <v>Click here to submit comment</v>
      </c>
    </row>
    <row r="145" spans="1:14" ht="45">
      <c r="A145" s="3" t="s">
        <v>4206</v>
      </c>
      <c r="B145" s="3" t="s">
        <v>4207</v>
      </c>
      <c r="C145" s="3" t="s">
        <v>4208</v>
      </c>
      <c r="D145" s="3" t="s">
        <v>1831</v>
      </c>
      <c r="E145" s="3"/>
      <c r="F145" s="3" t="s">
        <v>54</v>
      </c>
      <c r="G145" s="3"/>
      <c r="H145" s="3"/>
      <c r="I145" s="3"/>
      <c r="J145" s="3" t="s">
        <v>4209</v>
      </c>
      <c r="K145" s="3"/>
      <c r="L145" s="3" t="s">
        <v>4210</v>
      </c>
      <c r="M145" s="3" t="str">
        <f>HYPERLINK("https://ceds.ed.gov/cedselementdetails.aspx?termid=6383")</f>
        <v>https://ceds.ed.gov/cedselementdetails.aspx?termid=6383</v>
      </c>
      <c r="N145" s="3" t="str">
        <f>HYPERLINK("https://ceds.ed.gov/elementComment.aspx?elementName=NCES College Course Map Code &amp;elementID=6383", "Click here to submit comment")</f>
        <v>Click here to submit comment</v>
      </c>
    </row>
    <row r="146" spans="1:14" ht="60">
      <c r="A146" s="3" t="s">
        <v>4274</v>
      </c>
      <c r="B146" s="3" t="s">
        <v>4275</v>
      </c>
      <c r="C146" s="3" t="s">
        <v>13</v>
      </c>
      <c r="D146" s="3" t="s">
        <v>1536</v>
      </c>
      <c r="E146" s="3"/>
      <c r="F146" s="3" t="s">
        <v>54</v>
      </c>
      <c r="G146" s="3" t="s">
        <v>575</v>
      </c>
      <c r="H146" s="3"/>
      <c r="I146" s="3"/>
      <c r="J146" s="3" t="s">
        <v>4276</v>
      </c>
      <c r="K146" s="3"/>
      <c r="L146" s="3" t="s">
        <v>4277</v>
      </c>
      <c r="M146" s="3" t="str">
        <f>HYPERLINK("https://ceds.ed.gov/cedselementdetails.aspx?termid=6384")</f>
        <v>https://ceds.ed.gov/cedselementdetails.aspx?termid=6384</v>
      </c>
      <c r="N146" s="3" t="str">
        <f>HYPERLINK("https://ceds.ed.gov/elementComment.aspx?elementName=Number of Dependents &amp;elementID=6384", "Click here to submit comment")</f>
        <v>Click here to submit comment</v>
      </c>
    </row>
    <row r="147" spans="1:14" ht="90">
      <c r="A147" s="3" t="s">
        <v>4329</v>
      </c>
      <c r="B147" s="3" t="s">
        <v>4330</v>
      </c>
      <c r="C147" s="3" t="s">
        <v>5963</v>
      </c>
      <c r="D147" s="3" t="s">
        <v>2267</v>
      </c>
      <c r="E147" s="3"/>
      <c r="F147" s="3" t="s">
        <v>54</v>
      </c>
      <c r="G147" s="3"/>
      <c r="H147" s="3"/>
      <c r="I147" s="3"/>
      <c r="J147" s="3" t="s">
        <v>4331</v>
      </c>
      <c r="K147" s="3"/>
      <c r="L147" s="3" t="s">
        <v>4332</v>
      </c>
      <c r="M147" s="3" t="str">
        <f>HYPERLINK("https://ceds.ed.gov/cedselementdetails.aspx?termid=6385")</f>
        <v>https://ceds.ed.gov/cedselementdetails.aspx?termid=6385</v>
      </c>
      <c r="N147" s="3" t="str">
        <f>HYPERLINK("https://ceds.ed.gov/elementComment.aspx?elementName=Oral Defense Completed Indicator &amp;elementID=6385", "Click here to submit comment")</f>
        <v>Click here to submit comment</v>
      </c>
    </row>
    <row r="148" spans="1:14" ht="30">
      <c r="A148" s="3" t="s">
        <v>4333</v>
      </c>
      <c r="B148" s="3" t="s">
        <v>4334</v>
      </c>
      <c r="C148" s="3" t="s">
        <v>13</v>
      </c>
      <c r="D148" s="3" t="s">
        <v>2267</v>
      </c>
      <c r="E148" s="3"/>
      <c r="F148" s="3" t="s">
        <v>54</v>
      </c>
      <c r="G148" s="3" t="s">
        <v>73</v>
      </c>
      <c r="H148" s="3"/>
      <c r="I148" s="3"/>
      <c r="J148" s="3" t="s">
        <v>4335</v>
      </c>
      <c r="K148" s="3"/>
      <c r="L148" s="3" t="s">
        <v>4336</v>
      </c>
      <c r="M148" s="3" t="str">
        <f>HYPERLINK("https://ceds.ed.gov/cedselementdetails.aspx?termid=6386")</f>
        <v>https://ceds.ed.gov/cedselementdetails.aspx?termid=6386</v>
      </c>
      <c r="N148" s="3" t="str">
        <f>HYPERLINK("https://ceds.ed.gov/elementComment.aspx?elementName=Oral Defense Date &amp;elementID=6386", "Click here to submit comment")</f>
        <v>Click here to submit comment</v>
      </c>
    </row>
    <row r="149" spans="1:14" ht="45">
      <c r="A149" s="3" t="s">
        <v>4345</v>
      </c>
      <c r="B149" s="3" t="s">
        <v>4346</v>
      </c>
      <c r="C149" s="3" t="s">
        <v>6265</v>
      </c>
      <c r="D149" s="3" t="s">
        <v>4166</v>
      </c>
      <c r="E149" s="3"/>
      <c r="F149" s="3" t="s">
        <v>54</v>
      </c>
      <c r="G149" s="3"/>
      <c r="H149" s="3"/>
      <c r="I149" s="3"/>
      <c r="J149" s="3" t="s">
        <v>4347</v>
      </c>
      <c r="K149" s="3"/>
      <c r="L149" s="3" t="s">
        <v>4348</v>
      </c>
      <c r="M149" s="3" t="str">
        <f>HYPERLINK("https://ceds.ed.gov/cedselementdetails.aspx?termid=6296")</f>
        <v>https://ceds.ed.gov/cedselementdetails.aspx?termid=6296</v>
      </c>
      <c r="N149" s="3" t="str">
        <f>HYPERLINK("https://ceds.ed.gov/elementComment.aspx?elementName=Organization Monitoring Notifications &amp;elementID=6296", "Click here to submit comment")</f>
        <v>Click here to submit comment</v>
      </c>
    </row>
    <row r="150" spans="1:14" ht="60">
      <c r="A150" s="3" t="s">
        <v>4353</v>
      </c>
      <c r="B150" s="3" t="s">
        <v>4354</v>
      </c>
      <c r="C150" s="3" t="s">
        <v>6267</v>
      </c>
      <c r="D150" s="3" t="s">
        <v>6268</v>
      </c>
      <c r="E150" s="3"/>
      <c r="F150" s="3" t="s">
        <v>54</v>
      </c>
      <c r="G150" s="3"/>
      <c r="H150" s="3"/>
      <c r="I150" s="3"/>
      <c r="J150" s="3" t="s">
        <v>4355</v>
      </c>
      <c r="K150" s="3"/>
      <c r="L150" s="3" t="s">
        <v>4356</v>
      </c>
      <c r="M150" s="3" t="str">
        <f>HYPERLINK("https://ceds.ed.gov/cedselementdetails.aspx?termid=6387")</f>
        <v>https://ceds.ed.gov/cedselementdetails.aspx?termid=6387</v>
      </c>
      <c r="N150" s="3" t="str">
        <f>HYPERLINK("https://ceds.ed.gov/elementComment.aspx?elementName=Organization Operational Status &amp;elementID=6387", "Click here to submit comment")</f>
        <v>Click here to submit comment</v>
      </c>
    </row>
    <row r="151" spans="1:14" ht="45">
      <c r="A151" s="3" t="s">
        <v>4357</v>
      </c>
      <c r="B151" s="3" t="s">
        <v>4358</v>
      </c>
      <c r="C151" s="3" t="s">
        <v>13</v>
      </c>
      <c r="D151" s="3" t="s">
        <v>64</v>
      </c>
      <c r="E151" s="3"/>
      <c r="F151" s="3" t="s">
        <v>54</v>
      </c>
      <c r="G151" s="3" t="s">
        <v>73</v>
      </c>
      <c r="H151" s="3"/>
      <c r="I151" s="3"/>
      <c r="J151" s="3" t="s">
        <v>4359</v>
      </c>
      <c r="K151" s="3"/>
      <c r="L151" s="3" t="s">
        <v>4360</v>
      </c>
      <c r="M151" s="3" t="str">
        <f>HYPERLINK("https://ceds.ed.gov/cedselementdetails.aspx?termid=6388")</f>
        <v>https://ceds.ed.gov/cedselementdetails.aspx?termid=6388</v>
      </c>
      <c r="N151" s="3" t="str">
        <f>HYPERLINK("https://ceds.ed.gov/elementComment.aspx?elementName=Organization Seeking Accreditation Date &amp;elementID=6388", "Click here to submit comment")</f>
        <v>Click here to submit comment</v>
      </c>
    </row>
    <row r="152" spans="1:14" ht="30">
      <c r="A152" s="3" t="s">
        <v>4367</v>
      </c>
      <c r="B152" s="3" t="s">
        <v>4368</v>
      </c>
      <c r="C152" s="3" t="s">
        <v>13</v>
      </c>
      <c r="D152" s="3" t="s">
        <v>4166</v>
      </c>
      <c r="E152" s="3"/>
      <c r="F152" s="3" t="s">
        <v>54</v>
      </c>
      <c r="G152" s="3" t="s">
        <v>93</v>
      </c>
      <c r="H152" s="3"/>
      <c r="I152" s="3"/>
      <c r="J152" s="3" t="s">
        <v>4369</v>
      </c>
      <c r="K152" s="3"/>
      <c r="L152" s="3" t="s">
        <v>4370</v>
      </c>
      <c r="M152" s="3" t="str">
        <f>HYPERLINK("https://ceds.ed.gov/cedselementdetails.aspx?termid=6300")</f>
        <v>https://ceds.ed.gov/cedselementdetails.aspx?termid=6300</v>
      </c>
      <c r="N152" s="3" t="str">
        <f>HYPERLINK("https://ceds.ed.gov/elementComment.aspx?elementName=Organization Type of Monitoring &amp;elementID=6300", "Click here to submit comment")</f>
        <v>Click here to submit comment</v>
      </c>
    </row>
    <row r="153" spans="1:14" ht="75">
      <c r="A153" s="3" t="s">
        <v>4371</v>
      </c>
      <c r="B153" s="3" t="s">
        <v>4372</v>
      </c>
      <c r="C153" s="3" t="s">
        <v>13</v>
      </c>
      <c r="D153" s="3" t="s">
        <v>1831</v>
      </c>
      <c r="E153" s="3"/>
      <c r="F153" s="3" t="s">
        <v>54</v>
      </c>
      <c r="G153" s="3" t="s">
        <v>100</v>
      </c>
      <c r="H153" s="3"/>
      <c r="I153" s="3"/>
      <c r="J153" s="3" t="s">
        <v>4373</v>
      </c>
      <c r="K153" s="3"/>
      <c r="L153" s="3" t="s">
        <v>4374</v>
      </c>
      <c r="M153" s="3" t="str">
        <f>HYPERLINK("https://ceds.ed.gov/cedselementdetails.aspx?termid=6389")</f>
        <v>https://ceds.ed.gov/cedselementdetails.aspx?termid=6389</v>
      </c>
      <c r="N153" s="3" t="str">
        <f>HYPERLINK("https://ceds.ed.gov/elementComment.aspx?elementName=Original Course Identifier &amp;elementID=6389", "Click here to submit comment")</f>
        <v>Click here to submit comment</v>
      </c>
    </row>
    <row r="154" spans="1:14" ht="409.5">
      <c r="A154" s="3" t="s">
        <v>4375</v>
      </c>
      <c r="B154" s="3" t="s">
        <v>4376</v>
      </c>
      <c r="C154" s="3" t="s">
        <v>13</v>
      </c>
      <c r="D154" s="3" t="s">
        <v>6270</v>
      </c>
      <c r="E154" s="3"/>
      <c r="F154" s="3" t="s">
        <v>54</v>
      </c>
      <c r="G154" s="3" t="s">
        <v>1368</v>
      </c>
      <c r="H154" s="3"/>
      <c r="I154" s="3" t="s">
        <v>4377</v>
      </c>
      <c r="J154" s="3" t="s">
        <v>4378</v>
      </c>
      <c r="K154" s="3"/>
      <c r="L154" s="3" t="s">
        <v>4379</v>
      </c>
      <c r="M154" s="3" t="str">
        <f>HYPERLINK("https://ceds.ed.gov/cedselementdetails.aspx?termid=6486")</f>
        <v>https://ceds.ed.gov/cedselementdetails.aspx?termid=6486</v>
      </c>
      <c r="N154" s="3" t="str">
        <f>HYPERLINK("https://ceds.ed.gov/elementComment.aspx?elementName=Other First Name &amp;elementID=6486", "Click here to submit comment")</f>
        <v>Click here to submit comment</v>
      </c>
    </row>
    <row r="155" spans="1:14" ht="409.5">
      <c r="A155" s="3" t="s">
        <v>4380</v>
      </c>
      <c r="B155" s="3" t="s">
        <v>4381</v>
      </c>
      <c r="C155" s="3" t="s">
        <v>13</v>
      </c>
      <c r="D155" s="3" t="s">
        <v>6270</v>
      </c>
      <c r="E155" s="3"/>
      <c r="F155" s="3" t="s">
        <v>54</v>
      </c>
      <c r="G155" s="3" t="s">
        <v>1368</v>
      </c>
      <c r="H155" s="3"/>
      <c r="I155" s="3" t="s">
        <v>4382</v>
      </c>
      <c r="J155" s="3" t="s">
        <v>4383</v>
      </c>
      <c r="K155" s="3"/>
      <c r="L155" s="3" t="s">
        <v>4384</v>
      </c>
      <c r="M155" s="3" t="str">
        <f>HYPERLINK("https://ceds.ed.gov/cedselementdetails.aspx?termid=6485")</f>
        <v>https://ceds.ed.gov/cedselementdetails.aspx?termid=6485</v>
      </c>
      <c r="N155" s="3" t="str">
        <f>HYPERLINK("https://ceds.ed.gov/elementComment.aspx?elementName=Other Last Name &amp;elementID=6485", "Click here to submit comment")</f>
        <v>Click here to submit comment</v>
      </c>
    </row>
    <row r="156" spans="1:14" ht="409.5">
      <c r="A156" s="3" t="s">
        <v>4385</v>
      </c>
      <c r="B156" s="3" t="s">
        <v>4386</v>
      </c>
      <c r="C156" s="3" t="s">
        <v>13</v>
      </c>
      <c r="D156" s="3" t="s">
        <v>6270</v>
      </c>
      <c r="E156" s="3"/>
      <c r="F156" s="3" t="s">
        <v>54</v>
      </c>
      <c r="G156" s="3" t="s">
        <v>1368</v>
      </c>
      <c r="H156" s="3"/>
      <c r="I156" s="3" t="s">
        <v>4387</v>
      </c>
      <c r="J156" s="3" t="s">
        <v>4388</v>
      </c>
      <c r="K156" s="3"/>
      <c r="L156" s="3" t="s">
        <v>4389</v>
      </c>
      <c r="M156" s="3" t="str">
        <f>HYPERLINK("https://ceds.ed.gov/cedselementdetails.aspx?termid=6487")</f>
        <v>https://ceds.ed.gov/cedselementdetails.aspx?termid=6487</v>
      </c>
      <c r="N156" s="3" t="str">
        <f>HYPERLINK("https://ceds.ed.gov/elementComment.aspx?elementName=Other Middle Name &amp;elementID=6487", "Click here to submit comment")</f>
        <v>Click here to submit comment</v>
      </c>
    </row>
    <row r="157" spans="1:14" ht="45">
      <c r="A157" s="3" t="s">
        <v>4398</v>
      </c>
      <c r="B157" s="3" t="s">
        <v>4399</v>
      </c>
      <c r="C157" s="3" t="s">
        <v>5963</v>
      </c>
      <c r="D157" s="3" t="s">
        <v>2787</v>
      </c>
      <c r="E157" s="3"/>
      <c r="F157" s="3" t="s">
        <v>54</v>
      </c>
      <c r="G157" s="3"/>
      <c r="H157" s="3"/>
      <c r="I157" s="3" t="s">
        <v>4400</v>
      </c>
      <c r="J157" s="3" t="s">
        <v>4401</v>
      </c>
      <c r="K157" s="3"/>
      <c r="L157" s="3" t="s">
        <v>4402</v>
      </c>
      <c r="M157" s="3" t="str">
        <f>HYPERLINK("https://ceds.ed.gov/cedselementdetails.aspx?termid=6390")</f>
        <v>https://ceds.ed.gov/cedselementdetails.aspx?termid=6390</v>
      </c>
      <c r="N157" s="3" t="str">
        <f>HYPERLINK("https://ceds.ed.gov/elementComment.aspx?elementName=Other Race Indicator &amp;elementID=6390", "Click here to submit comment")</f>
        <v>Click here to submit comment</v>
      </c>
    </row>
    <row r="158" spans="1:14" ht="45">
      <c r="A158" s="3" t="s">
        <v>4407</v>
      </c>
      <c r="B158" s="3" t="s">
        <v>4408</v>
      </c>
      <c r="C158" s="3" t="s">
        <v>13</v>
      </c>
      <c r="D158" s="3" t="s">
        <v>1831</v>
      </c>
      <c r="E158" s="3"/>
      <c r="F158" s="3" t="s">
        <v>54</v>
      </c>
      <c r="G158" s="3" t="s">
        <v>100</v>
      </c>
      <c r="H158" s="3"/>
      <c r="I158" s="3"/>
      <c r="J158" s="3" t="s">
        <v>4409</v>
      </c>
      <c r="K158" s="3"/>
      <c r="L158" s="3" t="s">
        <v>4410</v>
      </c>
      <c r="M158" s="3" t="str">
        <f>HYPERLINK("https://ceds.ed.gov/cedselementdetails.aspx?termid=6391")</f>
        <v>https://ceds.ed.gov/cedselementdetails.aspx?termid=6391</v>
      </c>
      <c r="N158" s="3" t="str">
        <f>HYPERLINK("https://ceds.ed.gov/elementComment.aspx?elementName=Override School Course Number &amp;elementID=6391", "Click here to submit comment")</f>
        <v>Click here to submit comment</v>
      </c>
    </row>
    <row r="159" spans="1:14" ht="45">
      <c r="A159" s="3" t="s">
        <v>4478</v>
      </c>
      <c r="B159" s="3" t="s">
        <v>4479</v>
      </c>
      <c r="C159" s="3" t="s">
        <v>13</v>
      </c>
      <c r="D159" s="3" t="s">
        <v>6149</v>
      </c>
      <c r="E159" s="3"/>
      <c r="F159" s="3" t="s">
        <v>54</v>
      </c>
      <c r="G159" s="3" t="s">
        <v>575</v>
      </c>
      <c r="H159" s="3"/>
      <c r="I159" s="3"/>
      <c r="J159" s="3" t="s">
        <v>4480</v>
      </c>
      <c r="K159" s="3"/>
      <c r="L159" s="3" t="s">
        <v>4481</v>
      </c>
      <c r="M159" s="3" t="str">
        <f>HYPERLINK("https://ceds.ed.gov/cedselementdetails.aspx?termid=6392")</f>
        <v>https://ceds.ed.gov/cedselementdetails.aspx?termid=6392</v>
      </c>
      <c r="N159" s="3" t="str">
        <f>HYPERLINK("https://ceds.ed.gov/elementComment.aspx?elementName=Person Relationship to Learner Contact Priority Number &amp;elementID=6392", "Click here to submit comment")</f>
        <v>Click here to submit comment</v>
      </c>
    </row>
    <row r="160" spans="1:14" ht="60">
      <c r="A160" s="3" t="s">
        <v>4482</v>
      </c>
      <c r="B160" s="3" t="s">
        <v>4483</v>
      </c>
      <c r="C160" s="3" t="s">
        <v>13</v>
      </c>
      <c r="D160" s="3" t="s">
        <v>6149</v>
      </c>
      <c r="E160" s="3"/>
      <c r="F160" s="3" t="s">
        <v>54</v>
      </c>
      <c r="G160" s="3" t="s">
        <v>319</v>
      </c>
      <c r="H160" s="3"/>
      <c r="I160" s="3"/>
      <c r="J160" s="3" t="s">
        <v>4484</v>
      </c>
      <c r="K160" s="3"/>
      <c r="L160" s="3" t="s">
        <v>4485</v>
      </c>
      <c r="M160" s="3" t="str">
        <f>HYPERLINK("https://ceds.ed.gov/cedselementdetails.aspx?termid=6393")</f>
        <v>https://ceds.ed.gov/cedselementdetails.aspx?termid=6393</v>
      </c>
      <c r="N160" s="3" t="str">
        <f>HYPERLINK("https://ceds.ed.gov/elementComment.aspx?elementName=Person Relationship to Learner Contact Restrictions Description &amp;elementID=6393", "Click here to submit comment")</f>
        <v>Click here to submit comment</v>
      </c>
    </row>
    <row r="161" spans="1:14" ht="45">
      <c r="A161" s="3" t="s">
        <v>4486</v>
      </c>
      <c r="B161" s="3" t="s">
        <v>4487</v>
      </c>
      <c r="C161" s="3" t="s">
        <v>5963</v>
      </c>
      <c r="D161" s="3" t="s">
        <v>6149</v>
      </c>
      <c r="E161" s="3"/>
      <c r="F161" s="3" t="s">
        <v>54</v>
      </c>
      <c r="G161" s="3"/>
      <c r="H161" s="3"/>
      <c r="I161" s="3"/>
      <c r="J161" s="3" t="s">
        <v>4488</v>
      </c>
      <c r="K161" s="3"/>
      <c r="L161" s="3" t="s">
        <v>4489</v>
      </c>
      <c r="M161" s="3" t="str">
        <f>HYPERLINK("https://ceds.ed.gov/cedselementdetails.aspx?termid=6394")</f>
        <v>https://ceds.ed.gov/cedselementdetails.aspx?termid=6394</v>
      </c>
      <c r="N161" s="3" t="str">
        <f>HYPERLINK("https://ceds.ed.gov/elementComment.aspx?elementName=Person Relationship to Learner Lives With Indicator &amp;elementID=6394", "Click here to submit comment")</f>
        <v>Click here to submit comment</v>
      </c>
    </row>
    <row r="162" spans="1:14" ht="105">
      <c r="A162" s="3" t="s">
        <v>4536</v>
      </c>
      <c r="B162" s="3" t="s">
        <v>4537</v>
      </c>
      <c r="C162" s="3" t="s">
        <v>5963</v>
      </c>
      <c r="D162" s="3" t="s">
        <v>53</v>
      </c>
      <c r="E162" s="3"/>
      <c r="F162" s="3" t="s">
        <v>54</v>
      </c>
      <c r="G162" s="3"/>
      <c r="H162" s="3"/>
      <c r="I162" s="3" t="s">
        <v>4538</v>
      </c>
      <c r="J162" s="3" t="s">
        <v>4539</v>
      </c>
      <c r="K162" s="3"/>
      <c r="L162" s="3" t="s">
        <v>4540</v>
      </c>
      <c r="M162" s="3" t="str">
        <f>HYPERLINK("https://ceds.ed.gov/cedselementdetails.aspx?termid=6395")</f>
        <v>https://ceds.ed.gov/cedselementdetails.aspx?termid=6395</v>
      </c>
      <c r="N162" s="3" t="str">
        <f>HYPERLINK("https://ceds.ed.gov/elementComment.aspx?elementName=Postsecondary Entering Student Indicator &amp;elementID=6395", "Click here to submit comment")</f>
        <v>Click here to submit comment</v>
      </c>
    </row>
    <row r="163" spans="1:14" ht="120">
      <c r="A163" s="3" t="s">
        <v>4541</v>
      </c>
      <c r="B163" s="3" t="s">
        <v>4542</v>
      </c>
      <c r="C163" s="3" t="s">
        <v>13</v>
      </c>
      <c r="D163" s="3" t="s">
        <v>53</v>
      </c>
      <c r="E163" s="3"/>
      <c r="F163" s="3" t="s">
        <v>54</v>
      </c>
      <c r="G163" s="3" t="s">
        <v>100</v>
      </c>
      <c r="H163" s="3"/>
      <c r="I163" s="3" t="s">
        <v>4538</v>
      </c>
      <c r="J163" s="3" t="s">
        <v>4543</v>
      </c>
      <c r="K163" s="3"/>
      <c r="L163" s="3" t="s">
        <v>4544</v>
      </c>
      <c r="M163" s="3" t="str">
        <f>HYPERLINK("https://ceds.ed.gov/cedselementdetails.aspx?termid=6396")</f>
        <v>https://ceds.ed.gov/cedselementdetails.aspx?termid=6396</v>
      </c>
      <c r="N163" s="3" t="str">
        <f>HYPERLINK("https://ceds.ed.gov/elementComment.aspx?elementName=Postsecondary Student Entering Term &amp;elementID=6396", "Click here to submit comment")</f>
        <v>Click here to submit comment</v>
      </c>
    </row>
    <row r="164" spans="1:14" ht="90">
      <c r="A164" s="3" t="s">
        <v>4583</v>
      </c>
      <c r="B164" s="3" t="s">
        <v>4584</v>
      </c>
      <c r="C164" s="3" t="s">
        <v>5963</v>
      </c>
      <c r="D164" s="3" t="s">
        <v>6284</v>
      </c>
      <c r="E164" s="3"/>
      <c r="F164" s="3" t="s">
        <v>54</v>
      </c>
      <c r="G164" s="3"/>
      <c r="H164" s="3"/>
      <c r="I164" s="3"/>
      <c r="J164" s="3" t="s">
        <v>4585</v>
      </c>
      <c r="K164" s="3"/>
      <c r="L164" s="3" t="s">
        <v>4586</v>
      </c>
      <c r="M164" s="3" t="str">
        <f>HYPERLINK("https://ceds.ed.gov/cedselementdetails.aspx?termid=6397")</f>
        <v>https://ceds.ed.gov/cedselementdetails.aspx?termid=6397</v>
      </c>
      <c r="N164" s="3" t="str">
        <f>HYPERLINK("https://ceds.ed.gov/elementComment.aspx?elementName=Primary Contact Indicator &amp;elementID=6397", "Click here to submit comment")</f>
        <v>Click here to submit comment</v>
      </c>
    </row>
    <row r="165" spans="1:14" ht="30">
      <c r="A165" s="3" t="s">
        <v>4615</v>
      </c>
      <c r="B165" s="3" t="s">
        <v>4616</v>
      </c>
      <c r="C165" s="3" t="s">
        <v>13</v>
      </c>
      <c r="D165" s="3" t="s">
        <v>4617</v>
      </c>
      <c r="E165" s="3"/>
      <c r="F165" s="3" t="s">
        <v>54</v>
      </c>
      <c r="G165" s="3" t="s">
        <v>100</v>
      </c>
      <c r="H165" s="3"/>
      <c r="I165" s="3"/>
      <c r="J165" s="3" t="s">
        <v>4618</v>
      </c>
      <c r="K165" s="3"/>
      <c r="L165" s="3" t="s">
        <v>4619</v>
      </c>
      <c r="M165" s="3" t="str">
        <f>HYPERLINK("https://ceds.ed.gov/cedselementdetails.aspx?termid=6398")</f>
        <v>https://ceds.ed.gov/cedselementdetails.aspx?termid=6398</v>
      </c>
      <c r="N165" s="3" t="str">
        <f>HYPERLINK("https://ceds.ed.gov/elementComment.aspx?elementName=Professional Certificate or License Number &amp;elementID=6398", "Click here to submit comment")</f>
        <v>Click here to submit comment</v>
      </c>
    </row>
    <row r="166" spans="1:14" ht="75">
      <c r="A166" s="3" t="s">
        <v>4620</v>
      </c>
      <c r="B166" s="3" t="s">
        <v>4621</v>
      </c>
      <c r="C166" s="3" t="s">
        <v>13</v>
      </c>
      <c r="D166" s="3" t="s">
        <v>6288</v>
      </c>
      <c r="E166" s="3"/>
      <c r="F166" s="3" t="s">
        <v>54</v>
      </c>
      <c r="G166" s="3" t="s">
        <v>100</v>
      </c>
      <c r="H166" s="3"/>
      <c r="I166" s="3"/>
      <c r="J166" s="3" t="s">
        <v>4622</v>
      </c>
      <c r="K166" s="3"/>
      <c r="L166" s="3" t="s">
        <v>4623</v>
      </c>
      <c r="M166" s="3" t="str">
        <f>HYPERLINK("https://ceds.ed.gov/cedselementdetails.aspx?termid=6402")</f>
        <v>https://ceds.ed.gov/cedselementdetails.aspx?termid=6402</v>
      </c>
      <c r="N166" s="3" t="str">
        <f>HYPERLINK("https://ceds.ed.gov/elementComment.aspx?elementName=Professional Development Activity Approval Code &amp;elementID=6402", "Click here to submit comment")</f>
        <v>Click here to submit comment</v>
      </c>
    </row>
    <row r="167" spans="1:14" ht="90">
      <c r="A167" s="3" t="s">
        <v>4624</v>
      </c>
      <c r="B167" s="3" t="s">
        <v>4625</v>
      </c>
      <c r="C167" s="4" t="s">
        <v>6611</v>
      </c>
      <c r="D167" s="3" t="s">
        <v>6288</v>
      </c>
      <c r="E167" s="3"/>
      <c r="F167" s="3" t="s">
        <v>54</v>
      </c>
      <c r="G167" s="3"/>
      <c r="H167" s="3"/>
      <c r="I167" s="3"/>
      <c r="J167" s="3" t="s">
        <v>4626</v>
      </c>
      <c r="K167" s="3"/>
      <c r="L167" s="3" t="s">
        <v>4627</v>
      </c>
      <c r="M167" s="3" t="str">
        <f>HYPERLINK("https://ceds.ed.gov/cedselementdetails.aspx?termid=6403")</f>
        <v>https://ceds.ed.gov/cedselementdetails.aspx?termid=6403</v>
      </c>
      <c r="N167" s="3" t="str">
        <f>HYPERLINK("https://ceds.ed.gov/elementComment.aspx?elementName=Professional Development Activity Approved For &amp;elementID=6403", "Click here to submit comment")</f>
        <v>Click here to submit comment</v>
      </c>
    </row>
    <row r="168" spans="1:14" ht="75">
      <c r="A168" s="3" t="s">
        <v>4628</v>
      </c>
      <c r="B168" s="3" t="s">
        <v>4629</v>
      </c>
      <c r="C168" s="3" t="s">
        <v>13</v>
      </c>
      <c r="D168" s="3" t="s">
        <v>6288</v>
      </c>
      <c r="E168" s="3"/>
      <c r="F168" s="3" t="s">
        <v>54</v>
      </c>
      <c r="G168" s="3" t="s">
        <v>100</v>
      </c>
      <c r="H168" s="3"/>
      <c r="I168" s="3"/>
      <c r="J168" s="3" t="s">
        <v>4630</v>
      </c>
      <c r="K168" s="3"/>
      <c r="L168" s="3" t="s">
        <v>4631</v>
      </c>
      <c r="M168" s="3" t="str">
        <f>HYPERLINK("https://ceds.ed.gov/cedselementdetails.aspx?termid=6404")</f>
        <v>https://ceds.ed.gov/cedselementdetails.aspx?termid=6404</v>
      </c>
      <c r="N168" s="3" t="str">
        <f>HYPERLINK("https://ceds.ed.gov/elementComment.aspx?elementName=Professional Development Activity Code &amp;elementID=6404", "Click here to submit comment")</f>
        <v>Click here to submit comment</v>
      </c>
    </row>
    <row r="169" spans="1:14" ht="75">
      <c r="A169" s="3" t="s">
        <v>4632</v>
      </c>
      <c r="B169" s="3" t="s">
        <v>4633</v>
      </c>
      <c r="C169" s="3" t="s">
        <v>13</v>
      </c>
      <c r="D169" s="3" t="s">
        <v>6288</v>
      </c>
      <c r="E169" s="3"/>
      <c r="F169" s="3" t="s">
        <v>54</v>
      </c>
      <c r="G169" s="3" t="s">
        <v>1461</v>
      </c>
      <c r="H169" s="3"/>
      <c r="I169" s="3"/>
      <c r="J169" s="3" t="s">
        <v>4634</v>
      </c>
      <c r="K169" s="3"/>
      <c r="L169" s="3" t="s">
        <v>4635</v>
      </c>
      <c r="M169" s="3" t="str">
        <f>HYPERLINK("https://ceds.ed.gov/cedselementdetails.aspx?termid=6405")</f>
        <v>https://ceds.ed.gov/cedselementdetails.aspx?termid=6405</v>
      </c>
      <c r="N169" s="3" t="str">
        <f>HYPERLINK("https://ceds.ed.gov/elementComment.aspx?elementName=Professional Development Activity Cost &amp;elementID=6405", "Click here to submit comment")</f>
        <v>Click here to submit comment</v>
      </c>
    </row>
    <row r="170" spans="1:14" ht="75">
      <c r="A170" s="3" t="s">
        <v>4636</v>
      </c>
      <c r="B170" s="3" t="s">
        <v>4637</v>
      </c>
      <c r="C170" s="4" t="s">
        <v>6612</v>
      </c>
      <c r="D170" s="3" t="s">
        <v>6288</v>
      </c>
      <c r="E170" s="3"/>
      <c r="F170" s="3" t="s">
        <v>54</v>
      </c>
      <c r="G170" s="3"/>
      <c r="H170" s="3"/>
      <c r="I170" s="3"/>
      <c r="J170" s="3" t="s">
        <v>4638</v>
      </c>
      <c r="K170" s="3"/>
      <c r="L170" s="3" t="s">
        <v>4639</v>
      </c>
      <c r="M170" s="3" t="str">
        <f>HYPERLINK("https://ceds.ed.gov/cedselementdetails.aspx?termid=6406")</f>
        <v>https://ceds.ed.gov/cedselementdetails.aspx?termid=6406</v>
      </c>
      <c r="N170" s="3" t="str">
        <f>HYPERLINK("https://ceds.ed.gov/elementComment.aspx?elementName=Professional Development Activity Credit Type &amp;elementID=6406", "Click here to submit comment")</f>
        <v>Click here to submit comment</v>
      </c>
    </row>
    <row r="171" spans="1:14" ht="75">
      <c r="A171" s="3" t="s">
        <v>4640</v>
      </c>
      <c r="B171" s="3" t="s">
        <v>4641</v>
      </c>
      <c r="C171" s="3" t="s">
        <v>13</v>
      </c>
      <c r="D171" s="3" t="s">
        <v>6288</v>
      </c>
      <c r="E171" s="3"/>
      <c r="F171" s="3" t="s">
        <v>54</v>
      </c>
      <c r="G171" s="3" t="s">
        <v>1461</v>
      </c>
      <c r="H171" s="3"/>
      <c r="I171" s="3"/>
      <c r="J171" s="3" t="s">
        <v>4642</v>
      </c>
      <c r="K171" s="3"/>
      <c r="L171" s="3" t="s">
        <v>4643</v>
      </c>
      <c r="M171" s="3" t="str">
        <f>HYPERLINK("https://ceds.ed.gov/cedselementdetails.aspx?termid=6407")</f>
        <v>https://ceds.ed.gov/cedselementdetails.aspx?termid=6407</v>
      </c>
      <c r="N171" s="3" t="str">
        <f>HYPERLINK("https://ceds.ed.gov/elementComment.aspx?elementName=Professional Development Activity Credits &amp;elementID=6407", "Click here to submit comment")</f>
        <v>Click here to submit comment</v>
      </c>
    </row>
    <row r="172" spans="1:14" ht="75">
      <c r="A172" s="3" t="s">
        <v>4644</v>
      </c>
      <c r="B172" s="3" t="s">
        <v>4645</v>
      </c>
      <c r="C172" s="3" t="s">
        <v>13</v>
      </c>
      <c r="D172" s="3" t="s">
        <v>6288</v>
      </c>
      <c r="E172" s="3"/>
      <c r="F172" s="3" t="s">
        <v>54</v>
      </c>
      <c r="G172" s="3" t="s">
        <v>319</v>
      </c>
      <c r="H172" s="3"/>
      <c r="I172" s="3"/>
      <c r="J172" s="3" t="s">
        <v>4646</v>
      </c>
      <c r="K172" s="3"/>
      <c r="L172" s="3" t="s">
        <v>4647</v>
      </c>
      <c r="M172" s="3" t="str">
        <f>HYPERLINK("https://ceds.ed.gov/cedselementdetails.aspx?termid=6408")</f>
        <v>https://ceds.ed.gov/cedselementdetails.aspx?termid=6408</v>
      </c>
      <c r="N172" s="3" t="str">
        <f>HYPERLINK("https://ceds.ed.gov/elementComment.aspx?elementName=Professional Development Activity Description &amp;elementID=6408", "Click here to submit comment")</f>
        <v>Click here to submit comment</v>
      </c>
    </row>
    <row r="173" spans="1:14" ht="409.5">
      <c r="A173" s="3" t="s">
        <v>4648</v>
      </c>
      <c r="B173" s="3" t="s">
        <v>4649</v>
      </c>
      <c r="C173" s="4" t="s">
        <v>6613</v>
      </c>
      <c r="D173" s="3" t="s">
        <v>4650</v>
      </c>
      <c r="E173" s="3"/>
      <c r="F173" s="3" t="s">
        <v>54</v>
      </c>
      <c r="G173" s="3"/>
      <c r="H173" s="3"/>
      <c r="I173" s="3" t="s">
        <v>4651</v>
      </c>
      <c r="J173" s="3" t="s">
        <v>4652</v>
      </c>
      <c r="K173" s="3"/>
      <c r="L173" s="3" t="s">
        <v>4653</v>
      </c>
      <c r="M173" s="3" t="str">
        <f>HYPERLINK("https://ceds.ed.gov/cedselementdetails.aspx?termid=6245")</f>
        <v>https://ceds.ed.gov/cedselementdetails.aspx?termid=6245</v>
      </c>
      <c r="N173" s="3" t="str">
        <f>HYPERLINK("https://ceds.ed.gov/elementComment.aspx?elementName=Professional Development Activity Education Levels Addressed &amp;elementID=6245", "Click here to submit comment")</f>
        <v>Click here to submit comment</v>
      </c>
    </row>
    <row r="174" spans="1:14" ht="75">
      <c r="A174" s="3" t="s">
        <v>4654</v>
      </c>
      <c r="B174" s="3" t="s">
        <v>4655</v>
      </c>
      <c r="C174" s="3" t="s">
        <v>13</v>
      </c>
      <c r="D174" s="3" t="s">
        <v>6288</v>
      </c>
      <c r="E174" s="3"/>
      <c r="F174" s="3" t="s">
        <v>54</v>
      </c>
      <c r="G174" s="3" t="s">
        <v>73</v>
      </c>
      <c r="H174" s="3"/>
      <c r="I174" s="3"/>
      <c r="J174" s="3" t="s">
        <v>4656</v>
      </c>
      <c r="K174" s="3"/>
      <c r="L174" s="3" t="s">
        <v>4657</v>
      </c>
      <c r="M174" s="3" t="str">
        <f>HYPERLINK("https://ceds.ed.gov/cedselementdetails.aspx?termid=6421")</f>
        <v>https://ceds.ed.gov/cedselementdetails.aspx?termid=6421</v>
      </c>
      <c r="N174" s="3" t="str">
        <f>HYPERLINK("https://ceds.ed.gov/elementComment.aspx?elementName=Professional Development Activity Expiration Date &amp;elementID=6421", "Click here to submit comment")</f>
        <v>Click here to submit comment</v>
      </c>
    </row>
    <row r="175" spans="1:14" ht="75">
      <c r="A175" s="3" t="s">
        <v>4664</v>
      </c>
      <c r="B175" s="3" t="s">
        <v>4665</v>
      </c>
      <c r="C175" s="3" t="s">
        <v>6289</v>
      </c>
      <c r="D175" s="3" t="s">
        <v>6288</v>
      </c>
      <c r="E175" s="3"/>
      <c r="F175" s="3" t="s">
        <v>54</v>
      </c>
      <c r="G175" s="3"/>
      <c r="H175" s="3"/>
      <c r="I175" s="3"/>
      <c r="J175" s="3" t="s">
        <v>4666</v>
      </c>
      <c r="K175" s="3"/>
      <c r="L175" s="3" t="s">
        <v>4667</v>
      </c>
      <c r="M175" s="3" t="str">
        <f>HYPERLINK("https://ceds.ed.gov/cedselementdetails.aspx?termid=6409")</f>
        <v>https://ceds.ed.gov/cedselementdetails.aspx?termid=6409</v>
      </c>
      <c r="N175" s="3" t="str">
        <f>HYPERLINK("https://ceds.ed.gov/elementComment.aspx?elementName=Professional Development Activity Level &amp;elementID=6409", "Click here to submit comment")</f>
        <v>Click here to submit comment</v>
      </c>
    </row>
    <row r="176" spans="1:14" ht="75">
      <c r="A176" s="3" t="s">
        <v>4668</v>
      </c>
      <c r="B176" s="3" t="s">
        <v>4669</v>
      </c>
      <c r="C176" s="3" t="s">
        <v>13</v>
      </c>
      <c r="D176" s="3" t="s">
        <v>6288</v>
      </c>
      <c r="E176" s="3"/>
      <c r="F176" s="3" t="s">
        <v>54</v>
      </c>
      <c r="G176" s="3" t="s">
        <v>319</v>
      </c>
      <c r="H176" s="3"/>
      <c r="I176" s="3"/>
      <c r="J176" s="3" t="s">
        <v>4670</v>
      </c>
      <c r="K176" s="3"/>
      <c r="L176" s="3" t="s">
        <v>4671</v>
      </c>
      <c r="M176" s="3" t="str">
        <f>HYPERLINK("https://ceds.ed.gov/cedselementdetails.aspx?termid=6410")</f>
        <v>https://ceds.ed.gov/cedselementdetails.aspx?termid=6410</v>
      </c>
      <c r="N176" s="3" t="str">
        <f>HYPERLINK("https://ceds.ed.gov/elementComment.aspx?elementName=Professional Development Activity Objective &amp;elementID=6410", "Click here to submit comment")</f>
        <v>Click here to submit comment</v>
      </c>
    </row>
    <row r="177" spans="1:14" ht="409.5">
      <c r="A177" s="3" t="s">
        <v>4672</v>
      </c>
      <c r="B177" s="3" t="s">
        <v>4673</v>
      </c>
      <c r="C177" s="4" t="s">
        <v>6614</v>
      </c>
      <c r="D177" s="3" t="s">
        <v>6288</v>
      </c>
      <c r="E177" s="3"/>
      <c r="F177" s="3" t="s">
        <v>54</v>
      </c>
      <c r="G177" s="3"/>
      <c r="H177" s="3"/>
      <c r="I177" s="3"/>
      <c r="J177" s="3" t="s">
        <v>4674</v>
      </c>
      <c r="K177" s="3"/>
      <c r="L177" s="3" t="s">
        <v>4675</v>
      </c>
      <c r="M177" s="3" t="str">
        <f>HYPERLINK("https://ceds.ed.gov/cedselementdetails.aspx?termid=6464")</f>
        <v>https://ceds.ed.gov/cedselementdetails.aspx?termid=6464</v>
      </c>
      <c r="N177" s="3" t="str">
        <f>HYPERLINK("https://ceds.ed.gov/elementComment.aspx?elementName=Professional Development Activity Target Audience &amp;elementID=6464", "Click here to submit comment")</f>
        <v>Click here to submit comment</v>
      </c>
    </row>
    <row r="178" spans="1:14" ht="165">
      <c r="A178" s="3" t="s">
        <v>4681</v>
      </c>
      <c r="B178" s="3" t="s">
        <v>4682</v>
      </c>
      <c r="C178" s="4" t="s">
        <v>6615</v>
      </c>
      <c r="D178" s="3" t="s">
        <v>6288</v>
      </c>
      <c r="E178" s="3"/>
      <c r="F178" s="3" t="s">
        <v>54</v>
      </c>
      <c r="G178" s="3"/>
      <c r="H178" s="3"/>
      <c r="I178" s="3" t="s">
        <v>4683</v>
      </c>
      <c r="J178" s="3" t="s">
        <v>4684</v>
      </c>
      <c r="K178" s="3"/>
      <c r="L178" s="3" t="s">
        <v>4685</v>
      </c>
      <c r="M178" s="3" t="str">
        <f>HYPERLINK("https://ceds.ed.gov/cedselementdetails.aspx?termid=6412")</f>
        <v>https://ceds.ed.gov/cedselementdetails.aspx?termid=6412</v>
      </c>
      <c r="N178" s="3" t="str">
        <f>HYPERLINK("https://ceds.ed.gov/elementComment.aspx?elementName=Professional Development Activity Type &amp;elementID=6412", "Click here to submit comment")</f>
        <v>Click here to submit comment</v>
      </c>
    </row>
    <row r="179" spans="1:14" ht="45">
      <c r="A179" s="3" t="s">
        <v>4686</v>
      </c>
      <c r="B179" s="3" t="s">
        <v>4687</v>
      </c>
      <c r="C179" s="3" t="s">
        <v>6254</v>
      </c>
      <c r="D179" s="3" t="s">
        <v>1542</v>
      </c>
      <c r="E179" s="3"/>
      <c r="F179" s="3" t="s">
        <v>54</v>
      </c>
      <c r="G179" s="3"/>
      <c r="H179" s="3"/>
      <c r="I179" s="3"/>
      <c r="J179" s="3" t="s">
        <v>4688</v>
      </c>
      <c r="K179" s="3"/>
      <c r="L179" s="3" t="s">
        <v>4689</v>
      </c>
      <c r="M179" s="3" t="str">
        <f>HYPERLINK("https://ceds.ed.gov/cedselementdetails.aspx?termid=6399")</f>
        <v>https://ceds.ed.gov/cedselementdetails.aspx?termid=6399</v>
      </c>
      <c r="N179" s="3" t="str">
        <f>HYPERLINK("https://ceds.ed.gov/elementComment.aspx?elementName=Professional Development Audience Type &amp;elementID=6399", "Click here to submit comment")</f>
        <v>Click here to submit comment</v>
      </c>
    </row>
    <row r="180" spans="1:14" ht="90">
      <c r="A180" s="3" t="s">
        <v>4690</v>
      </c>
      <c r="B180" s="3" t="s">
        <v>4691</v>
      </c>
      <c r="C180" s="4" t="s">
        <v>6616</v>
      </c>
      <c r="D180" s="3" t="s">
        <v>6290</v>
      </c>
      <c r="E180" s="3"/>
      <c r="F180" s="3" t="s">
        <v>54</v>
      </c>
      <c r="G180" s="3"/>
      <c r="H180" s="3"/>
      <c r="I180" s="3"/>
      <c r="J180" s="3" t="s">
        <v>4692</v>
      </c>
      <c r="K180" s="3"/>
      <c r="L180" s="3" t="s">
        <v>4693</v>
      </c>
      <c r="M180" s="3" t="str">
        <f>HYPERLINK("https://ceds.ed.gov/cedselementdetails.aspx?termid=6401")</f>
        <v>https://ceds.ed.gov/cedselementdetails.aspx?termid=6401</v>
      </c>
      <c r="N180" s="3" t="str">
        <f>HYPERLINK("https://ceds.ed.gov/elementComment.aspx?elementName=Professional Development Delivery Method &amp;elementID=6401", "Click here to submit comment")</f>
        <v>Click here to submit comment</v>
      </c>
    </row>
    <row r="181" spans="1:14" ht="90">
      <c r="A181" s="3" t="s">
        <v>4698</v>
      </c>
      <c r="B181" s="3" t="s">
        <v>4699</v>
      </c>
      <c r="C181" s="3" t="s">
        <v>13</v>
      </c>
      <c r="D181" s="3" t="s">
        <v>6290</v>
      </c>
      <c r="E181" s="3"/>
      <c r="F181" s="3" t="s">
        <v>54</v>
      </c>
      <c r="G181" s="3" t="s">
        <v>100</v>
      </c>
      <c r="H181" s="3"/>
      <c r="I181" s="3"/>
      <c r="J181" s="3" t="s">
        <v>4700</v>
      </c>
      <c r="K181" s="3"/>
      <c r="L181" s="3" t="s">
        <v>4701</v>
      </c>
      <c r="M181" s="3" t="str">
        <f>HYPERLINK("https://ceds.ed.gov/cedselementdetails.aspx?termid=6413")</f>
        <v>https://ceds.ed.gov/cedselementdetails.aspx?termid=6413</v>
      </c>
      <c r="N181" s="3" t="str">
        <f>HYPERLINK("https://ceds.ed.gov/elementComment.aspx?elementName=Professional Development Funding Source &amp;elementID=6413", "Click here to submit comment")</f>
        <v>Click here to submit comment</v>
      </c>
    </row>
    <row r="182" spans="1:14" ht="180">
      <c r="A182" s="3" t="s">
        <v>4702</v>
      </c>
      <c r="B182" s="3" t="s">
        <v>4703</v>
      </c>
      <c r="C182" s="4" t="s">
        <v>6618</v>
      </c>
      <c r="D182" s="3" t="s">
        <v>6290</v>
      </c>
      <c r="E182" s="3"/>
      <c r="F182" s="3" t="s">
        <v>54</v>
      </c>
      <c r="G182" s="3"/>
      <c r="H182" s="3"/>
      <c r="I182" s="3"/>
      <c r="J182" s="3" t="s">
        <v>4704</v>
      </c>
      <c r="K182" s="3"/>
      <c r="L182" s="3" t="s">
        <v>4705</v>
      </c>
      <c r="M182" s="3" t="str">
        <f>HYPERLINK("https://ceds.ed.gov/cedselementdetails.aspx?termid=6429")</f>
        <v>https://ceds.ed.gov/cedselementdetails.aspx?termid=6429</v>
      </c>
      <c r="N182" s="3" t="str">
        <f>HYPERLINK("https://ceds.ed.gov/elementComment.aspx?elementName=Professional Development Instructional Delivery Mode &amp;elementID=6429", "Click here to submit comment")</f>
        <v>Click here to submit comment</v>
      </c>
    </row>
    <row r="183" spans="1:14" ht="90">
      <c r="A183" s="3" t="s">
        <v>4706</v>
      </c>
      <c r="B183" s="3" t="s">
        <v>4707</v>
      </c>
      <c r="C183" s="3" t="s">
        <v>13</v>
      </c>
      <c r="D183" s="3" t="s">
        <v>6290</v>
      </c>
      <c r="E183" s="3"/>
      <c r="F183" s="3" t="s">
        <v>54</v>
      </c>
      <c r="G183" s="3" t="s">
        <v>100</v>
      </c>
      <c r="H183" s="3"/>
      <c r="I183" s="3"/>
      <c r="J183" s="3" t="s">
        <v>4708</v>
      </c>
      <c r="K183" s="3"/>
      <c r="L183" s="3" t="s">
        <v>4709</v>
      </c>
      <c r="M183" s="3" t="str">
        <f>HYPERLINK("https://ceds.ed.gov/cedselementdetails.aspx?termid=6414")</f>
        <v>https://ceds.ed.gov/cedselementdetails.aspx?termid=6414</v>
      </c>
      <c r="N183" s="3" t="str">
        <f>HYPERLINK("https://ceds.ed.gov/elementComment.aspx?elementName=Professional Development Instructor Identifier &amp;elementID=6414", "Click here to submit comment")</f>
        <v>Click here to submit comment</v>
      </c>
    </row>
    <row r="184" spans="1:14" ht="45">
      <c r="A184" s="3" t="s">
        <v>4710</v>
      </c>
      <c r="B184" s="3" t="s">
        <v>4711</v>
      </c>
      <c r="C184" s="3" t="s">
        <v>5963</v>
      </c>
      <c r="D184" s="3" t="s">
        <v>1542</v>
      </c>
      <c r="E184" s="3"/>
      <c r="F184" s="3" t="s">
        <v>54</v>
      </c>
      <c r="G184" s="3"/>
      <c r="H184" s="3"/>
      <c r="I184" s="3"/>
      <c r="J184" s="3" t="s">
        <v>4712</v>
      </c>
      <c r="K184" s="3"/>
      <c r="L184" s="3" t="s">
        <v>4713</v>
      </c>
      <c r="M184" s="3" t="str">
        <f>HYPERLINK("https://ceds.ed.gov/cedselementdetails.aspx?termid=6415")</f>
        <v>https://ceds.ed.gov/cedselementdetails.aspx?termid=6415</v>
      </c>
      <c r="N184" s="3" t="str">
        <f>HYPERLINK("https://ceds.ed.gov/elementComment.aspx?elementName=Professional Development Publish Activity Indicator &amp;elementID=6415", "Click here to submit comment")</f>
        <v>Click here to submit comment</v>
      </c>
    </row>
    <row r="185" spans="1:14" ht="90">
      <c r="A185" s="3" t="s">
        <v>4718</v>
      </c>
      <c r="B185" s="3" t="s">
        <v>4719</v>
      </c>
      <c r="C185" s="3" t="s">
        <v>13</v>
      </c>
      <c r="D185" s="3" t="s">
        <v>6290</v>
      </c>
      <c r="E185" s="3"/>
      <c r="F185" s="3" t="s">
        <v>54</v>
      </c>
      <c r="G185" s="3" t="s">
        <v>575</v>
      </c>
      <c r="H185" s="3"/>
      <c r="I185" s="3"/>
      <c r="J185" s="3" t="s">
        <v>4720</v>
      </c>
      <c r="K185" s="3"/>
      <c r="L185" s="3" t="s">
        <v>4721</v>
      </c>
      <c r="M185" s="3" t="str">
        <f>HYPERLINK("https://ceds.ed.gov/cedselementdetails.aspx?termid=6416")</f>
        <v>https://ceds.ed.gov/cedselementdetails.aspx?termid=6416</v>
      </c>
      <c r="N185" s="3" t="str">
        <f>HYPERLINK("https://ceds.ed.gov/elementComment.aspx?elementName=Professional Development Session Capacity &amp;elementID=6416", "Click here to submit comment")</f>
        <v>Click here to submit comment</v>
      </c>
    </row>
    <row r="186" spans="1:14" ht="90">
      <c r="A186" s="3" t="s">
        <v>4722</v>
      </c>
      <c r="B186" s="3" t="s">
        <v>4723</v>
      </c>
      <c r="C186" s="3" t="s">
        <v>13</v>
      </c>
      <c r="D186" s="3" t="s">
        <v>6290</v>
      </c>
      <c r="E186" s="3"/>
      <c r="F186" s="3" t="s">
        <v>54</v>
      </c>
      <c r="G186" s="3" t="s">
        <v>73</v>
      </c>
      <c r="H186" s="3"/>
      <c r="I186" s="3"/>
      <c r="J186" s="3" t="s">
        <v>4724</v>
      </c>
      <c r="K186" s="3"/>
      <c r="L186" s="3" t="s">
        <v>4725</v>
      </c>
      <c r="M186" s="3" t="str">
        <f>HYPERLINK("https://ceds.ed.gov/cedselementdetails.aspx?termid=6417")</f>
        <v>https://ceds.ed.gov/cedselementdetails.aspx?termid=6417</v>
      </c>
      <c r="N186" s="3" t="str">
        <f>HYPERLINK("https://ceds.ed.gov/elementComment.aspx?elementName=Professional Development Session End Date &amp;elementID=6417", "Click here to submit comment")</f>
        <v>Click here to submit comment</v>
      </c>
    </row>
    <row r="187" spans="1:14" ht="90">
      <c r="A187" s="3" t="s">
        <v>4726</v>
      </c>
      <c r="B187" s="3" t="s">
        <v>4727</v>
      </c>
      <c r="C187" s="3" t="s">
        <v>13</v>
      </c>
      <c r="D187" s="3" t="s">
        <v>6290</v>
      </c>
      <c r="E187" s="3"/>
      <c r="F187" s="3" t="s">
        <v>54</v>
      </c>
      <c r="G187" s="3" t="s">
        <v>4728</v>
      </c>
      <c r="H187" s="3"/>
      <c r="I187" s="3"/>
      <c r="J187" s="3" t="s">
        <v>4729</v>
      </c>
      <c r="K187" s="3"/>
      <c r="L187" s="3" t="s">
        <v>4730</v>
      </c>
      <c r="M187" s="3" t="str">
        <f>HYPERLINK("https://ceds.ed.gov/cedselementdetails.aspx?termid=6418")</f>
        <v>https://ceds.ed.gov/cedselementdetails.aspx?termid=6418</v>
      </c>
      <c r="N187" s="3" t="str">
        <f>HYPERLINK("https://ceds.ed.gov/elementComment.aspx?elementName=Professional Development Session End Time &amp;elementID=6418", "Click here to submit comment")</f>
        <v>Click here to submit comment</v>
      </c>
    </row>
    <row r="188" spans="1:14" ht="90">
      <c r="A188" s="3" t="s">
        <v>4731</v>
      </c>
      <c r="B188" s="3" t="s">
        <v>4732</v>
      </c>
      <c r="C188" s="3" t="s">
        <v>13</v>
      </c>
      <c r="D188" s="3" t="s">
        <v>6290</v>
      </c>
      <c r="E188" s="3"/>
      <c r="F188" s="3" t="s">
        <v>54</v>
      </c>
      <c r="G188" s="3" t="s">
        <v>100</v>
      </c>
      <c r="H188" s="3"/>
      <c r="I188" s="3"/>
      <c r="J188" s="3" t="s">
        <v>4733</v>
      </c>
      <c r="K188" s="3"/>
      <c r="L188" s="3" t="s">
        <v>4734</v>
      </c>
      <c r="M188" s="3" t="str">
        <f>HYPERLINK("https://ceds.ed.gov/cedselementdetails.aspx?termid=6419")</f>
        <v>https://ceds.ed.gov/cedselementdetails.aspx?termid=6419</v>
      </c>
      <c r="N188" s="3" t="str">
        <f>HYPERLINK("https://ceds.ed.gov/elementComment.aspx?elementName=Professional Development Session Evaluation Method &amp;elementID=6419", "Click here to submit comment")</f>
        <v>Click here to submit comment</v>
      </c>
    </row>
    <row r="189" spans="1:14" ht="90">
      <c r="A189" s="3" t="s">
        <v>4735</v>
      </c>
      <c r="B189" s="3" t="s">
        <v>4736</v>
      </c>
      <c r="C189" s="3" t="s">
        <v>13</v>
      </c>
      <c r="D189" s="3" t="s">
        <v>6290</v>
      </c>
      <c r="E189" s="3"/>
      <c r="F189" s="3" t="s">
        <v>54</v>
      </c>
      <c r="G189" s="3" t="s">
        <v>100</v>
      </c>
      <c r="H189" s="3"/>
      <c r="I189" s="3"/>
      <c r="J189" s="3" t="s">
        <v>4737</v>
      </c>
      <c r="K189" s="3"/>
      <c r="L189" s="3" t="s">
        <v>4738</v>
      </c>
      <c r="M189" s="3" t="str">
        <f>HYPERLINK("https://ceds.ed.gov/cedselementdetails.aspx?termid=6420")</f>
        <v>https://ceds.ed.gov/cedselementdetails.aspx?termid=6420</v>
      </c>
      <c r="N189" s="3" t="str">
        <f>HYPERLINK("https://ceds.ed.gov/elementComment.aspx?elementName=Professional Development Session Evaluation Score &amp;elementID=6420", "Click here to submit comment")</f>
        <v>Click here to submit comment</v>
      </c>
    </row>
    <row r="190" spans="1:14" ht="90">
      <c r="A190" s="3" t="s">
        <v>4739</v>
      </c>
      <c r="B190" s="3" t="s">
        <v>4740</v>
      </c>
      <c r="C190" s="3" t="s">
        <v>13</v>
      </c>
      <c r="D190" s="3" t="s">
        <v>6290</v>
      </c>
      <c r="E190" s="3"/>
      <c r="F190" s="3" t="s">
        <v>54</v>
      </c>
      <c r="G190" s="3" t="s">
        <v>100</v>
      </c>
      <c r="H190" s="3"/>
      <c r="I190" s="3"/>
      <c r="J190" s="3" t="s">
        <v>4741</v>
      </c>
      <c r="K190" s="3"/>
      <c r="L190" s="3" t="s">
        <v>4742</v>
      </c>
      <c r="M190" s="3" t="str">
        <f>HYPERLINK("https://ceds.ed.gov/cedselementdetails.aspx?termid=6422")</f>
        <v>https://ceds.ed.gov/cedselementdetails.aspx?termid=6422</v>
      </c>
      <c r="N190" s="3" t="str">
        <f>HYPERLINK("https://ceds.ed.gov/elementComment.aspx?elementName=Professional Development Session Identifier &amp;elementID=6422", "Click here to submit comment")</f>
        <v>Click here to submit comment</v>
      </c>
    </row>
    <row r="191" spans="1:14" ht="105">
      <c r="A191" s="3" t="s">
        <v>4743</v>
      </c>
      <c r="B191" s="3" t="s">
        <v>4744</v>
      </c>
      <c r="C191" s="3" t="s">
        <v>13</v>
      </c>
      <c r="D191" s="3" t="s">
        <v>6291</v>
      </c>
      <c r="E191" s="3"/>
      <c r="F191" s="3" t="s">
        <v>54</v>
      </c>
      <c r="G191" s="3" t="s">
        <v>106</v>
      </c>
      <c r="H191" s="3"/>
      <c r="I191" s="3"/>
      <c r="J191" s="3" t="s">
        <v>4745</v>
      </c>
      <c r="K191" s="3"/>
      <c r="L191" s="3" t="s">
        <v>4746</v>
      </c>
      <c r="M191" s="3" t="str">
        <f>HYPERLINK("https://ceds.ed.gov/cedselementdetails.aspx?termid=6424")</f>
        <v>https://ceds.ed.gov/cedselementdetails.aspx?termid=6424</v>
      </c>
      <c r="N191" s="3" t="str">
        <f>HYPERLINK("https://ceds.ed.gov/elementComment.aspx?elementName=Professional Development Session Location Name &amp;elementID=6424", "Click here to submit comment")</f>
        <v>Click here to submit comment</v>
      </c>
    </row>
    <row r="192" spans="1:14" ht="90">
      <c r="A192" s="3" t="s">
        <v>4747</v>
      </c>
      <c r="B192" s="3" t="s">
        <v>4748</v>
      </c>
      <c r="C192" s="3" t="s">
        <v>13</v>
      </c>
      <c r="D192" s="3" t="s">
        <v>6290</v>
      </c>
      <c r="E192" s="3"/>
      <c r="F192" s="3" t="s">
        <v>54</v>
      </c>
      <c r="G192" s="3" t="s">
        <v>73</v>
      </c>
      <c r="H192" s="3"/>
      <c r="I192" s="3"/>
      <c r="J192" s="3" t="s">
        <v>4749</v>
      </c>
      <c r="K192" s="3"/>
      <c r="L192" s="3" t="s">
        <v>4750</v>
      </c>
      <c r="M192" s="3" t="str">
        <f>HYPERLINK("https://ceds.ed.gov/cedselementdetails.aspx?termid=6426")</f>
        <v>https://ceds.ed.gov/cedselementdetails.aspx?termid=6426</v>
      </c>
      <c r="N192" s="3" t="str">
        <f>HYPERLINK("https://ceds.ed.gov/elementComment.aspx?elementName=Professional Development Session Start Date &amp;elementID=6426", "Click here to submit comment")</f>
        <v>Click here to submit comment</v>
      </c>
    </row>
    <row r="193" spans="1:14" ht="90">
      <c r="A193" s="3" t="s">
        <v>4751</v>
      </c>
      <c r="B193" s="3" t="s">
        <v>4752</v>
      </c>
      <c r="C193" s="3" t="s">
        <v>13</v>
      </c>
      <c r="D193" s="3" t="s">
        <v>6290</v>
      </c>
      <c r="E193" s="3"/>
      <c r="F193" s="3" t="s">
        <v>54</v>
      </c>
      <c r="G193" s="3" t="s">
        <v>4728</v>
      </c>
      <c r="H193" s="3"/>
      <c r="I193" s="3"/>
      <c r="J193" s="3" t="s">
        <v>4753</v>
      </c>
      <c r="K193" s="3"/>
      <c r="L193" s="3" t="s">
        <v>4754</v>
      </c>
      <c r="M193" s="3" t="str">
        <f>HYPERLINK("https://ceds.ed.gov/cedselementdetails.aspx?termid=6427")</f>
        <v>https://ceds.ed.gov/cedselementdetails.aspx?termid=6427</v>
      </c>
      <c r="N193" s="3" t="str">
        <f>HYPERLINK("https://ceds.ed.gov/elementComment.aspx?elementName=Professional Development Session Start Time &amp;elementID=6427", "Click here to submit comment")</f>
        <v>Click here to submit comment</v>
      </c>
    </row>
    <row r="194" spans="1:14" ht="90">
      <c r="A194" s="3" t="s">
        <v>4755</v>
      </c>
      <c r="B194" s="3" t="s">
        <v>4756</v>
      </c>
      <c r="C194" s="3" t="s">
        <v>6292</v>
      </c>
      <c r="D194" s="3" t="s">
        <v>6290</v>
      </c>
      <c r="E194" s="3"/>
      <c r="F194" s="3" t="s">
        <v>54</v>
      </c>
      <c r="G194" s="3"/>
      <c r="H194" s="3"/>
      <c r="I194" s="3"/>
      <c r="J194" s="3" t="s">
        <v>4757</v>
      </c>
      <c r="K194" s="3"/>
      <c r="L194" s="3" t="s">
        <v>4758</v>
      </c>
      <c r="M194" s="3" t="str">
        <f>HYPERLINK("https://ceds.ed.gov/cedselementdetails.aspx?termid=6428")</f>
        <v>https://ceds.ed.gov/cedselementdetails.aspx?termid=6428</v>
      </c>
      <c r="N194" s="3" t="str">
        <f>HYPERLINK("https://ceds.ed.gov/elementComment.aspx?elementName=Professional Development Session Status &amp;elementID=6428", "Click here to submit comment")</f>
        <v>Click here to submit comment</v>
      </c>
    </row>
    <row r="195" spans="1:14" ht="90">
      <c r="A195" s="3" t="s">
        <v>4899</v>
      </c>
      <c r="B195" s="3" t="s">
        <v>4900</v>
      </c>
      <c r="C195" s="4" t="s">
        <v>6632</v>
      </c>
      <c r="D195" s="3" t="s">
        <v>4166</v>
      </c>
      <c r="E195" s="3"/>
      <c r="F195" s="3" t="s">
        <v>54</v>
      </c>
      <c r="G195" s="3"/>
      <c r="H195" s="3"/>
      <c r="I195" s="3"/>
      <c r="J195" s="3" t="s">
        <v>4901</v>
      </c>
      <c r="K195" s="3"/>
      <c r="L195" s="3" t="s">
        <v>4902</v>
      </c>
      <c r="M195" s="3" t="str">
        <f>HYPERLINK("https://ceds.ed.gov/cedselementdetails.aspx?termid=6299")</f>
        <v>https://ceds.ed.gov/cedselementdetails.aspx?termid=6299</v>
      </c>
      <c r="N195" s="3" t="str">
        <f>HYPERLINK("https://ceds.ed.gov/elementComment.aspx?elementName=Purpose of Monitoring Visit &amp;elementID=6299", "Click here to submit comment")</f>
        <v>Click here to submit comment</v>
      </c>
    </row>
    <row r="196" spans="1:14" ht="30">
      <c r="A196" s="3" t="s">
        <v>4915</v>
      </c>
      <c r="B196" s="3" t="s">
        <v>4916</v>
      </c>
      <c r="C196" s="3" t="s">
        <v>13</v>
      </c>
      <c r="D196" s="3" t="s">
        <v>4917</v>
      </c>
      <c r="E196" s="3"/>
      <c r="F196" s="3" t="s">
        <v>54</v>
      </c>
      <c r="G196" s="3" t="s">
        <v>100</v>
      </c>
      <c r="H196" s="3"/>
      <c r="I196" s="3"/>
      <c r="J196" s="3" t="s">
        <v>4918</v>
      </c>
      <c r="K196" s="3"/>
      <c r="L196" s="3" t="s">
        <v>4919</v>
      </c>
      <c r="M196" s="3" t="str">
        <f>HYPERLINK("https://ceds.ed.gov/cedselementdetails.aspx?termid=6432")</f>
        <v>https://ceds.ed.gov/cedselementdetails.aspx?termid=6432</v>
      </c>
      <c r="N196" s="3" t="str">
        <f>HYPERLINK("https://ceds.ed.gov/elementComment.aspx?elementName=Quality Initiative Maximum Score &amp;elementID=6432", "Click here to submit comment")</f>
        <v>Click here to submit comment</v>
      </c>
    </row>
    <row r="197" spans="1:14" ht="30">
      <c r="A197" s="3" t="s">
        <v>4920</v>
      </c>
      <c r="B197" s="3" t="s">
        <v>4921</v>
      </c>
      <c r="C197" s="3" t="s">
        <v>13</v>
      </c>
      <c r="D197" s="3" t="s">
        <v>4917</v>
      </c>
      <c r="E197" s="3"/>
      <c r="F197" s="3" t="s">
        <v>54</v>
      </c>
      <c r="G197" s="3" t="s">
        <v>100</v>
      </c>
      <c r="H197" s="3"/>
      <c r="I197" s="3"/>
      <c r="J197" s="3" t="s">
        <v>4922</v>
      </c>
      <c r="K197" s="3"/>
      <c r="L197" s="3" t="s">
        <v>4923</v>
      </c>
      <c r="M197" s="3" t="str">
        <f>HYPERLINK("https://ceds.ed.gov/cedselementdetails.aspx?termid=6433")</f>
        <v>https://ceds.ed.gov/cedselementdetails.aspx?termid=6433</v>
      </c>
      <c r="N197" s="3" t="str">
        <f>HYPERLINK("https://ceds.ed.gov/elementComment.aspx?elementName=Quality Initiative Minimum Score &amp;elementID=6433", "Click here to submit comment")</f>
        <v>Click here to submit comment</v>
      </c>
    </row>
    <row r="198" spans="1:14" ht="30">
      <c r="A198" s="3" t="s">
        <v>4924</v>
      </c>
      <c r="B198" s="3" t="s">
        <v>4925</v>
      </c>
      <c r="C198" s="3" t="s">
        <v>13</v>
      </c>
      <c r="D198" s="3" t="s">
        <v>4917</v>
      </c>
      <c r="E198" s="3"/>
      <c r="F198" s="3" t="s">
        <v>54</v>
      </c>
      <c r="G198" s="3" t="s">
        <v>73</v>
      </c>
      <c r="H198" s="3"/>
      <c r="I198" s="3"/>
      <c r="J198" s="3" t="s">
        <v>4926</v>
      </c>
      <c r="K198" s="3"/>
      <c r="L198" s="3" t="s">
        <v>4927</v>
      </c>
      <c r="M198" s="3" t="str">
        <f>HYPERLINK("https://ceds.ed.gov/cedselementdetails.aspx?termid=6436")</f>
        <v>https://ceds.ed.gov/cedselementdetails.aspx?termid=6436</v>
      </c>
      <c r="N198" s="3" t="str">
        <f>HYPERLINK("https://ceds.ed.gov/elementComment.aspx?elementName=Quality Initiative Participation End Date &amp;elementID=6436", "Click here to submit comment")</f>
        <v>Click here to submit comment</v>
      </c>
    </row>
    <row r="199" spans="1:14" ht="45">
      <c r="A199" s="3" t="s">
        <v>4928</v>
      </c>
      <c r="B199" s="3" t="s">
        <v>4929</v>
      </c>
      <c r="C199" s="3" t="s">
        <v>5963</v>
      </c>
      <c r="D199" s="3" t="s">
        <v>4917</v>
      </c>
      <c r="E199" s="3"/>
      <c r="F199" s="3" t="s">
        <v>54</v>
      </c>
      <c r="G199" s="3"/>
      <c r="H199" s="3"/>
      <c r="I199" s="3"/>
      <c r="J199" s="3" t="s">
        <v>4930</v>
      </c>
      <c r="K199" s="3"/>
      <c r="L199" s="3" t="s">
        <v>4931</v>
      </c>
      <c r="M199" s="3" t="str">
        <f>HYPERLINK("https://ceds.ed.gov/cedselementdetails.aspx?termid=6435")</f>
        <v>https://ceds.ed.gov/cedselementdetails.aspx?termid=6435</v>
      </c>
      <c r="N199" s="3" t="str">
        <f>HYPERLINK("https://ceds.ed.gov/elementComment.aspx?elementName=Quality Initiative Participation Indicator &amp;elementID=6435", "Click here to submit comment")</f>
        <v>Click here to submit comment</v>
      </c>
    </row>
    <row r="200" spans="1:14" ht="30">
      <c r="A200" s="3" t="s">
        <v>4932</v>
      </c>
      <c r="B200" s="3" t="s">
        <v>4933</v>
      </c>
      <c r="C200" s="3" t="s">
        <v>13</v>
      </c>
      <c r="D200" s="3" t="s">
        <v>4917</v>
      </c>
      <c r="E200" s="3"/>
      <c r="F200" s="3" t="s">
        <v>54</v>
      </c>
      <c r="G200" s="3" t="s">
        <v>73</v>
      </c>
      <c r="H200" s="3"/>
      <c r="I200" s="3"/>
      <c r="J200" s="3" t="s">
        <v>4934</v>
      </c>
      <c r="K200" s="3"/>
      <c r="L200" s="3" t="s">
        <v>4935</v>
      </c>
      <c r="M200" s="3" t="str">
        <f>HYPERLINK("https://ceds.ed.gov/cedselementdetails.aspx?termid=6437")</f>
        <v>https://ceds.ed.gov/cedselementdetails.aspx?termid=6437</v>
      </c>
      <c r="N200" s="3" t="str">
        <f>HYPERLINK("https://ceds.ed.gov/elementComment.aspx?elementName=Quality Initiative Participation Start Date &amp;elementID=6437", "Click here to submit comment")</f>
        <v>Click here to submit comment</v>
      </c>
    </row>
    <row r="201" spans="1:14" ht="60">
      <c r="A201" s="3" t="s">
        <v>4936</v>
      </c>
      <c r="B201" s="3" t="s">
        <v>4937</v>
      </c>
      <c r="C201" s="3" t="s">
        <v>13</v>
      </c>
      <c r="D201" s="3" t="s">
        <v>4917</v>
      </c>
      <c r="E201" s="3"/>
      <c r="F201" s="3" t="s">
        <v>54</v>
      </c>
      <c r="G201" s="3" t="s">
        <v>100</v>
      </c>
      <c r="H201" s="3"/>
      <c r="I201" s="3"/>
      <c r="J201" s="3" t="s">
        <v>4938</v>
      </c>
      <c r="K201" s="3"/>
      <c r="L201" s="3" t="s">
        <v>4939</v>
      </c>
      <c r="M201" s="3" t="str">
        <f>HYPERLINK("https://ceds.ed.gov/cedselementdetails.aspx?termid=6434")</f>
        <v>https://ceds.ed.gov/cedselementdetails.aspx?termid=6434</v>
      </c>
      <c r="N201" s="3" t="str">
        <f>HYPERLINK("https://ceds.ed.gov/elementComment.aspx?elementName=Quality Initiative Score Level &amp;elementID=6434", "Click here to submit comment")</f>
        <v>Click here to submit comment</v>
      </c>
    </row>
    <row r="202" spans="1:14" ht="30">
      <c r="A202" s="3" t="s">
        <v>4967</v>
      </c>
      <c r="B202" s="3" t="s">
        <v>4968</v>
      </c>
      <c r="C202" s="3" t="s">
        <v>13</v>
      </c>
      <c r="D202" s="3" t="s">
        <v>3037</v>
      </c>
      <c r="E202" s="3"/>
      <c r="F202" s="3" t="s">
        <v>54</v>
      </c>
      <c r="G202" s="3" t="s">
        <v>319</v>
      </c>
      <c r="H202" s="3"/>
      <c r="I202" s="3"/>
      <c r="J202" s="3" t="s">
        <v>4969</v>
      </c>
      <c r="K202" s="3"/>
      <c r="L202" s="3" t="s">
        <v>4970</v>
      </c>
      <c r="M202" s="3" t="str">
        <f>HYPERLINK("https://ceds.ed.gov/cedselementdetails.aspx?termid=6460")</f>
        <v>https://ceds.ed.gov/cedselementdetails.aspx?termid=6460</v>
      </c>
      <c r="N202" s="3" t="str">
        <f>HYPERLINK("https://ceds.ed.gov/elementComment.aspx?elementName=Reason for Declined Services &amp;elementID=6460", "Click here to submit comment")</f>
        <v>Click here to submit comment</v>
      </c>
    </row>
    <row r="203" spans="1:14" ht="90">
      <c r="A203" s="3" t="s">
        <v>4971</v>
      </c>
      <c r="B203" s="3" t="s">
        <v>4972</v>
      </c>
      <c r="C203" s="4" t="s">
        <v>6635</v>
      </c>
      <c r="D203" s="3" t="s">
        <v>3037</v>
      </c>
      <c r="E203" s="3"/>
      <c r="F203" s="3" t="s">
        <v>54</v>
      </c>
      <c r="G203" s="3"/>
      <c r="H203" s="3"/>
      <c r="I203" s="3"/>
      <c r="J203" s="3" t="s">
        <v>4973</v>
      </c>
      <c r="K203" s="3"/>
      <c r="L203" s="3" t="s">
        <v>4974</v>
      </c>
      <c r="M203" s="3" t="str">
        <f>HYPERLINK("https://ceds.ed.gov/cedselementdetails.aspx?termid=6494")</f>
        <v>https://ceds.ed.gov/cedselementdetails.aspx?termid=6494</v>
      </c>
      <c r="N203" s="3" t="str">
        <f>HYPERLINK("https://ceds.ed.gov/elementComment.aspx?elementName=Reason for Delay of Transition Conference &amp;elementID=6494", "Click here to submit comment")</f>
        <v>Click here to submit comment</v>
      </c>
    </row>
    <row r="204" spans="1:14">
      <c r="A204" s="3" t="s">
        <v>4992</v>
      </c>
      <c r="B204" s="3" t="s">
        <v>4993</v>
      </c>
      <c r="C204" s="3" t="s">
        <v>13</v>
      </c>
      <c r="D204" s="3" t="s">
        <v>4994</v>
      </c>
      <c r="E204" s="3"/>
      <c r="F204" s="3" t="s">
        <v>54</v>
      </c>
      <c r="G204" s="3" t="s">
        <v>73</v>
      </c>
      <c r="H204" s="3"/>
      <c r="I204" s="3"/>
      <c r="J204" s="3" t="s">
        <v>4995</v>
      </c>
      <c r="K204" s="3"/>
      <c r="L204" s="3" t="s">
        <v>4996</v>
      </c>
      <c r="M204" s="3" t="str">
        <f>HYPERLINK("https://ceds.ed.gov/cedselementdetails.aspx?termid=6453")</f>
        <v>https://ceds.ed.gov/cedselementdetails.aspx?termid=6453</v>
      </c>
      <c r="N204" s="3" t="str">
        <f>HYPERLINK("https://ceds.ed.gov/elementComment.aspx?elementName=Referral Date &amp;elementID=6453", "Click here to submit comment")</f>
        <v>Click here to submit comment</v>
      </c>
    </row>
    <row r="205" spans="1:14" ht="135">
      <c r="A205" s="3" t="s">
        <v>4997</v>
      </c>
      <c r="B205" s="3" t="s">
        <v>4998</v>
      </c>
      <c r="C205" s="4" t="s">
        <v>6640</v>
      </c>
      <c r="D205" s="3" t="s">
        <v>4994</v>
      </c>
      <c r="E205" s="3"/>
      <c r="F205" s="3" t="s">
        <v>54</v>
      </c>
      <c r="G205" s="3"/>
      <c r="H205" s="3"/>
      <c r="I205" s="3"/>
      <c r="J205" s="3" t="s">
        <v>4999</v>
      </c>
      <c r="K205" s="3"/>
      <c r="L205" s="3" t="s">
        <v>5000</v>
      </c>
      <c r="M205" s="3" t="str">
        <f>HYPERLINK("https://ceds.ed.gov/cedselementdetails.aspx?termid=6454")</f>
        <v>https://ceds.ed.gov/cedselementdetails.aspx?termid=6454</v>
      </c>
      <c r="N205" s="3" t="str">
        <f>HYPERLINK("https://ceds.ed.gov/elementComment.aspx?elementName=Referral Outcome &amp;elementID=6454", "Click here to submit comment")</f>
        <v>Click here to submit comment</v>
      </c>
    </row>
    <row r="206" spans="1:14">
      <c r="A206" s="3" t="s">
        <v>5005</v>
      </c>
      <c r="B206" s="3" t="s">
        <v>5006</v>
      </c>
      <c r="C206" s="3" t="s">
        <v>13</v>
      </c>
      <c r="D206" s="3" t="s">
        <v>4994</v>
      </c>
      <c r="E206" s="3"/>
      <c r="F206" s="3" t="s">
        <v>54</v>
      </c>
      <c r="G206" s="3" t="s">
        <v>319</v>
      </c>
      <c r="H206" s="3"/>
      <c r="I206" s="3"/>
      <c r="J206" s="3" t="s">
        <v>5007</v>
      </c>
      <c r="K206" s="3"/>
      <c r="L206" s="3" t="s">
        <v>5008</v>
      </c>
      <c r="M206" s="3" t="str">
        <f>HYPERLINK("https://ceds.ed.gov/cedselementdetails.aspx?termid=6455")</f>
        <v>https://ceds.ed.gov/cedselementdetails.aspx?termid=6455</v>
      </c>
      <c r="N206" s="3" t="str">
        <f>HYPERLINK("https://ceds.ed.gov/elementComment.aspx?elementName=Referral Reason &amp;elementID=6455", "Click here to submit comment")</f>
        <v>Click here to submit comment</v>
      </c>
    </row>
    <row r="207" spans="1:14" ht="30">
      <c r="A207" s="3" t="s">
        <v>5009</v>
      </c>
      <c r="B207" s="3" t="s">
        <v>5010</v>
      </c>
      <c r="C207" s="3" t="s">
        <v>13</v>
      </c>
      <c r="D207" s="3" t="s">
        <v>4994</v>
      </c>
      <c r="E207" s="3"/>
      <c r="F207" s="3" t="s">
        <v>54</v>
      </c>
      <c r="G207" s="3" t="s">
        <v>106</v>
      </c>
      <c r="H207" s="3"/>
      <c r="I207" s="3"/>
      <c r="J207" s="3" t="s">
        <v>5011</v>
      </c>
      <c r="K207" s="3"/>
      <c r="L207" s="3" t="s">
        <v>5012</v>
      </c>
      <c r="M207" s="3" t="str">
        <f>HYPERLINK("https://ceds.ed.gov/cedselementdetails.aspx?termid=6456")</f>
        <v>https://ceds.ed.gov/cedselementdetails.aspx?termid=6456</v>
      </c>
      <c r="N207" s="3" t="str">
        <f>HYPERLINK("https://ceds.ed.gov/elementComment.aspx?elementName=Referral Source &amp;elementID=6456", "Click here to submit comment")</f>
        <v>Click here to submit comment</v>
      </c>
    </row>
    <row r="208" spans="1:14">
      <c r="A208" s="3" t="s">
        <v>5013</v>
      </c>
      <c r="B208" s="3" t="s">
        <v>5014</v>
      </c>
      <c r="C208" s="3" t="s">
        <v>13</v>
      </c>
      <c r="D208" s="3" t="s">
        <v>4994</v>
      </c>
      <c r="E208" s="3"/>
      <c r="F208" s="3" t="s">
        <v>54</v>
      </c>
      <c r="G208" s="3" t="s">
        <v>106</v>
      </c>
      <c r="H208" s="3"/>
      <c r="I208" s="3"/>
      <c r="J208" s="3" t="s">
        <v>5015</v>
      </c>
      <c r="K208" s="3"/>
      <c r="L208" s="3" t="s">
        <v>5016</v>
      </c>
      <c r="M208" s="3" t="str">
        <f>HYPERLINK("https://ceds.ed.gov/cedselementdetails.aspx?termid=6457")</f>
        <v>https://ceds.ed.gov/cedselementdetails.aspx?termid=6457</v>
      </c>
      <c r="N208" s="3" t="str">
        <f>HYPERLINK("https://ceds.ed.gov/elementComment.aspx?elementName=Referral Type &amp;elementID=6457", "Click here to submit comment")</f>
        <v>Click here to submit comment</v>
      </c>
    </row>
    <row r="209" spans="1:14" ht="30">
      <c r="A209" s="3" t="s">
        <v>5017</v>
      </c>
      <c r="B209" s="3" t="s">
        <v>5018</v>
      </c>
      <c r="C209" s="3" t="s">
        <v>13</v>
      </c>
      <c r="D209" s="3" t="s">
        <v>4994</v>
      </c>
      <c r="E209" s="3"/>
      <c r="F209" s="3" t="s">
        <v>54</v>
      </c>
      <c r="G209" s="3" t="s">
        <v>106</v>
      </c>
      <c r="H209" s="3"/>
      <c r="I209" s="3"/>
      <c r="J209" s="3" t="s">
        <v>5019</v>
      </c>
      <c r="K209" s="3"/>
      <c r="L209" s="3" t="s">
        <v>5020</v>
      </c>
      <c r="M209" s="3" t="str">
        <f>HYPERLINK("https://ceds.ed.gov/cedselementdetails.aspx?termid=6458")</f>
        <v>https://ceds.ed.gov/cedselementdetails.aspx?termid=6458</v>
      </c>
      <c r="N209" s="3" t="str">
        <f>HYPERLINK("https://ceds.ed.gov/elementComment.aspx?elementName=Referred To &amp;elementID=6458", "Click here to submit comment")</f>
        <v>Click here to submit comment</v>
      </c>
    </row>
    <row r="210" spans="1:14" ht="75">
      <c r="A210" s="3" t="s">
        <v>5053</v>
      </c>
      <c r="B210" s="3" t="s">
        <v>5054</v>
      </c>
      <c r="C210" s="3" t="s">
        <v>13</v>
      </c>
      <c r="D210" s="3" t="s">
        <v>5055</v>
      </c>
      <c r="E210" s="3"/>
      <c r="F210" s="3" t="s">
        <v>54</v>
      </c>
      <c r="G210" s="3" t="s">
        <v>100</v>
      </c>
      <c r="H210" s="3"/>
      <c r="I210" s="3" t="s">
        <v>5056</v>
      </c>
      <c r="J210" s="3" t="s">
        <v>5057</v>
      </c>
      <c r="K210" s="3"/>
      <c r="L210" s="3" t="s">
        <v>5058</v>
      </c>
      <c r="M210" s="3" t="str">
        <f>HYPERLINK("https://ceds.ed.gov/cedselementdetails.aspx?termid=6438")</f>
        <v>https://ceds.ed.gov/cedselementdetails.aspx?termid=6438</v>
      </c>
      <c r="N210" s="3" t="str">
        <f>HYPERLINK("https://ceds.ed.gov/elementComment.aspx?elementName=Responsible Organization Identifier &amp;elementID=6438", "Click here to submit comment")</f>
        <v>Click here to submit comment</v>
      </c>
    </row>
    <row r="211" spans="1:14" ht="120">
      <c r="A211" s="3" t="s">
        <v>5063</v>
      </c>
      <c r="B211" s="3" t="s">
        <v>5050</v>
      </c>
      <c r="C211" s="4" t="s">
        <v>6641</v>
      </c>
      <c r="D211" s="3" t="s">
        <v>5055</v>
      </c>
      <c r="E211" s="3"/>
      <c r="F211" s="3" t="s">
        <v>54</v>
      </c>
      <c r="G211" s="3"/>
      <c r="H211" s="3"/>
      <c r="I211" s="3" t="s">
        <v>5056</v>
      </c>
      <c r="J211" s="3" t="s">
        <v>5064</v>
      </c>
      <c r="K211" s="3"/>
      <c r="L211" s="3" t="s">
        <v>5065</v>
      </c>
      <c r="M211" s="3" t="str">
        <f>HYPERLINK("https://ceds.ed.gov/cedselementdetails.aspx?termid=6439")</f>
        <v>https://ceds.ed.gov/cedselementdetails.aspx?termid=6439</v>
      </c>
      <c r="N211" s="3" t="str">
        <f>HYPERLINK("https://ceds.ed.gov/elementComment.aspx?elementName=Responsible Organization Type &amp;elementID=6439", "Click here to submit comment")</f>
        <v>Click here to submit comment</v>
      </c>
    </row>
    <row r="212" spans="1:14" ht="90">
      <c r="A212" s="3" t="s">
        <v>5082</v>
      </c>
      <c r="B212" s="3" t="s">
        <v>5083</v>
      </c>
      <c r="C212" s="3" t="s">
        <v>13</v>
      </c>
      <c r="D212" s="3" t="s">
        <v>6306</v>
      </c>
      <c r="E212" s="3"/>
      <c r="F212" s="3" t="s">
        <v>54</v>
      </c>
      <c r="G212" s="3" t="s">
        <v>100</v>
      </c>
      <c r="H212" s="3"/>
      <c r="I212" s="3"/>
      <c r="J212" s="3" t="s">
        <v>5084</v>
      </c>
      <c r="K212" s="3"/>
      <c r="L212" s="3" t="s">
        <v>5085</v>
      </c>
      <c r="M212" s="3" t="str">
        <f>HYPERLINK("https://ceds.ed.gov/cedselementdetails.aspx?termid=6441")</f>
        <v>https://ceds.ed.gov/cedselementdetails.aspx?termid=6441</v>
      </c>
      <c r="N212" s="3" t="str">
        <f>HYPERLINK("https://ceds.ed.gov/elementComment.aspx?elementName=Rubric Criterion Category &amp;elementID=6441", "Click here to submit comment")</f>
        <v>Click here to submit comment</v>
      </c>
    </row>
    <row r="213" spans="1:14" ht="90">
      <c r="A213" s="3" t="s">
        <v>5086</v>
      </c>
      <c r="B213" s="3" t="s">
        <v>5087</v>
      </c>
      <c r="C213" s="3" t="s">
        <v>13</v>
      </c>
      <c r="D213" s="3" t="s">
        <v>6306</v>
      </c>
      <c r="E213" s="3"/>
      <c r="F213" s="3" t="s">
        <v>54</v>
      </c>
      <c r="G213" s="3" t="s">
        <v>319</v>
      </c>
      <c r="H213" s="3"/>
      <c r="I213" s="3"/>
      <c r="J213" s="3" t="s">
        <v>5088</v>
      </c>
      <c r="K213" s="3"/>
      <c r="L213" s="3" t="s">
        <v>5089</v>
      </c>
      <c r="M213" s="3" t="str">
        <f>HYPERLINK("https://ceds.ed.gov/cedselementdetails.aspx?termid=6442")</f>
        <v>https://ceds.ed.gov/cedselementdetails.aspx?termid=6442</v>
      </c>
      <c r="N213" s="3" t="str">
        <f>HYPERLINK("https://ceds.ed.gov/elementComment.aspx?elementName=Rubric Criterion Description &amp;elementID=6442", "Click here to submit comment")</f>
        <v>Click here to submit comment</v>
      </c>
    </row>
    <row r="214" spans="1:14" ht="90">
      <c r="A214" s="3" t="s">
        <v>5090</v>
      </c>
      <c r="B214" s="3" t="s">
        <v>5091</v>
      </c>
      <c r="C214" s="3" t="s">
        <v>13</v>
      </c>
      <c r="D214" s="3" t="s">
        <v>6306</v>
      </c>
      <c r="E214" s="3"/>
      <c r="F214" s="3" t="s">
        <v>54</v>
      </c>
      <c r="G214" s="3" t="s">
        <v>319</v>
      </c>
      <c r="H214" s="3"/>
      <c r="I214" s="3"/>
      <c r="J214" s="3" t="s">
        <v>5092</v>
      </c>
      <c r="K214" s="3"/>
      <c r="L214" s="3" t="s">
        <v>5093</v>
      </c>
      <c r="M214" s="3" t="str">
        <f>HYPERLINK("https://ceds.ed.gov/cedselementdetails.aspx?termid=6443")</f>
        <v>https://ceds.ed.gov/cedselementdetails.aspx?termid=6443</v>
      </c>
      <c r="N214" s="3" t="str">
        <f>HYPERLINK("https://ceds.ed.gov/elementComment.aspx?elementName=Rubric Criterion Level Description &amp;elementID=6443", "Click here to submit comment")</f>
        <v>Click here to submit comment</v>
      </c>
    </row>
    <row r="215" spans="1:14" ht="90">
      <c r="A215" s="3" t="s">
        <v>5094</v>
      </c>
      <c r="B215" s="3" t="s">
        <v>5095</v>
      </c>
      <c r="C215" s="3" t="s">
        <v>13</v>
      </c>
      <c r="D215" s="3" t="s">
        <v>6306</v>
      </c>
      <c r="E215" s="3"/>
      <c r="F215" s="3" t="s">
        <v>54</v>
      </c>
      <c r="G215" s="3" t="s">
        <v>319</v>
      </c>
      <c r="H215" s="3"/>
      <c r="I215" s="3"/>
      <c r="J215" s="3" t="s">
        <v>5096</v>
      </c>
      <c r="K215" s="3"/>
      <c r="L215" s="3" t="s">
        <v>5097</v>
      </c>
      <c r="M215" s="3" t="str">
        <f>HYPERLINK("https://ceds.ed.gov/cedselementdetails.aspx?termid=6444")</f>
        <v>https://ceds.ed.gov/cedselementdetails.aspx?termid=6444</v>
      </c>
      <c r="N215" s="3" t="str">
        <f>HYPERLINK("https://ceds.ed.gov/elementComment.aspx?elementName=Rubric Criterion Level Feedback &amp;elementID=6444", "Click here to submit comment")</f>
        <v>Click here to submit comment</v>
      </c>
    </row>
    <row r="216" spans="1:14" ht="90">
      <c r="A216" s="3" t="s">
        <v>5098</v>
      </c>
      <c r="B216" s="3" t="s">
        <v>5099</v>
      </c>
      <c r="C216" s="3" t="s">
        <v>13</v>
      </c>
      <c r="D216" s="3" t="s">
        <v>6306</v>
      </c>
      <c r="E216" s="3"/>
      <c r="F216" s="3" t="s">
        <v>54</v>
      </c>
      <c r="G216" s="3" t="s">
        <v>545</v>
      </c>
      <c r="H216" s="3"/>
      <c r="I216" s="3"/>
      <c r="J216" s="3" t="s">
        <v>5100</v>
      </c>
      <c r="K216" s="3"/>
      <c r="L216" s="3" t="s">
        <v>5101</v>
      </c>
      <c r="M216" s="3" t="str">
        <f>HYPERLINK("https://ceds.ed.gov/cedselementdetails.aspx?termid=6445")</f>
        <v>https://ceds.ed.gov/cedselementdetails.aspx?termid=6445</v>
      </c>
      <c r="N216" s="3" t="str">
        <f>HYPERLINK("https://ceds.ed.gov/elementComment.aspx?elementName=Rubric Criterion Level Position &amp;elementID=6445", "Click here to submit comment")</f>
        <v>Click here to submit comment</v>
      </c>
    </row>
    <row r="217" spans="1:14" ht="90">
      <c r="A217" s="3" t="s">
        <v>5102</v>
      </c>
      <c r="B217" s="3" t="s">
        <v>5103</v>
      </c>
      <c r="C217" s="3" t="s">
        <v>13</v>
      </c>
      <c r="D217" s="3" t="s">
        <v>6306</v>
      </c>
      <c r="E217" s="3"/>
      <c r="F217" s="3" t="s">
        <v>54</v>
      </c>
      <c r="G217" s="3" t="s">
        <v>106</v>
      </c>
      <c r="H217" s="3"/>
      <c r="I217" s="3"/>
      <c r="J217" s="3" t="s">
        <v>5104</v>
      </c>
      <c r="K217" s="3"/>
      <c r="L217" s="3" t="s">
        <v>5105</v>
      </c>
      <c r="M217" s="3" t="str">
        <f>HYPERLINK("https://ceds.ed.gov/cedselementdetails.aspx?termid=6446")</f>
        <v>https://ceds.ed.gov/cedselementdetails.aspx?termid=6446</v>
      </c>
      <c r="N217" s="3" t="str">
        <f>HYPERLINK("https://ceds.ed.gov/elementComment.aspx?elementName=Rubric Criterion Level Quality Label &amp;elementID=6446", "Click here to submit comment")</f>
        <v>Click here to submit comment</v>
      </c>
    </row>
    <row r="218" spans="1:14" ht="90">
      <c r="A218" s="3" t="s">
        <v>5106</v>
      </c>
      <c r="B218" s="3" t="s">
        <v>5107</v>
      </c>
      <c r="C218" s="3" t="s">
        <v>13</v>
      </c>
      <c r="D218" s="3" t="s">
        <v>6306</v>
      </c>
      <c r="E218" s="3"/>
      <c r="F218" s="3" t="s">
        <v>54</v>
      </c>
      <c r="G218" s="3" t="s">
        <v>545</v>
      </c>
      <c r="H218" s="3"/>
      <c r="I218" s="3"/>
      <c r="J218" s="3" t="s">
        <v>5108</v>
      </c>
      <c r="K218" s="3"/>
      <c r="L218" s="3" t="s">
        <v>5109</v>
      </c>
      <c r="M218" s="3" t="str">
        <f>HYPERLINK("https://ceds.ed.gov/cedselementdetails.aspx?termid=6447")</f>
        <v>https://ceds.ed.gov/cedselementdetails.aspx?termid=6447</v>
      </c>
      <c r="N218" s="3" t="str">
        <f>HYPERLINK("https://ceds.ed.gov/elementComment.aspx?elementName=Rubric Criterion Level Score &amp;elementID=6447", "Click here to submit comment")</f>
        <v>Click here to submit comment</v>
      </c>
    </row>
    <row r="219" spans="1:14" ht="90">
      <c r="A219" s="3" t="s">
        <v>5110</v>
      </c>
      <c r="B219" s="3" t="s">
        <v>5111</v>
      </c>
      <c r="C219" s="3" t="s">
        <v>13</v>
      </c>
      <c r="D219" s="3" t="s">
        <v>6306</v>
      </c>
      <c r="E219" s="3"/>
      <c r="F219" s="3" t="s">
        <v>54</v>
      </c>
      <c r="G219" s="3" t="s">
        <v>545</v>
      </c>
      <c r="H219" s="3"/>
      <c r="I219" s="3"/>
      <c r="J219" s="3" t="s">
        <v>5112</v>
      </c>
      <c r="K219" s="3"/>
      <c r="L219" s="3" t="s">
        <v>5113</v>
      </c>
      <c r="M219" s="3" t="str">
        <f>HYPERLINK("https://ceds.ed.gov/cedselementdetails.aspx?termid=6448")</f>
        <v>https://ceds.ed.gov/cedselementdetails.aspx?termid=6448</v>
      </c>
      <c r="N219" s="3" t="str">
        <f>HYPERLINK("https://ceds.ed.gov/elementComment.aspx?elementName=Rubric Criterion Position &amp;elementID=6448", "Click here to submit comment")</f>
        <v>Click here to submit comment</v>
      </c>
    </row>
    <row r="220" spans="1:14" ht="90">
      <c r="A220" s="3" t="s">
        <v>5114</v>
      </c>
      <c r="B220" s="3" t="s">
        <v>5115</v>
      </c>
      <c r="C220" s="3" t="s">
        <v>13</v>
      </c>
      <c r="D220" s="3" t="s">
        <v>6306</v>
      </c>
      <c r="E220" s="3"/>
      <c r="F220" s="3" t="s">
        <v>54</v>
      </c>
      <c r="G220" s="3" t="s">
        <v>106</v>
      </c>
      <c r="H220" s="3"/>
      <c r="I220" s="3"/>
      <c r="J220" s="3" t="s">
        <v>5116</v>
      </c>
      <c r="K220" s="3"/>
      <c r="L220" s="3" t="s">
        <v>5117</v>
      </c>
      <c r="M220" s="3" t="str">
        <f>HYPERLINK("https://ceds.ed.gov/cedselementdetails.aspx?termid=6449")</f>
        <v>https://ceds.ed.gov/cedselementdetails.aspx?termid=6449</v>
      </c>
      <c r="N220" s="3" t="str">
        <f>HYPERLINK("https://ceds.ed.gov/elementComment.aspx?elementName=Rubric Criterion Title &amp;elementID=6449", "Click here to submit comment")</f>
        <v>Click here to submit comment</v>
      </c>
    </row>
    <row r="221" spans="1:14" ht="90">
      <c r="A221" s="3" t="s">
        <v>5118</v>
      </c>
      <c r="B221" s="3" t="s">
        <v>5119</v>
      </c>
      <c r="C221" s="3" t="s">
        <v>13</v>
      </c>
      <c r="D221" s="3" t="s">
        <v>6306</v>
      </c>
      <c r="E221" s="3"/>
      <c r="F221" s="3" t="s">
        <v>54</v>
      </c>
      <c r="G221" s="3" t="s">
        <v>545</v>
      </c>
      <c r="H221" s="3"/>
      <c r="I221" s="3"/>
      <c r="J221" s="3" t="s">
        <v>5120</v>
      </c>
      <c r="K221" s="3"/>
      <c r="L221" s="3" t="s">
        <v>5121</v>
      </c>
      <c r="M221" s="3" t="str">
        <f>HYPERLINK("https://ceds.ed.gov/cedselementdetails.aspx?termid=6450")</f>
        <v>https://ceds.ed.gov/cedselementdetails.aspx?termid=6450</v>
      </c>
      <c r="N221" s="3" t="str">
        <f>HYPERLINK("https://ceds.ed.gov/elementComment.aspx?elementName=Rubric Criterion Weight &amp;elementID=6450", "Click here to submit comment")</f>
        <v>Click here to submit comment</v>
      </c>
    </row>
    <row r="222" spans="1:14" ht="90">
      <c r="A222" s="3" t="s">
        <v>5122</v>
      </c>
      <c r="B222" s="3" t="s">
        <v>5123</v>
      </c>
      <c r="C222" s="3" t="s">
        <v>13</v>
      </c>
      <c r="D222" s="3" t="s">
        <v>6306</v>
      </c>
      <c r="E222" s="3"/>
      <c r="F222" s="3" t="s">
        <v>54</v>
      </c>
      <c r="G222" s="3" t="s">
        <v>319</v>
      </c>
      <c r="H222" s="3"/>
      <c r="I222" s="3"/>
      <c r="J222" s="3" t="s">
        <v>5124</v>
      </c>
      <c r="K222" s="3"/>
      <c r="L222" s="3" t="s">
        <v>5125</v>
      </c>
      <c r="M222" s="3" t="str">
        <f>HYPERLINK("https://ceds.ed.gov/cedselementdetails.aspx?termid=6451")</f>
        <v>https://ceds.ed.gov/cedselementdetails.aspx?termid=6451</v>
      </c>
      <c r="N222" s="3" t="str">
        <f>HYPERLINK("https://ceds.ed.gov/elementComment.aspx?elementName=Rubric Description &amp;elementID=6451", "Click here to submit comment")</f>
        <v>Click here to submit comment</v>
      </c>
    </row>
    <row r="223" spans="1:14" ht="120">
      <c r="A223" s="3" t="s">
        <v>5186</v>
      </c>
      <c r="B223" s="3" t="s">
        <v>5187</v>
      </c>
      <c r="C223" s="5" t="s">
        <v>5188</v>
      </c>
      <c r="D223" s="3" t="s">
        <v>6105</v>
      </c>
      <c r="E223" s="3"/>
      <c r="F223" s="3" t="s">
        <v>54</v>
      </c>
      <c r="G223" s="3" t="s">
        <v>5189</v>
      </c>
      <c r="H223" s="3"/>
      <c r="I223" s="3" t="s">
        <v>5190</v>
      </c>
      <c r="J223" s="3" t="s">
        <v>5191</v>
      </c>
      <c r="K223" s="3" t="s">
        <v>5192</v>
      </c>
      <c r="L223" s="3" t="s">
        <v>5193</v>
      </c>
      <c r="M223" s="3" t="str">
        <f>HYPERLINK("https://ceds.ed.gov/cedselementdetails.aspx?termid=6490")</f>
        <v>https://ceds.ed.gov/cedselementdetails.aspx?termid=6490</v>
      </c>
      <c r="N223" s="3" t="str">
        <f>HYPERLINK("https://ceds.ed.gov/elementComment.aspx?elementName=School Codes for the Exchange of Data Course Code &amp;elementID=6490", "Click here to submit comment")</f>
        <v>Click here to submit comment</v>
      </c>
    </row>
    <row r="224" spans="1:14" ht="105">
      <c r="A224" s="3" t="s">
        <v>5194</v>
      </c>
      <c r="B224" s="3" t="s">
        <v>5195</v>
      </c>
      <c r="C224" s="4" t="s">
        <v>6643</v>
      </c>
      <c r="D224" s="3" t="s">
        <v>6105</v>
      </c>
      <c r="E224" s="3"/>
      <c r="F224" s="3" t="s">
        <v>54</v>
      </c>
      <c r="G224" s="3" t="s">
        <v>5196</v>
      </c>
      <c r="H224" s="3"/>
      <c r="I224" s="3"/>
      <c r="J224" s="3" t="s">
        <v>5197</v>
      </c>
      <c r="K224" s="3" t="s">
        <v>5198</v>
      </c>
      <c r="L224" s="3" t="s">
        <v>5199</v>
      </c>
      <c r="M224" s="3" t="str">
        <f>HYPERLINK("https://ceds.ed.gov/cedselementdetails.aspx?termid=6488")</f>
        <v>https://ceds.ed.gov/cedselementdetails.aspx?termid=6488</v>
      </c>
      <c r="N224" s="3" t="str">
        <f>HYPERLINK("https://ceds.ed.gov/elementComment.aspx?elementName=School Codes for the Exchange of Data Course Level &amp;elementID=6488", "Click here to submit comment")</f>
        <v>Click here to submit comment</v>
      </c>
    </row>
    <row r="225" spans="1:14" ht="409.5">
      <c r="A225" s="3" t="s">
        <v>5200</v>
      </c>
      <c r="B225" s="3" t="s">
        <v>5201</v>
      </c>
      <c r="C225" s="4" t="s">
        <v>6644</v>
      </c>
      <c r="D225" s="3" t="s">
        <v>6105</v>
      </c>
      <c r="E225" s="3"/>
      <c r="F225" s="3" t="s">
        <v>54</v>
      </c>
      <c r="G225" s="3" t="s">
        <v>5202</v>
      </c>
      <c r="H225" s="3"/>
      <c r="I225" s="3" t="s">
        <v>5203</v>
      </c>
      <c r="J225" s="3" t="s">
        <v>5204</v>
      </c>
      <c r="K225" s="3" t="s">
        <v>5205</v>
      </c>
      <c r="L225" s="3" t="s">
        <v>5206</v>
      </c>
      <c r="M225" s="3" t="str">
        <f>HYPERLINK("https://ceds.ed.gov/cedselementdetails.aspx?termid=6491")</f>
        <v>https://ceds.ed.gov/cedselementdetails.aspx?termid=6491</v>
      </c>
      <c r="N225" s="3" t="str">
        <f>HYPERLINK("https://ceds.ed.gov/elementComment.aspx?elementName=School Codes for the Exchange of Data Course Subject Area &amp;elementID=6491", "Click here to submit comment")</f>
        <v>Click here to submit comment</v>
      </c>
    </row>
    <row r="226" spans="1:14" ht="105">
      <c r="A226" s="3" t="s">
        <v>5207</v>
      </c>
      <c r="B226" s="3" t="s">
        <v>5208</v>
      </c>
      <c r="C226" s="3" t="s">
        <v>13</v>
      </c>
      <c r="D226" s="3" t="s">
        <v>3394</v>
      </c>
      <c r="E226" s="3"/>
      <c r="F226" s="3" t="s">
        <v>54</v>
      </c>
      <c r="G226" s="3" t="s">
        <v>5209</v>
      </c>
      <c r="H226" s="3"/>
      <c r="I226" s="3" t="s">
        <v>5210</v>
      </c>
      <c r="J226" s="3" t="s">
        <v>5211</v>
      </c>
      <c r="K226" s="3" t="s">
        <v>5212</v>
      </c>
      <c r="L226" s="3" t="s">
        <v>5213</v>
      </c>
      <c r="M226" s="3" t="str">
        <f>HYPERLINK("https://ceds.ed.gov/cedselementdetails.aspx?termid=6452")</f>
        <v>https://ceds.ed.gov/cedselementdetails.aspx?termid=6452</v>
      </c>
      <c r="N226" s="3" t="str">
        <f>HYPERLINK("https://ceds.ed.gov/elementComment.aspx?elementName=School Codes for the Exchange of Data Grade Span &amp;elementID=6452", "Click here to submit comment")</f>
        <v>Click here to submit comment</v>
      </c>
    </row>
    <row r="227" spans="1:14" ht="165">
      <c r="A227" s="3" t="s">
        <v>5361</v>
      </c>
      <c r="B227" s="3" t="s">
        <v>5362</v>
      </c>
      <c r="C227" s="3" t="s">
        <v>13</v>
      </c>
      <c r="D227" s="3" t="s">
        <v>6256</v>
      </c>
      <c r="E227" s="3"/>
      <c r="F227" s="3" t="s">
        <v>54</v>
      </c>
      <c r="G227" s="3" t="s">
        <v>100</v>
      </c>
      <c r="H227" s="3"/>
      <c r="I227" s="3" t="s">
        <v>5363</v>
      </c>
      <c r="J227" s="3" t="s">
        <v>5364</v>
      </c>
      <c r="K227" s="3"/>
      <c r="L227" s="3" t="s">
        <v>5365</v>
      </c>
      <c r="M227" s="3" t="str">
        <f>HYPERLINK("https://ceds.ed.gov/cedselementdetails.aspx?termid=6459")</f>
        <v>https://ceds.ed.gov/cedselementdetails.aspx?termid=6459</v>
      </c>
      <c r="N227" s="3" t="str">
        <f>HYPERLINK("https://ceds.ed.gov/elementComment.aspx?elementName=Short Name of Institution &amp;elementID=6459", "Click here to submit comment")</f>
        <v>Click here to submit comment</v>
      </c>
    </row>
    <row r="228" spans="1:14" ht="90">
      <c r="A228" s="3" t="s">
        <v>5443</v>
      </c>
      <c r="B228" s="3" t="s">
        <v>5444</v>
      </c>
      <c r="C228" s="3" t="s">
        <v>13</v>
      </c>
      <c r="D228" s="3" t="s">
        <v>6290</v>
      </c>
      <c r="E228" s="3"/>
      <c r="F228" s="3" t="s">
        <v>54</v>
      </c>
      <c r="G228" s="3" t="s">
        <v>106</v>
      </c>
      <c r="H228" s="3"/>
      <c r="I228" s="3"/>
      <c r="J228" s="3" t="s">
        <v>5445</v>
      </c>
      <c r="K228" s="3"/>
      <c r="L228" s="3" t="s">
        <v>5446</v>
      </c>
      <c r="M228" s="3" t="str">
        <f>HYPERLINK("https://ceds.ed.gov/cedselementdetails.aspx?termid=6461")</f>
        <v>https://ceds.ed.gov/cedselementdetails.aspx?termid=6461</v>
      </c>
      <c r="N228" s="3" t="str">
        <f>HYPERLINK("https://ceds.ed.gov/elementComment.aspx?elementName=Sponsoring Agency Name &amp;elementID=6461", "Click here to submit comment")</f>
        <v>Click here to submit comment</v>
      </c>
    </row>
    <row r="229" spans="1:14" ht="45">
      <c r="A229" s="3" t="s">
        <v>5537</v>
      </c>
      <c r="B229" s="3" t="s">
        <v>5538</v>
      </c>
      <c r="C229" s="3" t="s">
        <v>6325</v>
      </c>
      <c r="D229" s="3" t="s">
        <v>5539</v>
      </c>
      <c r="E229" s="3"/>
      <c r="F229" s="3" t="s">
        <v>54</v>
      </c>
      <c r="G229" s="3"/>
      <c r="H229" s="3"/>
      <c r="I229" s="3"/>
      <c r="J229" s="3" t="s">
        <v>5540</v>
      </c>
      <c r="K229" s="3"/>
      <c r="L229" s="3" t="s">
        <v>5541</v>
      </c>
      <c r="M229" s="3" t="str">
        <f>HYPERLINK("https://ceds.ed.gov/cedselementdetails.aspx?termid=6463")</f>
        <v>https://ceds.ed.gov/cedselementdetails.aspx?termid=6463</v>
      </c>
      <c r="N229" s="3" t="str">
        <f>HYPERLINK("https://ceds.ed.gov/elementComment.aspx?elementName=State Agency Identification System &amp;elementID=6463", "Click here to submit comment")</f>
        <v>Click here to submit comment</v>
      </c>
    </row>
    <row r="230" spans="1:14" ht="30">
      <c r="A230" s="3" t="s">
        <v>5542</v>
      </c>
      <c r="B230" s="3" t="s">
        <v>5543</v>
      </c>
      <c r="C230" s="3" t="s">
        <v>13</v>
      </c>
      <c r="D230" s="3" t="s">
        <v>5539</v>
      </c>
      <c r="E230" s="3"/>
      <c r="F230" s="3" t="s">
        <v>54</v>
      </c>
      <c r="G230" s="3" t="s">
        <v>100</v>
      </c>
      <c r="H230" s="3"/>
      <c r="I230" s="3"/>
      <c r="J230" s="3" t="s">
        <v>5544</v>
      </c>
      <c r="K230" s="3"/>
      <c r="L230" s="3" t="s">
        <v>5545</v>
      </c>
      <c r="M230" s="3" t="str">
        <f>HYPERLINK("https://ceds.ed.gov/cedselementdetails.aspx?termid=6462")</f>
        <v>https://ceds.ed.gov/cedselementdetails.aspx?termid=6462</v>
      </c>
      <c r="N230" s="3" t="str">
        <f>HYPERLINK("https://ceds.ed.gov/elementComment.aspx?elementName=State Agency Identifier &amp;elementID=6462", "Click here to submit comment")</f>
        <v>Click here to submit comment</v>
      </c>
    </row>
    <row r="231" spans="1:14" ht="135">
      <c r="A231" s="3" t="s">
        <v>5707</v>
      </c>
      <c r="B231" s="3" t="s">
        <v>5708</v>
      </c>
      <c r="C231" s="3" t="s">
        <v>5963</v>
      </c>
      <c r="D231" s="3" t="s">
        <v>6335</v>
      </c>
      <c r="E231" s="3"/>
      <c r="F231" s="3" t="s">
        <v>54</v>
      </c>
      <c r="G231" s="3"/>
      <c r="H231" s="3"/>
      <c r="I231" s="3"/>
      <c r="J231" s="3" t="s">
        <v>5709</v>
      </c>
      <c r="K231" s="3"/>
      <c r="L231" s="3" t="s">
        <v>5710</v>
      </c>
      <c r="M231" s="3" t="str">
        <f>HYPERLINK("https://ceds.ed.gov/cedselementdetails.aspx?termid=6465")</f>
        <v>https://ceds.ed.gov/cedselementdetails.aspx?termid=6465</v>
      </c>
      <c r="N231" s="3" t="str">
        <f>HYPERLINK("https://ceds.ed.gov/elementComment.aspx?elementName=Technical Assistance Approved Indicator &amp;elementID=6465", "Click here to submit comment")</f>
        <v>Click here to submit comment</v>
      </c>
    </row>
    <row r="232" spans="1:14" ht="135">
      <c r="A232" s="3" t="s">
        <v>5711</v>
      </c>
      <c r="B232" s="3" t="s">
        <v>5712</v>
      </c>
      <c r="C232" s="4" t="s">
        <v>6616</v>
      </c>
      <c r="D232" s="3" t="s">
        <v>6335</v>
      </c>
      <c r="E232" s="3"/>
      <c r="F232" s="3" t="s">
        <v>54</v>
      </c>
      <c r="G232" s="3"/>
      <c r="H232" s="3"/>
      <c r="I232" s="3"/>
      <c r="J232" s="3" t="s">
        <v>5713</v>
      </c>
      <c r="K232" s="3"/>
      <c r="L232" s="3" t="s">
        <v>5714</v>
      </c>
      <c r="M232" s="3" t="str">
        <f>HYPERLINK("https://ceds.ed.gov/cedselementdetails.aspx?termid=6466")</f>
        <v>https://ceds.ed.gov/cedselementdetails.aspx?termid=6466</v>
      </c>
      <c r="N232" s="3" t="str">
        <f>HYPERLINK("https://ceds.ed.gov/elementComment.aspx?elementName=Technical Assistance Delivery Type &amp;elementID=6466", "Click here to submit comment")</f>
        <v>Click here to submit comment</v>
      </c>
    </row>
    <row r="233" spans="1:14" ht="375">
      <c r="A233" s="3" t="s">
        <v>5715</v>
      </c>
      <c r="B233" s="3" t="s">
        <v>5716</v>
      </c>
      <c r="C233" s="4" t="s">
        <v>6673</v>
      </c>
      <c r="D233" s="3" t="s">
        <v>6335</v>
      </c>
      <c r="E233" s="3"/>
      <c r="F233" s="3" t="s">
        <v>54</v>
      </c>
      <c r="G233" s="3"/>
      <c r="H233" s="3"/>
      <c r="I233" s="3"/>
      <c r="J233" s="3" t="s">
        <v>5717</v>
      </c>
      <c r="K233" s="3"/>
      <c r="L233" s="3" t="s">
        <v>5718</v>
      </c>
      <c r="M233" s="3" t="str">
        <f>HYPERLINK("https://ceds.ed.gov/cedselementdetails.aspx?termid=6467")</f>
        <v>https://ceds.ed.gov/cedselementdetails.aspx?termid=6467</v>
      </c>
      <c r="N233" s="3" t="str">
        <f>HYPERLINK("https://ceds.ed.gov/elementComment.aspx?elementName=Technical Assistance Type &amp;elementID=6467", "Click here to submit comment")</f>
        <v>Click here to submit comment</v>
      </c>
    </row>
    <row r="234" spans="1:14" ht="30">
      <c r="A234" s="3" t="s">
        <v>5744</v>
      </c>
      <c r="B234" s="3" t="s">
        <v>5745</v>
      </c>
      <c r="C234" s="3" t="s">
        <v>13</v>
      </c>
      <c r="D234" s="3" t="s">
        <v>2267</v>
      </c>
      <c r="E234" s="3"/>
      <c r="F234" s="3" t="s">
        <v>54</v>
      </c>
      <c r="G234" s="3" t="s">
        <v>319</v>
      </c>
      <c r="H234" s="3"/>
      <c r="I234" s="3"/>
      <c r="J234" s="3" t="s">
        <v>5746</v>
      </c>
      <c r="K234" s="3"/>
      <c r="L234" s="3" t="s">
        <v>5747</v>
      </c>
      <c r="M234" s="3" t="str">
        <f>HYPERLINK("https://ceds.ed.gov/cedselementdetails.aspx?termid=6468")</f>
        <v>https://ceds.ed.gov/cedselementdetails.aspx?termid=6468</v>
      </c>
      <c r="N234" s="3" t="str">
        <f>HYPERLINK("https://ceds.ed.gov/elementComment.aspx?elementName=Thesis or Dissertation Title &amp;elementID=6468", "Click here to submit comment")</f>
        <v>Click here to submit comment</v>
      </c>
    </row>
    <row r="235" spans="1:14" ht="30">
      <c r="A235" s="3" t="s">
        <v>5859</v>
      </c>
      <c r="B235" s="3" t="s">
        <v>5860</v>
      </c>
      <c r="C235" s="3" t="s">
        <v>13</v>
      </c>
      <c r="D235" s="3" t="s">
        <v>3012</v>
      </c>
      <c r="E235" s="3"/>
      <c r="F235" s="3" t="s">
        <v>54</v>
      </c>
      <c r="G235" s="3" t="s">
        <v>319</v>
      </c>
      <c r="H235" s="3"/>
      <c r="I235" s="3"/>
      <c r="J235" s="3" t="s">
        <v>5861</v>
      </c>
      <c r="K235" s="3"/>
      <c r="L235" s="3" t="s">
        <v>5862</v>
      </c>
      <c r="M235" s="3" t="str">
        <f>HYPERLINK("https://ceds.ed.gov/cedselementdetails.aspx?termid=6469")</f>
        <v>https://ceds.ed.gov/cedselementdetails.aspx?termid=6469</v>
      </c>
      <c r="N235" s="3" t="str">
        <f>HYPERLINK("https://ceds.ed.gov/elementComment.aspx?elementName=Union Membership Name &amp;elementID=6469", "Click here to submit comment")</f>
        <v>Click here to submit comment</v>
      </c>
    </row>
    <row r="236" spans="1:14" ht="30">
      <c r="A236" s="3" t="s">
        <v>5912</v>
      </c>
      <c r="B236" s="3" t="s">
        <v>5913</v>
      </c>
      <c r="C236" s="3" t="s">
        <v>13</v>
      </c>
      <c r="D236" s="3" t="s">
        <v>3012</v>
      </c>
      <c r="E236" s="3"/>
      <c r="F236" s="3" t="s">
        <v>54</v>
      </c>
      <c r="G236" s="3" t="s">
        <v>575</v>
      </c>
      <c r="H236" s="3"/>
      <c r="I236" s="3"/>
      <c r="J236" s="3" t="s">
        <v>5914</v>
      </c>
      <c r="K236" s="3"/>
      <c r="L236" s="3" t="s">
        <v>5915</v>
      </c>
      <c r="M236" s="3" t="str">
        <f>HYPERLINK("https://ceds.ed.gov/cedselementdetails.aspx?termid=6470")</f>
        <v>https://ceds.ed.gov/cedselementdetails.aspx?termid=6470</v>
      </c>
      <c r="N236" s="3" t="str">
        <f>HYPERLINK("https://ceds.ed.gov/elementComment.aspx?elementName=Weeks Employed Per Year &amp;elementID=6470", "Click here to submit comment")</f>
        <v>Click here to submit comment</v>
      </c>
    </row>
    <row r="237" spans="1:14" ht="240">
      <c r="A237" s="3" t="s">
        <v>5928</v>
      </c>
      <c r="B237" s="3" t="s">
        <v>5929</v>
      </c>
      <c r="C237" s="4" t="s">
        <v>6695</v>
      </c>
      <c r="D237" s="3" t="s">
        <v>6344</v>
      </c>
      <c r="E237" s="3"/>
      <c r="F237" s="3" t="s">
        <v>54</v>
      </c>
      <c r="G237" s="3"/>
      <c r="H237" s="3"/>
      <c r="I237" s="3"/>
      <c r="J237" s="3" t="s">
        <v>5930</v>
      </c>
      <c r="K237" s="3"/>
      <c r="L237" s="3" t="s">
        <v>5931</v>
      </c>
      <c r="M237" s="3" t="str">
        <f>HYPERLINK("https://ceds.ed.gov/cedselementdetails.aspx?termid=6471")</f>
        <v>https://ceds.ed.gov/cedselementdetails.aspx?termid=6471</v>
      </c>
      <c r="N237" s="3" t="str">
        <f>HYPERLINK("https://ceds.ed.gov/elementComment.aspx?elementName=Work-based Learning Opportunity Type &amp;elementID=6471", "Click here to submit comment")</f>
        <v>Click here to submit comment</v>
      </c>
    </row>
  </sheetData>
  <autoFilter ref="A1:N237"/>
  <hyperlinks>
    <hyperlink ref="C31" r:id="rId1" display="http://nces.ed.gov/ipeds/cipcode/browse.aspx?y=55"/>
    <hyperlink ref="C113" r:id="rId2" display="languageCodes.aspx"/>
    <hyperlink ref="C223" r:id="rId3" display="ScedCourseCodes.aspx"/>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86"/>
  <sheetViews>
    <sheetView workbookViewId="0">
      <pane ySplit="1" topLeftCell="A2" activePane="bottomLeft" state="frozen"/>
      <selection pane="bottomLeft" activeCell="A2" sqref="A2"/>
    </sheetView>
  </sheetViews>
  <sheetFormatPr defaultRowHeight="15"/>
  <cols>
    <col min="1" max="5" width="36.5703125" style="9" bestFit="1" customWidth="1"/>
    <col min="6" max="6" width="11.140625" style="9" bestFit="1" customWidth="1"/>
    <col min="7" max="9" width="36.5703125" style="9" bestFit="1" customWidth="1"/>
    <col min="10" max="10" width="9" style="9" bestFit="1" customWidth="1"/>
    <col min="11" max="12" width="36.5703125" style="9" bestFit="1" customWidth="1"/>
    <col min="13" max="13" width="57" style="9" customWidth="1"/>
    <col min="14" max="14" width="31.85546875" style="9" customWidth="1"/>
    <col min="15" max="16384" width="9.140625" style="9"/>
  </cols>
  <sheetData>
    <row r="1" spans="1:14" s="8" customFormat="1" ht="30">
      <c r="A1" s="1" t="s">
        <v>6697</v>
      </c>
      <c r="B1" s="1" t="s">
        <v>6698</v>
      </c>
      <c r="C1" s="1" t="s">
        <v>6699</v>
      </c>
      <c r="D1" s="1" t="s">
        <v>6700</v>
      </c>
      <c r="E1" s="1" t="s">
        <v>6710</v>
      </c>
      <c r="F1" s="1" t="s">
        <v>6701</v>
      </c>
      <c r="G1" s="1" t="s">
        <v>6702</v>
      </c>
      <c r="H1" s="1" t="s">
        <v>6703</v>
      </c>
      <c r="I1" s="1" t="s">
        <v>6704</v>
      </c>
      <c r="J1" s="2" t="s">
        <v>6705</v>
      </c>
      <c r="K1" s="1" t="s">
        <v>6706</v>
      </c>
      <c r="L1" s="1" t="s">
        <v>6707</v>
      </c>
      <c r="M1" s="1" t="s">
        <v>6708</v>
      </c>
      <c r="N1" s="1" t="s">
        <v>6709</v>
      </c>
    </row>
    <row r="2" spans="1:14" ht="210">
      <c r="A2" s="3" t="s">
        <v>62</v>
      </c>
      <c r="B2" s="3" t="s">
        <v>63</v>
      </c>
      <c r="C2" s="4" t="s">
        <v>6351</v>
      </c>
      <c r="D2" s="3" t="s">
        <v>64</v>
      </c>
      <c r="E2" s="3" t="s">
        <v>65</v>
      </c>
      <c r="F2" s="3" t="s">
        <v>66</v>
      </c>
      <c r="G2" s="3"/>
      <c r="H2" s="3" t="s">
        <v>67</v>
      </c>
      <c r="I2" s="3" t="s">
        <v>68</v>
      </c>
      <c r="J2" s="3" t="s">
        <v>69</v>
      </c>
      <c r="K2" s="3"/>
      <c r="L2" s="3" t="s">
        <v>70</v>
      </c>
      <c r="M2" s="3" t="str">
        <f>HYPERLINK("https://ceds.ed.gov/cedselementdetails.aspx?termid=5983")</f>
        <v>https://ceds.ed.gov/cedselementdetails.aspx?termid=5983</v>
      </c>
      <c r="N2" s="3" t="str">
        <f>HYPERLINK("https://ceds.ed.gov/elementComment.aspx?elementName=Accreditation Agency &amp;elementID=5983", "Click here to submit comment")</f>
        <v>Click here to submit comment</v>
      </c>
    </row>
    <row r="3" spans="1:14" ht="75">
      <c r="A3" s="3" t="s">
        <v>91</v>
      </c>
      <c r="B3" s="3" t="s">
        <v>92</v>
      </c>
      <c r="C3" s="3" t="s">
        <v>13</v>
      </c>
      <c r="D3" s="3" t="s">
        <v>5969</v>
      </c>
      <c r="E3" s="3"/>
      <c r="F3" s="3" t="s">
        <v>66</v>
      </c>
      <c r="G3" s="3" t="s">
        <v>93</v>
      </c>
      <c r="H3" s="3" t="s">
        <v>94</v>
      </c>
      <c r="I3" s="3" t="s">
        <v>95</v>
      </c>
      <c r="J3" s="3" t="s">
        <v>96</v>
      </c>
      <c r="K3" s="3"/>
      <c r="L3" s="3" t="s">
        <v>97</v>
      </c>
      <c r="M3" s="3" t="str">
        <f>HYPERLINK("https://ceds.ed.gov/cedselementdetails.aspx?termid=5900")</f>
        <v>https://ceds.ed.gov/cedselementdetails.aspx?termid=5900</v>
      </c>
      <c r="N3" s="3" t="str">
        <f>HYPERLINK("https://ceds.ed.gov/elementComment.aspx?elementName=Achievement Award Issuer Origin URL &amp;elementID=5900", "Click here to submit comment")</f>
        <v>Click here to submit comment</v>
      </c>
    </row>
    <row r="4" spans="1:14" ht="255">
      <c r="A4" s="3" t="s">
        <v>165</v>
      </c>
      <c r="B4" s="3" t="s">
        <v>166</v>
      </c>
      <c r="C4" s="4" t="s">
        <v>6352</v>
      </c>
      <c r="D4" s="3" t="s">
        <v>5971</v>
      </c>
      <c r="E4" s="3"/>
      <c r="F4" s="3" t="s">
        <v>66</v>
      </c>
      <c r="G4" s="3"/>
      <c r="H4" s="3" t="s">
        <v>167</v>
      </c>
      <c r="I4" s="3"/>
      <c r="J4" s="3" t="s">
        <v>168</v>
      </c>
      <c r="K4" s="3"/>
      <c r="L4" s="3" t="s">
        <v>169</v>
      </c>
      <c r="M4" s="3" t="str">
        <f>HYPERLINK("https://ceds.ed.gov/cedselementdetails.aspx?termid=5589")</f>
        <v>https://ceds.ed.gov/cedselementdetails.aspx?termid=5589</v>
      </c>
      <c r="N4" s="3" t="str">
        <f>HYPERLINK("https://ceds.ed.gov/elementComment.aspx?elementName=Additional Credit Type &amp;elementID=5589", "Click here to submit comment")</f>
        <v>Click here to submit comment</v>
      </c>
    </row>
    <row r="5" spans="1:14" ht="345">
      <c r="A5" s="3" t="s">
        <v>191</v>
      </c>
      <c r="B5" s="3" t="s">
        <v>192</v>
      </c>
      <c r="C5" s="4" t="s">
        <v>6353</v>
      </c>
      <c r="D5" s="3" t="s">
        <v>5975</v>
      </c>
      <c r="E5" s="3" t="s">
        <v>5976</v>
      </c>
      <c r="F5" s="3" t="s">
        <v>66</v>
      </c>
      <c r="G5" s="3" t="s">
        <v>100</v>
      </c>
      <c r="H5" s="3" t="s">
        <v>193</v>
      </c>
      <c r="I5" s="3"/>
      <c r="J5" s="3" t="s">
        <v>194</v>
      </c>
      <c r="K5" s="3"/>
      <c r="L5" s="3" t="s">
        <v>195</v>
      </c>
      <c r="M5" s="3" t="str">
        <f>HYPERLINK("https://ceds.ed.gov/cedselementdetails.aspx?termid=5358")</f>
        <v>https://ceds.ed.gov/cedselementdetails.aspx?termid=5358</v>
      </c>
      <c r="N5" s="3" t="str">
        <f>HYPERLINK("https://ceds.ed.gov/elementComment.aspx?elementName=Address Type for Learner or Family &amp;elementID=5358", "Click here to submit comment")</f>
        <v>Click here to submit comment</v>
      </c>
    </row>
    <row r="6" spans="1:14" ht="120">
      <c r="A6" s="3" t="s">
        <v>227</v>
      </c>
      <c r="B6" s="3" t="s">
        <v>228</v>
      </c>
      <c r="C6" s="4" t="s">
        <v>6358</v>
      </c>
      <c r="D6" s="3" t="s">
        <v>229</v>
      </c>
      <c r="E6" s="3" t="s">
        <v>65</v>
      </c>
      <c r="F6" s="3" t="s">
        <v>66</v>
      </c>
      <c r="G6" s="3"/>
      <c r="H6" s="3" t="s">
        <v>230</v>
      </c>
      <c r="I6" s="3" t="s">
        <v>231</v>
      </c>
      <c r="J6" s="3" t="s">
        <v>232</v>
      </c>
      <c r="K6" s="3"/>
      <c r="L6" s="3" t="s">
        <v>233</v>
      </c>
      <c r="M6" s="3" t="str">
        <f>HYPERLINK("https://ceds.ed.gov/cedselementdetails.aspx?termid=5984")</f>
        <v>https://ceds.ed.gov/cedselementdetails.aspx?termid=5984</v>
      </c>
      <c r="N6" s="3" t="str">
        <f>HYPERLINK("https://ceds.ed.gov/elementComment.aspx?elementName=Administrative Policy Type &amp;elementID=5984", "Click here to submit comment")</f>
        <v>Click here to submit comment</v>
      </c>
    </row>
    <row r="7" spans="1:14" ht="75">
      <c r="A7" s="3" t="s">
        <v>246</v>
      </c>
      <c r="B7" s="3" t="s">
        <v>247</v>
      </c>
      <c r="C7" s="4" t="s">
        <v>6361</v>
      </c>
      <c r="D7" s="3" t="s">
        <v>248</v>
      </c>
      <c r="E7" s="3"/>
      <c r="F7" s="3" t="s">
        <v>66</v>
      </c>
      <c r="G7" s="3"/>
      <c r="H7" s="3" t="s">
        <v>193</v>
      </c>
      <c r="I7" s="3"/>
      <c r="J7" s="3" t="s">
        <v>249</v>
      </c>
      <c r="K7" s="3"/>
      <c r="L7" s="3" t="s">
        <v>250</v>
      </c>
      <c r="M7" s="3" t="str">
        <f>HYPERLINK("https://ceds.ed.gov/cedselementdetails.aspx?termid=5765")</f>
        <v>https://ceds.ed.gov/cedselementdetails.aspx?termid=5765</v>
      </c>
      <c r="N7" s="3" t="str">
        <f>HYPERLINK("https://ceds.ed.gov/elementComment.aspx?elementName=Adult Education Instructional Program Type &amp;elementID=5765", "Click here to submit comment")</f>
        <v>Click here to submit comment</v>
      </c>
    </row>
    <row r="8" spans="1:14" ht="195">
      <c r="A8" s="3" t="s">
        <v>259</v>
      </c>
      <c r="B8" s="3" t="s">
        <v>260</v>
      </c>
      <c r="C8" s="4" t="s">
        <v>6363</v>
      </c>
      <c r="D8" s="3" t="s">
        <v>261</v>
      </c>
      <c r="E8" s="3"/>
      <c r="F8" s="3" t="s">
        <v>66</v>
      </c>
      <c r="G8" s="3"/>
      <c r="H8" s="3" t="s">
        <v>193</v>
      </c>
      <c r="I8" s="3"/>
      <c r="J8" s="3" t="s">
        <v>262</v>
      </c>
      <c r="K8" s="3"/>
      <c r="L8" s="3" t="s">
        <v>263</v>
      </c>
      <c r="M8" s="3" t="str">
        <f>HYPERLINK("https://ceds.ed.gov/cedselementdetails.aspx?termid=5779")</f>
        <v>https://ceds.ed.gov/cedselementdetails.aspx?termid=5779</v>
      </c>
      <c r="N8" s="3" t="str">
        <f>HYPERLINK("https://ceds.ed.gov/elementComment.aspx?elementName=Adult Education Provider Type &amp;elementID=5779", "Click here to submit comment")</f>
        <v>Click here to submit comment</v>
      </c>
    </row>
    <row r="9" spans="1:14" ht="165">
      <c r="A9" s="3" t="s">
        <v>272</v>
      </c>
      <c r="B9" s="3" t="s">
        <v>273</v>
      </c>
      <c r="C9" s="4" t="s">
        <v>6365</v>
      </c>
      <c r="D9" s="3" t="s">
        <v>248</v>
      </c>
      <c r="E9" s="3"/>
      <c r="F9" s="3" t="s">
        <v>66</v>
      </c>
      <c r="G9" s="3"/>
      <c r="H9" s="3" t="s">
        <v>274</v>
      </c>
      <c r="I9" s="3" t="s">
        <v>275</v>
      </c>
      <c r="J9" s="3" t="s">
        <v>276</v>
      </c>
      <c r="K9" s="3"/>
      <c r="L9" s="3" t="s">
        <v>277</v>
      </c>
      <c r="M9" s="3" t="str">
        <f>HYPERLINK("https://ceds.ed.gov/cedselementdetails.aspx?termid=5766")</f>
        <v>https://ceds.ed.gov/cedselementdetails.aspx?termid=5766</v>
      </c>
      <c r="N9" s="3" t="str">
        <f>HYPERLINK("https://ceds.ed.gov/elementComment.aspx?elementName=Adult Education Special Program Type &amp;elementID=5766", "Click here to submit comment")</f>
        <v>Click here to submit comment</v>
      </c>
    </row>
    <row r="10" spans="1:14" ht="240">
      <c r="A10" s="3" t="s">
        <v>278</v>
      </c>
      <c r="B10" s="3" t="s">
        <v>279</v>
      </c>
      <c r="C10" s="4" t="s">
        <v>6366</v>
      </c>
      <c r="D10" s="3" t="s">
        <v>280</v>
      </c>
      <c r="E10" s="3"/>
      <c r="F10" s="3" t="s">
        <v>66</v>
      </c>
      <c r="G10" s="3"/>
      <c r="H10" s="3" t="s">
        <v>281</v>
      </c>
      <c r="I10" s="3"/>
      <c r="J10" s="3" t="s">
        <v>282</v>
      </c>
      <c r="K10" s="3"/>
      <c r="L10" s="3" t="s">
        <v>283</v>
      </c>
      <c r="M10" s="3" t="str">
        <f>HYPERLINK("https://ceds.ed.gov/cedselementdetails.aspx?termid=5770")</f>
        <v>https://ceds.ed.gov/cedselementdetails.aspx?termid=5770</v>
      </c>
      <c r="N10" s="3" t="str">
        <f>HYPERLINK("https://ceds.ed.gov/elementComment.aspx?elementName=Adult Education Staff Classification &amp;elementID=5770", "Click here to submit comment")</f>
        <v>Click here to submit comment</v>
      </c>
    </row>
    <row r="11" spans="1:14" ht="75">
      <c r="A11" s="3" t="s">
        <v>509</v>
      </c>
      <c r="B11" s="3" t="s">
        <v>510</v>
      </c>
      <c r="C11" s="3" t="s">
        <v>13</v>
      </c>
      <c r="D11" s="3" t="s">
        <v>6004</v>
      </c>
      <c r="E11" s="3"/>
      <c r="F11" s="3" t="s">
        <v>66</v>
      </c>
      <c r="G11" s="3" t="s">
        <v>73</v>
      </c>
      <c r="H11" s="3" t="s">
        <v>511</v>
      </c>
      <c r="I11" s="3"/>
      <c r="J11" s="3" t="s">
        <v>512</v>
      </c>
      <c r="K11" s="3"/>
      <c r="L11" s="3" t="s">
        <v>513</v>
      </c>
      <c r="M11" s="3" t="str">
        <f>HYPERLINK("https://ceds.ed.gov/cedselementdetails.aspx?termid=6138")</f>
        <v>https://ceds.ed.gov/cedselementdetails.aspx?termid=6138</v>
      </c>
      <c r="N11" s="3" t="str">
        <f>HYPERLINK("https://ceds.ed.gov/elementComment.aspx?elementName=Assessment Form Intended Administration End Date &amp;elementID=6138", "Click here to submit comment")</f>
        <v>Click here to submit comment</v>
      </c>
    </row>
    <row r="12" spans="1:14" ht="60">
      <c r="A12" s="3" t="s">
        <v>556</v>
      </c>
      <c r="B12" s="3" t="s">
        <v>557</v>
      </c>
      <c r="C12" s="3" t="s">
        <v>5963</v>
      </c>
      <c r="D12" s="3" t="s">
        <v>6009</v>
      </c>
      <c r="E12" s="3"/>
      <c r="F12" s="3" t="s">
        <v>66</v>
      </c>
      <c r="G12" s="3"/>
      <c r="H12" s="3" t="s">
        <v>558</v>
      </c>
      <c r="I12" s="3"/>
      <c r="J12" s="3" t="s">
        <v>559</v>
      </c>
      <c r="K12" s="3"/>
      <c r="L12" s="3" t="s">
        <v>560</v>
      </c>
      <c r="M12" s="3" t="str">
        <f>HYPERLINK("https://ceds.ed.gov/cedselementdetails.aspx?termid=6181")</f>
        <v>https://ceds.ed.gov/cedselementdetails.aspx?termid=6181</v>
      </c>
      <c r="N12" s="3" t="str">
        <f>HYPERLINK("https://ceds.ed.gov/elementComment.aspx?elementName=Assessment Form Subtest Container Only &amp;elementID=6181", "Click here to submit comment")</f>
        <v>Click here to submit comment</v>
      </c>
    </row>
    <row r="13" spans="1:14" ht="180">
      <c r="A13" s="3" t="s">
        <v>846</v>
      </c>
      <c r="B13" s="3" t="s">
        <v>847</v>
      </c>
      <c r="C13" s="4" t="s">
        <v>6385</v>
      </c>
      <c r="D13" s="3" t="s">
        <v>6026</v>
      </c>
      <c r="E13" s="3" t="s">
        <v>6018</v>
      </c>
      <c r="F13" s="3" t="s">
        <v>66</v>
      </c>
      <c r="G13" s="3"/>
      <c r="H13" s="3" t="s">
        <v>848</v>
      </c>
      <c r="I13" s="3"/>
      <c r="J13" s="3" t="s">
        <v>849</v>
      </c>
      <c r="K13" s="3"/>
      <c r="L13" s="3" t="s">
        <v>850</v>
      </c>
      <c r="M13" s="3" t="str">
        <f>HYPERLINK("https://ceds.ed.gov/cedselementdetails.aspx?termid=5396")</f>
        <v>https://ceds.ed.gov/cedselementdetails.aspx?termid=5396</v>
      </c>
      <c r="N13" s="3" t="str">
        <f>HYPERLINK("https://ceds.ed.gov/elementComment.aspx?elementName=Assessment Item Response Status &amp;elementID=5396", "Click here to submit comment")</f>
        <v>Click here to submit comment</v>
      </c>
    </row>
    <row r="14" spans="1:14" ht="409.5">
      <c r="A14" s="3" t="s">
        <v>1176</v>
      </c>
      <c r="B14" s="3" t="s">
        <v>1177</v>
      </c>
      <c r="C14" s="4" t="s">
        <v>6400</v>
      </c>
      <c r="D14" s="3" t="s">
        <v>6049</v>
      </c>
      <c r="E14" s="3"/>
      <c r="F14" s="3" t="s">
        <v>66</v>
      </c>
      <c r="G14" s="3"/>
      <c r="H14" s="3" t="s">
        <v>1178</v>
      </c>
      <c r="I14" s="3" t="s">
        <v>1179</v>
      </c>
      <c r="J14" s="3" t="s">
        <v>1180</v>
      </c>
      <c r="K14" s="3"/>
      <c r="L14" s="3" t="s">
        <v>1181</v>
      </c>
      <c r="M14" s="3" t="str">
        <f>HYPERLINK("https://ceds.ed.gov/cedselementdetails.aspx?termid=6063")</f>
        <v>https://ceds.ed.gov/cedselementdetails.aspx?termid=6063</v>
      </c>
      <c r="N14" s="3" t="str">
        <f>HYPERLINK("https://ceds.ed.gov/elementComment.aspx?elementName=Assessment Registration Grade Level To Be Assessed &amp;elementID=6063", "Click here to submit comment")</f>
        <v>Click here to submit comment</v>
      </c>
    </row>
    <row r="15" spans="1:14" ht="90">
      <c r="A15" s="3" t="s">
        <v>1209</v>
      </c>
      <c r="B15" s="3" t="s">
        <v>1210</v>
      </c>
      <c r="C15" s="3" t="s">
        <v>13</v>
      </c>
      <c r="D15" s="3" t="s">
        <v>6053</v>
      </c>
      <c r="E15" s="3" t="s">
        <v>6018</v>
      </c>
      <c r="F15" s="3" t="s">
        <v>66</v>
      </c>
      <c r="G15" s="3" t="s">
        <v>100</v>
      </c>
      <c r="H15" s="3" t="s">
        <v>1211</v>
      </c>
      <c r="I15" s="3"/>
      <c r="J15" s="3" t="s">
        <v>1212</v>
      </c>
      <c r="K15" s="3"/>
      <c r="L15" s="3" t="s">
        <v>1213</v>
      </c>
      <c r="M15" s="3" t="str">
        <f>HYPERLINK("https://ceds.ed.gov/cedselementdetails.aspx?termid=5412")</f>
        <v>https://ceds.ed.gov/cedselementdetails.aspx?termid=5412</v>
      </c>
      <c r="N15" s="3" t="str">
        <f>HYPERLINK("https://ceds.ed.gov/elementComment.aspx?elementName=Assessment Rubric Identifier &amp;elementID=5412", "Click here to submit comment")</f>
        <v>Click here to submit comment</v>
      </c>
    </row>
    <row r="16" spans="1:14" ht="90">
      <c r="A16" s="3" t="s">
        <v>1214</v>
      </c>
      <c r="B16" s="3" t="s">
        <v>1215</v>
      </c>
      <c r="C16" s="3" t="s">
        <v>13</v>
      </c>
      <c r="D16" s="3" t="s">
        <v>6053</v>
      </c>
      <c r="E16" s="3" t="s">
        <v>6018</v>
      </c>
      <c r="F16" s="3" t="s">
        <v>66</v>
      </c>
      <c r="G16" s="3" t="s">
        <v>100</v>
      </c>
      <c r="H16" s="3" t="s">
        <v>1216</v>
      </c>
      <c r="I16" s="3"/>
      <c r="J16" s="3" t="s">
        <v>1217</v>
      </c>
      <c r="K16" s="3"/>
      <c r="L16" s="3" t="s">
        <v>1218</v>
      </c>
      <c r="M16" s="3" t="str">
        <f>HYPERLINK("https://ceds.ed.gov/cedselementdetails.aspx?termid=5411")</f>
        <v>https://ceds.ed.gov/cedselementdetails.aspx?termid=5411</v>
      </c>
      <c r="N16" s="3" t="str">
        <f>HYPERLINK("https://ceds.ed.gov/elementComment.aspx?elementName=Assessment Rubric Title &amp;elementID=5411", "Click here to submit comment")</f>
        <v>Click here to submit comment</v>
      </c>
    </row>
    <row r="17" spans="1:14" ht="90">
      <c r="A17" s="3" t="s">
        <v>1219</v>
      </c>
      <c r="B17" s="3" t="s">
        <v>1220</v>
      </c>
      <c r="C17" s="3" t="s">
        <v>13</v>
      </c>
      <c r="D17" s="3" t="s">
        <v>6053</v>
      </c>
      <c r="E17" s="3" t="s">
        <v>6018</v>
      </c>
      <c r="F17" s="3" t="s">
        <v>66</v>
      </c>
      <c r="G17" s="3" t="s">
        <v>100</v>
      </c>
      <c r="H17" s="3" t="s">
        <v>1221</v>
      </c>
      <c r="I17" s="3"/>
      <c r="J17" s="3" t="s">
        <v>1222</v>
      </c>
      <c r="K17" s="3"/>
      <c r="L17" s="3" t="s">
        <v>1223</v>
      </c>
      <c r="M17" s="3" t="str">
        <f>HYPERLINK("https://ceds.ed.gov/cedselementdetails.aspx?termid=5413")</f>
        <v>https://ceds.ed.gov/cedselementdetails.aspx?termid=5413</v>
      </c>
      <c r="N17" s="3" t="str">
        <f>HYPERLINK("https://ceds.ed.gov/elementComment.aspx?elementName=Assessment Rubric URL Reference &amp;elementID=5413", "Click here to submit comment")</f>
        <v>Click here to submit comment</v>
      </c>
    </row>
    <row r="18" spans="1:14" ht="105">
      <c r="A18" s="3" t="s">
        <v>1411</v>
      </c>
      <c r="B18" s="3" t="s">
        <v>1412</v>
      </c>
      <c r="C18" s="4" t="s">
        <v>6408</v>
      </c>
      <c r="D18" s="3" t="s">
        <v>6076</v>
      </c>
      <c r="E18" s="3"/>
      <c r="F18" s="3" t="s">
        <v>66</v>
      </c>
      <c r="G18" s="3"/>
      <c r="H18" s="3" t="s">
        <v>1413</v>
      </c>
      <c r="I18" s="3"/>
      <c r="J18" s="3" t="s">
        <v>1414</v>
      </c>
      <c r="K18" s="3"/>
      <c r="L18" s="3" t="s">
        <v>1415</v>
      </c>
      <c r="M18" s="3" t="str">
        <f>HYPERLINK("https://ceds.ed.gov/cedselementdetails.aspx?termid=5076")</f>
        <v>https://ceds.ed.gov/cedselementdetails.aspx?termid=5076</v>
      </c>
      <c r="N18" s="3" t="str">
        <f>HYPERLINK("https://ceds.ed.gov/elementComment.aspx?elementName=Attendance Status &amp;elementID=5076", "Click here to submit comment")</f>
        <v>Click here to submit comment</v>
      </c>
    </row>
    <row r="19" spans="1:14" ht="60">
      <c r="A19" s="3" t="s">
        <v>1520</v>
      </c>
      <c r="B19" s="3" t="s">
        <v>1521</v>
      </c>
      <c r="C19" s="3" t="s">
        <v>13</v>
      </c>
      <c r="D19" s="3" t="s">
        <v>6082</v>
      </c>
      <c r="E19" s="3"/>
      <c r="F19" s="3" t="s">
        <v>66</v>
      </c>
      <c r="G19" s="3" t="s">
        <v>73</v>
      </c>
      <c r="H19" s="3" t="s">
        <v>1522</v>
      </c>
      <c r="I19" s="3"/>
      <c r="J19" s="3" t="s">
        <v>1523</v>
      </c>
      <c r="K19" s="3"/>
      <c r="L19" s="3" t="s">
        <v>1524</v>
      </c>
      <c r="M19" s="3" t="str">
        <f>HYPERLINK("https://ceds.ed.gov/cedselementdetails.aspx?termid=6241")</f>
        <v>https://ceds.ed.gov/cedselementdetails.aspx?termid=6241</v>
      </c>
      <c r="N19" s="3" t="str">
        <f>HYPERLINK("https://ceds.ed.gov/elementComment.aspx?elementName=Calendar Event Date &amp;elementID=6241", "Click here to submit comment")</f>
        <v>Click here to submit comment</v>
      </c>
    </row>
    <row r="20" spans="1:14" ht="409.5">
      <c r="A20" s="3" t="s">
        <v>1604</v>
      </c>
      <c r="B20" s="3" t="s">
        <v>1605</v>
      </c>
      <c r="C20" s="4" t="s">
        <v>6418</v>
      </c>
      <c r="D20" s="3" t="s">
        <v>1606</v>
      </c>
      <c r="E20" s="3" t="s">
        <v>6093</v>
      </c>
      <c r="F20" s="3" t="s">
        <v>66</v>
      </c>
      <c r="G20" s="3"/>
      <c r="H20" s="3" t="s">
        <v>1607</v>
      </c>
      <c r="I20" s="3"/>
      <c r="J20" s="3" t="s">
        <v>1608</v>
      </c>
      <c r="K20" s="3"/>
      <c r="L20" s="3" t="s">
        <v>1609</v>
      </c>
      <c r="M20" s="3" t="str">
        <f>HYPERLINK("https://ceds.ed.gov/cedselementdetails.aspx?termid=5038")</f>
        <v>https://ceds.ed.gov/cedselementdetails.aspx?termid=5038</v>
      </c>
      <c r="N20" s="3" t="str">
        <f>HYPERLINK("https://ceds.ed.gov/elementComment.aspx?elementName=Carnegie Basic Classification &amp;elementID=5038", "Click here to submit comment")</f>
        <v>Click here to submit comment</v>
      </c>
    </row>
    <row r="21" spans="1:14" ht="180">
      <c r="A21" s="3" t="s">
        <v>1817</v>
      </c>
      <c r="B21" s="3" t="s">
        <v>1818</v>
      </c>
      <c r="C21" s="3" t="s">
        <v>13</v>
      </c>
      <c r="D21" s="3" t="s">
        <v>6109</v>
      </c>
      <c r="E21" s="3"/>
      <c r="F21" s="3" t="s">
        <v>66</v>
      </c>
      <c r="G21" s="3" t="s">
        <v>1819</v>
      </c>
      <c r="H21" s="3" t="s">
        <v>1820</v>
      </c>
      <c r="I21" s="3"/>
      <c r="J21" s="3" t="s">
        <v>1821</v>
      </c>
      <c r="K21" s="3"/>
      <c r="L21" s="3" t="s">
        <v>1822</v>
      </c>
      <c r="M21" s="3" t="str">
        <f>HYPERLINK("https://ceds.ed.gov/cedselementdetails.aspx?termid=6176")</f>
        <v>https://ceds.ed.gov/cedselementdetails.aspx?termid=6176</v>
      </c>
      <c r="N21" s="3" t="str">
        <f>HYPERLINK("https://ceds.ed.gov/elementComment.aspx?elementName=County ANSI Code &amp;elementID=6176", "Click here to submit comment")</f>
        <v>Click here to submit comment</v>
      </c>
    </row>
    <row r="22" spans="1:14" ht="120">
      <c r="A22" s="3" t="s">
        <v>1845</v>
      </c>
      <c r="B22" s="3" t="s">
        <v>1846</v>
      </c>
      <c r="C22" s="3" t="s">
        <v>5963</v>
      </c>
      <c r="D22" s="3" t="s">
        <v>6110</v>
      </c>
      <c r="E22" s="3"/>
      <c r="F22" s="3" t="s">
        <v>66</v>
      </c>
      <c r="G22" s="3"/>
      <c r="H22" s="3" t="s">
        <v>1847</v>
      </c>
      <c r="I22" s="3"/>
      <c r="J22" s="3" t="s">
        <v>1848</v>
      </c>
      <c r="K22" s="3"/>
      <c r="L22" s="3" t="s">
        <v>1849</v>
      </c>
      <c r="M22" s="3" t="str">
        <f>HYPERLINK("https://ceds.ed.gov/cedselementdetails.aspx?termid=5013")</f>
        <v>https://ceds.ed.gov/cedselementdetails.aspx?termid=5013</v>
      </c>
      <c r="N22" s="3" t="str">
        <f>HYPERLINK("https://ceds.ed.gov/elementComment.aspx?elementName=Course Aligned with Standards &amp;elementID=5013", "Click here to submit comment")</f>
        <v>Click here to submit comment</v>
      </c>
    </row>
    <row r="23" spans="1:14" ht="90">
      <c r="A23" s="3" t="s">
        <v>1889</v>
      </c>
      <c r="B23" s="3" t="s">
        <v>1890</v>
      </c>
      <c r="C23" s="3" t="s">
        <v>13</v>
      </c>
      <c r="D23" s="3" t="s">
        <v>5971</v>
      </c>
      <c r="E23" s="3"/>
      <c r="F23" s="3" t="s">
        <v>66</v>
      </c>
      <c r="G23" s="3" t="s">
        <v>106</v>
      </c>
      <c r="H23" s="3" t="s">
        <v>1820</v>
      </c>
      <c r="I23" s="3"/>
      <c r="J23" s="3" t="s">
        <v>1891</v>
      </c>
      <c r="K23" s="3"/>
      <c r="L23" s="3" t="s">
        <v>1892</v>
      </c>
      <c r="M23" s="3" t="str">
        <f>HYPERLINK("https://ceds.ed.gov/cedselementdetails.aspx?termid=5508")</f>
        <v>https://ceds.ed.gov/cedselementdetails.aspx?termid=5508</v>
      </c>
      <c r="N23" s="3" t="str">
        <f>HYPERLINK("https://ceds.ed.gov/elementComment.aspx?elementName=Course Description &amp;elementID=5508", "Click here to submit comment")</f>
        <v>Click here to submit comment</v>
      </c>
    </row>
    <row r="24" spans="1:14" ht="135">
      <c r="A24" s="3" t="s">
        <v>1906</v>
      </c>
      <c r="B24" s="3" t="s">
        <v>1907</v>
      </c>
      <c r="C24" s="4" t="s">
        <v>6439</v>
      </c>
      <c r="D24" s="3" t="s">
        <v>6114</v>
      </c>
      <c r="E24" s="3" t="s">
        <v>6078</v>
      </c>
      <c r="F24" s="3" t="s">
        <v>66</v>
      </c>
      <c r="G24" s="3"/>
      <c r="H24" s="3" t="s">
        <v>1820</v>
      </c>
      <c r="I24" s="3"/>
      <c r="J24" s="3" t="s">
        <v>1908</v>
      </c>
      <c r="K24" s="3" t="s">
        <v>1909</v>
      </c>
      <c r="L24" s="3" t="s">
        <v>1910</v>
      </c>
      <c r="M24" s="3" t="str">
        <f>HYPERLINK("https://ceds.ed.gov/cedselementdetails.aspx?termid=5060")</f>
        <v>https://ceds.ed.gov/cedselementdetails.aspx?termid=5060</v>
      </c>
      <c r="N24" s="3" t="str">
        <f>HYPERLINK("https://ceds.ed.gov/elementComment.aspx?elementName=Course Grade Point Average Applicability &amp;elementID=5060", "Click here to submit comment")</f>
        <v>Click here to submit comment</v>
      </c>
    </row>
    <row r="25" spans="1:14" ht="180">
      <c r="A25" s="3" t="s">
        <v>1915</v>
      </c>
      <c r="B25" s="3" t="s">
        <v>1916</v>
      </c>
      <c r="C25" s="3" t="s">
        <v>13</v>
      </c>
      <c r="D25" s="3" t="s">
        <v>6115</v>
      </c>
      <c r="E25" s="3" t="s">
        <v>6116</v>
      </c>
      <c r="F25" s="3" t="s">
        <v>66</v>
      </c>
      <c r="G25" s="3" t="s">
        <v>1917</v>
      </c>
      <c r="H25" s="3" t="s">
        <v>1918</v>
      </c>
      <c r="I25" s="3"/>
      <c r="J25" s="3" t="s">
        <v>1919</v>
      </c>
      <c r="K25" s="3"/>
      <c r="L25" s="3" t="s">
        <v>1920</v>
      </c>
      <c r="M25" s="3" t="str">
        <f>HYPERLINK("https://ceds.ed.gov/cedselementdetails.aspx?termid=5055")</f>
        <v>https://ceds.ed.gov/cedselementdetails.aspx?termid=5055</v>
      </c>
      <c r="N25" s="3" t="str">
        <f>HYPERLINK("https://ceds.ed.gov/elementComment.aspx?elementName=Course Identifier &amp;elementID=5055", "Click here to submit comment")</f>
        <v>Click here to submit comment</v>
      </c>
    </row>
    <row r="26" spans="1:14" ht="409.5">
      <c r="A26" s="3" t="s">
        <v>1966</v>
      </c>
      <c r="B26" s="3" t="s">
        <v>1967</v>
      </c>
      <c r="C26" s="4" t="s">
        <v>6398</v>
      </c>
      <c r="D26" s="3" t="s">
        <v>6120</v>
      </c>
      <c r="E26" s="3" t="s">
        <v>6121</v>
      </c>
      <c r="F26" s="3" t="s">
        <v>66</v>
      </c>
      <c r="G26" s="3"/>
      <c r="H26" s="3" t="s">
        <v>1968</v>
      </c>
      <c r="I26" s="3"/>
      <c r="J26" s="3" t="s">
        <v>1969</v>
      </c>
      <c r="K26" s="3"/>
      <c r="L26" s="3" t="s">
        <v>1970</v>
      </c>
      <c r="M26" s="3" t="str">
        <f>HYPERLINK("https://ceds.ed.gov/cedselementdetails.aspx?termid=5027")</f>
        <v>https://ceds.ed.gov/cedselementdetails.aspx?termid=5027</v>
      </c>
      <c r="N26" s="3" t="str">
        <f>HYPERLINK("https://ceds.ed.gov/elementComment.aspx?elementName=Course Section Assessment Reporting Method &amp;elementID=5027", "Click here to submit comment")</f>
        <v>Click here to submit comment</v>
      </c>
    </row>
    <row r="27" spans="1:14" ht="120">
      <c r="A27" s="3" t="s">
        <v>1971</v>
      </c>
      <c r="B27" s="3" t="s">
        <v>1972</v>
      </c>
      <c r="C27" s="3" t="s">
        <v>13</v>
      </c>
      <c r="D27" s="3" t="s">
        <v>1973</v>
      </c>
      <c r="E27" s="3"/>
      <c r="F27" s="3" t="s">
        <v>66</v>
      </c>
      <c r="G27" s="3" t="s">
        <v>73</v>
      </c>
      <c r="H27" s="3" t="s">
        <v>1974</v>
      </c>
      <c r="I27" s="3" t="s">
        <v>1975</v>
      </c>
      <c r="J27" s="3" t="s">
        <v>1976</v>
      </c>
      <c r="K27" s="3"/>
      <c r="L27" s="3" t="s">
        <v>1977</v>
      </c>
      <c r="M27" s="3" t="str">
        <f>HYPERLINK("https://ceds.ed.gov/cedselementdetails.aspx?termid=5976")</f>
        <v>https://ceds.ed.gov/cedselementdetails.aspx?termid=5976</v>
      </c>
      <c r="N27" s="3" t="str">
        <f>HYPERLINK("https://ceds.ed.gov/elementComment.aspx?elementName=Course Section Enrollment Status End Date &amp;elementID=5976", "Click here to submit comment")</f>
        <v>Click here to submit comment</v>
      </c>
    </row>
    <row r="28" spans="1:14" ht="120">
      <c r="A28" s="3" t="s">
        <v>1983</v>
      </c>
      <c r="B28" s="3" t="s">
        <v>1984</v>
      </c>
      <c r="C28" s="3" t="s">
        <v>6122</v>
      </c>
      <c r="D28" s="3" t="s">
        <v>1973</v>
      </c>
      <c r="E28" s="3"/>
      <c r="F28" s="3" t="s">
        <v>66</v>
      </c>
      <c r="G28" s="3"/>
      <c r="H28" s="3" t="s">
        <v>1985</v>
      </c>
      <c r="I28" s="3" t="s">
        <v>1975</v>
      </c>
      <c r="J28" s="3" t="s">
        <v>1986</v>
      </c>
      <c r="K28" s="3"/>
      <c r="L28" s="3" t="s">
        <v>1987</v>
      </c>
      <c r="M28" s="3" t="str">
        <f>HYPERLINK("https://ceds.ed.gov/cedselementdetails.aspx?termid=5977")</f>
        <v>https://ceds.ed.gov/cedselementdetails.aspx?termid=5977</v>
      </c>
      <c r="N28" s="3" t="str">
        <f>HYPERLINK("https://ceds.ed.gov/elementComment.aspx?elementName=Course Section Enrollment Status Type &amp;elementID=5977", "Click here to submit comment")</f>
        <v>Click here to submit comment</v>
      </c>
    </row>
    <row r="29" spans="1:14" ht="45">
      <c r="A29" s="3" t="s">
        <v>1988</v>
      </c>
      <c r="B29" s="3" t="s">
        <v>1989</v>
      </c>
      <c r="C29" s="4" t="s">
        <v>6446</v>
      </c>
      <c r="D29" s="3" t="s">
        <v>1973</v>
      </c>
      <c r="E29" s="3" t="s">
        <v>1990</v>
      </c>
      <c r="F29" s="3" t="s">
        <v>66</v>
      </c>
      <c r="G29" s="3"/>
      <c r="H29" s="3" t="s">
        <v>1991</v>
      </c>
      <c r="I29" s="3"/>
      <c r="J29" s="3" t="s">
        <v>1992</v>
      </c>
      <c r="K29" s="3"/>
      <c r="L29" s="3" t="s">
        <v>1993</v>
      </c>
      <c r="M29" s="3" t="str">
        <f>HYPERLINK("https://ceds.ed.gov/cedselementdetails.aspx?termid=5652")</f>
        <v>https://ceds.ed.gov/cedselementdetails.aspx?termid=5652</v>
      </c>
      <c r="N29" s="3" t="str">
        <f>HYPERLINK("https://ceds.ed.gov/elementComment.aspx?elementName=Course Section Entry Type &amp;elementID=5652", "Click here to submit comment")</f>
        <v>Click here to submit comment</v>
      </c>
    </row>
    <row r="30" spans="1:14" ht="210">
      <c r="A30" s="3" t="s">
        <v>1994</v>
      </c>
      <c r="B30" s="3" t="s">
        <v>1995</v>
      </c>
      <c r="C30" s="4" t="s">
        <v>6447</v>
      </c>
      <c r="D30" s="3" t="s">
        <v>1973</v>
      </c>
      <c r="E30" s="3" t="s">
        <v>1990</v>
      </c>
      <c r="F30" s="3" t="s">
        <v>66</v>
      </c>
      <c r="G30" s="3"/>
      <c r="H30" s="3" t="s">
        <v>1996</v>
      </c>
      <c r="I30" s="3"/>
      <c r="J30" s="3" t="s">
        <v>1997</v>
      </c>
      <c r="K30" s="3"/>
      <c r="L30" s="3" t="s">
        <v>1998</v>
      </c>
      <c r="M30" s="3" t="str">
        <f>HYPERLINK("https://ceds.ed.gov/cedselementdetails.aspx?termid=5654")</f>
        <v>https://ceds.ed.gov/cedselementdetails.aspx?termid=5654</v>
      </c>
      <c r="N30" s="3" t="str">
        <f>HYPERLINK("https://ceds.ed.gov/elementComment.aspx?elementName=Course Section Exit Type &amp;elementID=5654", "Click here to submit comment")</f>
        <v>Click here to submit comment</v>
      </c>
    </row>
    <row r="31" spans="1:14" ht="45">
      <c r="A31" s="3" t="s">
        <v>1999</v>
      </c>
      <c r="B31" s="3" t="s">
        <v>2000</v>
      </c>
      <c r="C31" s="3" t="s">
        <v>13</v>
      </c>
      <c r="D31" s="3" t="s">
        <v>1973</v>
      </c>
      <c r="E31" s="3" t="s">
        <v>1990</v>
      </c>
      <c r="F31" s="3" t="s">
        <v>66</v>
      </c>
      <c r="G31" s="3" t="s">
        <v>73</v>
      </c>
      <c r="H31" s="3" t="s">
        <v>2001</v>
      </c>
      <c r="I31" s="3"/>
      <c r="J31" s="3" t="s">
        <v>2002</v>
      </c>
      <c r="K31" s="3"/>
      <c r="L31" s="3" t="s">
        <v>2003</v>
      </c>
      <c r="M31" s="3" t="str">
        <f>HYPERLINK("https://ceds.ed.gov/cedselementdetails.aspx?termid=5653")</f>
        <v>https://ceds.ed.gov/cedselementdetails.aspx?termid=5653</v>
      </c>
      <c r="N31" s="3" t="str">
        <f>HYPERLINK("https://ceds.ed.gov/elementComment.aspx?elementName=Course Section Exit Withdrawal Date &amp;elementID=5653", "Click here to submit comment")</f>
        <v>Click here to submit comment</v>
      </c>
    </row>
    <row r="32" spans="1:14" ht="75">
      <c r="A32" s="3" t="s">
        <v>2004</v>
      </c>
      <c r="B32" s="3" t="s">
        <v>2005</v>
      </c>
      <c r="C32" s="3" t="s">
        <v>13</v>
      </c>
      <c r="D32" s="3" t="s">
        <v>6098</v>
      </c>
      <c r="E32" s="3"/>
      <c r="F32" s="3" t="s">
        <v>66</v>
      </c>
      <c r="G32" s="3" t="s">
        <v>100</v>
      </c>
      <c r="H32" s="3" t="s">
        <v>2006</v>
      </c>
      <c r="I32" s="3"/>
      <c r="J32" s="3" t="s">
        <v>2007</v>
      </c>
      <c r="K32" s="3"/>
      <c r="L32" s="3" t="s">
        <v>2008</v>
      </c>
      <c r="M32" s="3" t="str">
        <f>HYPERLINK("https://ceds.ed.gov/cedselementdetails.aspx?termid=5979")</f>
        <v>https://ceds.ed.gov/cedselementdetails.aspx?termid=5979</v>
      </c>
      <c r="N32" s="3" t="str">
        <f>HYPERLINK("https://ceds.ed.gov/elementComment.aspx?elementName=Course Section Identifier &amp;elementID=5979", "Click here to submit comment")</f>
        <v>Click here to submit comment</v>
      </c>
    </row>
    <row r="33" spans="1:14" ht="150">
      <c r="A33" s="3" t="s">
        <v>2009</v>
      </c>
      <c r="B33" s="3" t="s">
        <v>2010</v>
      </c>
      <c r="C33" s="4" t="s">
        <v>6448</v>
      </c>
      <c r="D33" s="3" t="s">
        <v>6098</v>
      </c>
      <c r="E33" s="3"/>
      <c r="F33" s="3" t="s">
        <v>66</v>
      </c>
      <c r="G33" s="3"/>
      <c r="H33" s="3" t="s">
        <v>2011</v>
      </c>
      <c r="I33" s="3"/>
      <c r="J33" s="3" t="s">
        <v>2012</v>
      </c>
      <c r="K33" s="3"/>
      <c r="L33" s="3" t="s">
        <v>2013</v>
      </c>
      <c r="M33" s="3" t="str">
        <f>HYPERLINK("https://ceds.ed.gov/cedselementdetails.aspx?termid=6168")</f>
        <v>https://ceds.ed.gov/cedselementdetails.aspx?termid=6168</v>
      </c>
      <c r="N33" s="3" t="str">
        <f>HYPERLINK("https://ceds.ed.gov/elementComment.aspx?elementName=Course Section Instructional Delivery Mode &amp;elementID=6168", "Click here to submit comment")</f>
        <v>Click here to submit comment</v>
      </c>
    </row>
    <row r="34" spans="1:14" ht="60">
      <c r="A34" s="3" t="s">
        <v>2018</v>
      </c>
      <c r="B34" s="3" t="s">
        <v>2019</v>
      </c>
      <c r="C34" s="4" t="s">
        <v>6449</v>
      </c>
      <c r="D34" s="3" t="s">
        <v>6098</v>
      </c>
      <c r="E34" s="3" t="s">
        <v>6123</v>
      </c>
      <c r="F34" s="3" t="s">
        <v>66</v>
      </c>
      <c r="G34" s="3"/>
      <c r="H34" s="3" t="s">
        <v>2020</v>
      </c>
      <c r="I34" s="3"/>
      <c r="J34" s="3" t="s">
        <v>2021</v>
      </c>
      <c r="K34" s="3"/>
      <c r="L34" s="3" t="s">
        <v>2022</v>
      </c>
      <c r="M34" s="3" t="str">
        <f>HYPERLINK("https://ceds.ed.gov/cedselementdetails.aspx?termid=5258")</f>
        <v>https://ceds.ed.gov/cedselementdetails.aspx?termid=5258</v>
      </c>
      <c r="N34" s="3" t="str">
        <f>HYPERLINK("https://ceds.ed.gov/elementComment.aspx?elementName=Course Section Single Sex Class Status &amp;elementID=5258", "Click here to submit comment")</f>
        <v>Click here to submit comment</v>
      </c>
    </row>
    <row r="35" spans="1:14" ht="165">
      <c r="A35" s="3" t="s">
        <v>2023</v>
      </c>
      <c r="B35" s="3" t="s">
        <v>2024</v>
      </c>
      <c r="C35" s="3" t="s">
        <v>13</v>
      </c>
      <c r="D35" s="3" t="s">
        <v>6098</v>
      </c>
      <c r="E35" s="3" t="s">
        <v>2025</v>
      </c>
      <c r="F35" s="3" t="s">
        <v>66</v>
      </c>
      <c r="G35" s="3" t="s">
        <v>308</v>
      </c>
      <c r="H35" s="3" t="s">
        <v>2026</v>
      </c>
      <c r="I35" s="3"/>
      <c r="J35" s="3" t="s">
        <v>2027</v>
      </c>
      <c r="K35" s="3"/>
      <c r="L35" s="3" t="s">
        <v>2028</v>
      </c>
      <c r="M35" s="3" t="str">
        <f>HYPERLINK("https://ceds.ed.gov/cedselementdetails.aspx?termid=5101")</f>
        <v>https://ceds.ed.gov/cedselementdetails.aspx?termid=5101</v>
      </c>
      <c r="N35" s="3" t="str">
        <f>HYPERLINK("https://ceds.ed.gov/elementComment.aspx?elementName=Course Section Time Required For Completion &amp;elementID=5101", "Click here to submit comment")</f>
        <v>Click here to submit comment</v>
      </c>
    </row>
    <row r="36" spans="1:14" ht="210">
      <c r="A36" s="3" t="s">
        <v>2144</v>
      </c>
      <c r="B36" s="3" t="s">
        <v>2145</v>
      </c>
      <c r="C36" s="4" t="s">
        <v>6455</v>
      </c>
      <c r="D36" s="3" t="s">
        <v>2146</v>
      </c>
      <c r="E36" s="3" t="s">
        <v>2147</v>
      </c>
      <c r="F36" s="3" t="s">
        <v>66</v>
      </c>
      <c r="G36" s="3"/>
      <c r="H36" s="3" t="s">
        <v>2148</v>
      </c>
      <c r="I36" s="3"/>
      <c r="J36" s="3" t="s">
        <v>2149</v>
      </c>
      <c r="K36" s="3"/>
      <c r="L36" s="3" t="s">
        <v>2150</v>
      </c>
      <c r="M36" s="3" t="str">
        <f>HYPERLINK("https://ceds.ed.gov/cedselementdetails.aspx?termid=5335")</f>
        <v>https://ceds.ed.gov/cedselementdetails.aspx?termid=5335</v>
      </c>
      <c r="N36" s="3" t="str">
        <f>HYPERLINK("https://ceds.ed.gov/elementComment.aspx?elementName=Dental Insurance Coverage Type &amp;elementID=5335", "Click here to submit comment")</f>
        <v>Click here to submit comment</v>
      </c>
    </row>
    <row r="37" spans="1:14" ht="255">
      <c r="A37" s="3" t="s">
        <v>2174</v>
      </c>
      <c r="B37" s="3" t="s">
        <v>2175</v>
      </c>
      <c r="C37" s="4" t="s">
        <v>6457</v>
      </c>
      <c r="D37" s="3" t="s">
        <v>2176</v>
      </c>
      <c r="E37" s="3" t="s">
        <v>2158</v>
      </c>
      <c r="F37" s="3" t="s">
        <v>66</v>
      </c>
      <c r="G37" s="3"/>
      <c r="H37" s="3" t="s">
        <v>2177</v>
      </c>
      <c r="I37" s="3"/>
      <c r="J37" s="3" t="s">
        <v>2178</v>
      </c>
      <c r="K37" s="3"/>
      <c r="L37" s="3" t="s">
        <v>2179</v>
      </c>
      <c r="M37" s="3" t="str">
        <f>HYPERLINK("https://ceds.ed.gov/cedselementdetails.aspx?termid=5315")</f>
        <v>https://ceds.ed.gov/cedselementdetails.aspx?termid=5315</v>
      </c>
      <c r="N37" s="3" t="str">
        <f>HYPERLINK("https://ceds.ed.gov/elementComment.aspx?elementName=Developmental Evaluation Finding &amp;elementID=5315", "Click here to submit comment")</f>
        <v>Click here to submit comment</v>
      </c>
    </row>
    <row r="38" spans="1:14" ht="180">
      <c r="A38" s="3" t="s">
        <v>2302</v>
      </c>
      <c r="B38" s="3" t="s">
        <v>2303</v>
      </c>
      <c r="C38" s="4" t="s">
        <v>6471</v>
      </c>
      <c r="D38" s="3" t="s">
        <v>2186</v>
      </c>
      <c r="E38" s="3" t="s">
        <v>65</v>
      </c>
      <c r="F38" s="3" t="s">
        <v>66</v>
      </c>
      <c r="G38" s="3"/>
      <c r="H38" s="3" t="s">
        <v>2304</v>
      </c>
      <c r="I38" s="3"/>
      <c r="J38" s="3" t="s">
        <v>2305</v>
      </c>
      <c r="K38" s="3"/>
      <c r="L38" s="3" t="s">
        <v>2306</v>
      </c>
      <c r="M38" s="3" t="str">
        <f>HYPERLINK("https://ceds.ed.gov/cedselementdetails.aspx?termid=5829")</f>
        <v>https://ceds.ed.gov/cedselementdetails.aspx?termid=5829</v>
      </c>
      <c r="N38" s="3" t="str">
        <f>HYPERLINK("https://ceds.ed.gov/elementComment.aspx?elementName=Early Childhood Program Type &amp;elementID=5829", "Click here to submit comment")</f>
        <v>Click here to submit comment</v>
      </c>
    </row>
    <row r="39" spans="1:14" ht="165">
      <c r="A39" s="3" t="s">
        <v>2307</v>
      </c>
      <c r="B39" s="3" t="s">
        <v>2308</v>
      </c>
      <c r="C39" s="4" t="s">
        <v>6472</v>
      </c>
      <c r="D39" s="3" t="s">
        <v>6128</v>
      </c>
      <c r="E39" s="3" t="s">
        <v>6129</v>
      </c>
      <c r="F39" s="3" t="s">
        <v>66</v>
      </c>
      <c r="G39" s="3"/>
      <c r="H39" s="3" t="s">
        <v>2309</v>
      </c>
      <c r="I39" s="3"/>
      <c r="J39" s="3" t="s">
        <v>2310</v>
      </c>
      <c r="K39" s="3"/>
      <c r="L39" s="3" t="s">
        <v>2311</v>
      </c>
      <c r="M39" s="3" t="str">
        <f>HYPERLINK("https://ceds.ed.gov/cedselementdetails.aspx?termid=5355")</f>
        <v>https://ceds.ed.gov/cedselementdetails.aspx?termid=5355</v>
      </c>
      <c r="N39" s="3" t="str">
        <f>HYPERLINK("https://ceds.ed.gov/elementComment.aspx?elementName=Early Childhood Setting &amp;elementID=5355", "Click here to submit comment")</f>
        <v>Click here to submit comment</v>
      </c>
    </row>
    <row r="40" spans="1:14" ht="300">
      <c r="A40" s="3" t="s">
        <v>2312</v>
      </c>
      <c r="B40" s="3" t="s">
        <v>2313</v>
      </c>
      <c r="C40" s="4" t="s">
        <v>6473</v>
      </c>
      <c r="D40" s="3" t="s">
        <v>2314</v>
      </c>
      <c r="E40" s="3" t="s">
        <v>2158</v>
      </c>
      <c r="F40" s="3" t="s">
        <v>66</v>
      </c>
      <c r="G40" s="3"/>
      <c r="H40" s="3" t="s">
        <v>2315</v>
      </c>
      <c r="I40" s="3"/>
      <c r="J40" s="3" t="s">
        <v>2316</v>
      </c>
      <c r="K40" s="3"/>
      <c r="L40" s="3" t="s">
        <v>2317</v>
      </c>
      <c r="M40" s="3" t="str">
        <f>HYPERLINK("https://ceds.ed.gov/cedselementdetails.aspx?termid=5321")</f>
        <v>https://ceds.ed.gov/cedselementdetails.aspx?termid=5321</v>
      </c>
      <c r="N40" s="3" t="str">
        <f>HYPERLINK("https://ceds.ed.gov/elementComment.aspx?elementName=Early Intervention or Special Education Services Received &amp;elementID=5321", "Click here to submit comment")</f>
        <v>Click here to submit comment</v>
      </c>
    </row>
    <row r="41" spans="1:14" ht="105">
      <c r="A41" s="3" t="s">
        <v>2322</v>
      </c>
      <c r="B41" s="3" t="s">
        <v>2323</v>
      </c>
      <c r="C41" s="4" t="s">
        <v>6475</v>
      </c>
      <c r="D41" s="3" t="s">
        <v>2176</v>
      </c>
      <c r="E41" s="3" t="s">
        <v>2158</v>
      </c>
      <c r="F41" s="3" t="s">
        <v>66</v>
      </c>
      <c r="G41" s="3"/>
      <c r="H41" s="3" t="s">
        <v>2177</v>
      </c>
      <c r="I41" s="3"/>
      <c r="J41" s="3" t="s">
        <v>2324</v>
      </c>
      <c r="K41" s="3"/>
      <c r="L41" s="3" t="s">
        <v>2325</v>
      </c>
      <c r="M41" s="3" t="str">
        <f>HYPERLINK("https://ceds.ed.gov/cedselementdetails.aspx?termid=5314")</f>
        <v>https://ceds.ed.gov/cedselementdetails.aspx?termid=5314</v>
      </c>
      <c r="N41" s="3" t="str">
        <f>HYPERLINK("https://ceds.ed.gov/elementComment.aspx?elementName=Early Learning Child Developmental Screening Status &amp;elementID=5314", "Click here to submit comment")</f>
        <v>Click here to submit comment</v>
      </c>
    </row>
    <row r="42" spans="1:14" ht="270">
      <c r="A42" s="3" t="s">
        <v>2474</v>
      </c>
      <c r="B42" s="3" t="s">
        <v>2475</v>
      </c>
      <c r="C42" s="3" t="s">
        <v>6150</v>
      </c>
      <c r="D42" s="3" t="s">
        <v>6151</v>
      </c>
      <c r="E42" s="3" t="s">
        <v>2476</v>
      </c>
      <c r="F42" s="3" t="s">
        <v>66</v>
      </c>
      <c r="G42" s="3"/>
      <c r="H42" s="3" t="s">
        <v>2477</v>
      </c>
      <c r="I42" s="3" t="s">
        <v>2478</v>
      </c>
      <c r="J42" s="3" t="s">
        <v>2479</v>
      </c>
      <c r="K42" s="3"/>
      <c r="L42" s="3" t="s">
        <v>2480</v>
      </c>
      <c r="M42" s="3" t="str">
        <f>HYPERLINK("https://ceds.ed.gov/cedselementdetails.aspx?termid=5990")</f>
        <v>https://ceds.ed.gov/cedselementdetails.aspx?termid=5990</v>
      </c>
      <c r="N42" s="3" t="str">
        <f>HYPERLINK("https://ceds.ed.gov/elementComment.aspx?elementName=Employed After Exit &amp;elementID=5990", "Click here to submit comment")</f>
        <v>Click here to submit comment</v>
      </c>
    </row>
    <row r="43" spans="1:14" ht="225">
      <c r="A43" s="3" t="s">
        <v>2487</v>
      </c>
      <c r="B43" s="3" t="s">
        <v>2488</v>
      </c>
      <c r="C43" s="3" t="s">
        <v>6150</v>
      </c>
      <c r="D43" s="3" t="s">
        <v>6151</v>
      </c>
      <c r="E43" s="3" t="s">
        <v>2476</v>
      </c>
      <c r="F43" s="3" t="s">
        <v>66</v>
      </c>
      <c r="G43" s="3"/>
      <c r="H43" s="3" t="s">
        <v>2477</v>
      </c>
      <c r="I43" s="3" t="s">
        <v>2489</v>
      </c>
      <c r="J43" s="3" t="s">
        <v>2490</v>
      </c>
      <c r="K43" s="3"/>
      <c r="L43" s="3" t="s">
        <v>2491</v>
      </c>
      <c r="M43" s="3" t="str">
        <f>HYPERLINK("https://ceds.ed.gov/cedselementdetails.aspx?termid=5989")</f>
        <v>https://ceds.ed.gov/cedselementdetails.aspx?termid=5989</v>
      </c>
      <c r="N43" s="3" t="str">
        <f>HYPERLINK("https://ceds.ed.gov/elementComment.aspx?elementName=Employed While Enrolled &amp;elementID=5989", "Click here to submit comment")</f>
        <v>Click here to submit comment</v>
      </c>
    </row>
    <row r="44" spans="1:14" ht="409.5">
      <c r="A44" s="3" t="s">
        <v>2496</v>
      </c>
      <c r="B44" s="3" t="s">
        <v>2497</v>
      </c>
      <c r="C44" s="4" t="s">
        <v>6492</v>
      </c>
      <c r="D44" s="3" t="s">
        <v>2483</v>
      </c>
      <c r="E44" s="3"/>
      <c r="F44" s="3" t="s">
        <v>66</v>
      </c>
      <c r="G44" s="3"/>
      <c r="H44" s="3" t="s">
        <v>2498</v>
      </c>
      <c r="I44" s="3" t="s">
        <v>2499</v>
      </c>
      <c r="J44" s="3" t="s">
        <v>2500</v>
      </c>
      <c r="K44" s="3"/>
      <c r="L44" s="3" t="s">
        <v>2501</v>
      </c>
      <c r="M44" s="3" t="str">
        <f>HYPERLINK("https://ceds.ed.gov/cedselementdetails.aspx?termid=5992")</f>
        <v>https://ceds.ed.gov/cedselementdetails.aspx?termid=5992</v>
      </c>
      <c r="N44" s="3" t="str">
        <f>HYPERLINK("https://ceds.ed.gov/elementComment.aspx?elementName=Employment Location &amp;elementID=5992", "Click here to submit comment")</f>
        <v>Click here to submit comment</v>
      </c>
    </row>
    <row r="45" spans="1:14" ht="300">
      <c r="A45" s="3" t="s">
        <v>2508</v>
      </c>
      <c r="B45" s="3" t="s">
        <v>2509</v>
      </c>
      <c r="C45" s="4" t="s">
        <v>6493</v>
      </c>
      <c r="D45" s="3" t="s">
        <v>2483</v>
      </c>
      <c r="E45" s="3"/>
      <c r="F45" s="3" t="s">
        <v>66</v>
      </c>
      <c r="G45" s="3"/>
      <c r="H45" s="3" t="s">
        <v>2510</v>
      </c>
      <c r="I45" s="3" t="s">
        <v>2511</v>
      </c>
      <c r="J45" s="3" t="s">
        <v>2512</v>
      </c>
      <c r="K45" s="3"/>
      <c r="L45" s="3" t="s">
        <v>2513</v>
      </c>
      <c r="M45" s="3" t="str">
        <f>HYPERLINK("https://ceds.ed.gov/cedselementdetails.aspx?termid=5996")</f>
        <v>https://ceds.ed.gov/cedselementdetails.aspx?termid=5996</v>
      </c>
      <c r="N45" s="3" t="str">
        <f>HYPERLINK("https://ceds.ed.gov/elementComment.aspx?elementName=Employment Record Administrative Data Source &amp;elementID=5996", "Click here to submit comment")</f>
        <v>Click here to submit comment</v>
      </c>
    </row>
    <row r="46" spans="1:14" ht="360">
      <c r="A46" s="3" t="s">
        <v>2514</v>
      </c>
      <c r="B46" s="3" t="s">
        <v>2515</v>
      </c>
      <c r="C46" s="3" t="s">
        <v>13</v>
      </c>
      <c r="D46" s="3" t="s">
        <v>2483</v>
      </c>
      <c r="E46" s="3"/>
      <c r="F46" s="3" t="s">
        <v>66</v>
      </c>
      <c r="G46" s="3" t="s">
        <v>73</v>
      </c>
      <c r="H46" s="3" t="s">
        <v>2516</v>
      </c>
      <c r="I46" s="3" t="s">
        <v>2517</v>
      </c>
      <c r="J46" s="3" t="s">
        <v>2518</v>
      </c>
      <c r="K46" s="3"/>
      <c r="L46" s="3" t="s">
        <v>2519</v>
      </c>
      <c r="M46" s="3" t="str">
        <f>HYPERLINK("https://ceds.ed.gov/cedselementdetails.aspx?termid=5995")</f>
        <v>https://ceds.ed.gov/cedselementdetails.aspx?termid=5995</v>
      </c>
      <c r="N46" s="3" t="str">
        <f>HYPERLINK("https://ceds.ed.gov/elementComment.aspx?elementName=Employment Record Reference Period End Date &amp;elementID=5995", "Click here to submit comment")</f>
        <v>Click here to submit comment</v>
      </c>
    </row>
    <row r="47" spans="1:14" ht="360">
      <c r="A47" s="3" t="s">
        <v>2520</v>
      </c>
      <c r="B47" s="3" t="s">
        <v>2521</v>
      </c>
      <c r="C47" s="3" t="s">
        <v>13</v>
      </c>
      <c r="D47" s="3" t="s">
        <v>2483</v>
      </c>
      <c r="E47" s="3"/>
      <c r="F47" s="3" t="s">
        <v>66</v>
      </c>
      <c r="G47" s="3" t="s">
        <v>73</v>
      </c>
      <c r="H47" s="3" t="s">
        <v>2522</v>
      </c>
      <c r="I47" s="3" t="s">
        <v>2517</v>
      </c>
      <c r="J47" s="3" t="s">
        <v>2523</v>
      </c>
      <c r="K47" s="3"/>
      <c r="L47" s="3" t="s">
        <v>2524</v>
      </c>
      <c r="M47" s="3" t="str">
        <f>HYPERLINK("https://ceds.ed.gov/cedselementdetails.aspx?termid=5994")</f>
        <v>https://ceds.ed.gov/cedselementdetails.aspx?termid=5994</v>
      </c>
      <c r="N47" s="3" t="str">
        <f>HYPERLINK("https://ceds.ed.gov/elementComment.aspx?elementName=Employment Record Reference Period Start Date &amp;elementID=5994", "Click here to submit comment")</f>
        <v>Click here to submit comment</v>
      </c>
    </row>
    <row r="48" spans="1:14" ht="409.5">
      <c r="A48" s="3" t="s">
        <v>2525</v>
      </c>
      <c r="B48" s="3" t="s">
        <v>2526</v>
      </c>
      <c r="C48" s="4" t="s">
        <v>6494</v>
      </c>
      <c r="D48" s="3" t="s">
        <v>6153</v>
      </c>
      <c r="E48" s="3"/>
      <c r="F48" s="3" t="s">
        <v>66</v>
      </c>
      <c r="G48" s="3"/>
      <c r="H48" s="3" t="s">
        <v>2527</v>
      </c>
      <c r="I48" s="3"/>
      <c r="J48" s="3" t="s">
        <v>2528</v>
      </c>
      <c r="K48" s="3"/>
      <c r="L48" s="3" t="s">
        <v>2529</v>
      </c>
      <c r="M48" s="3" t="str">
        <f>HYPERLINK("https://ceds.ed.gov/cedselementdetails.aspx?termid=5613")</f>
        <v>https://ceds.ed.gov/cedselementdetails.aspx?termid=5613</v>
      </c>
      <c r="N48" s="3" t="str">
        <f>HYPERLINK("https://ceds.ed.gov/elementComment.aspx?elementName=Employment Separation Reason &amp;elementID=5613", "Click here to submit comment")</f>
        <v>Click here to submit comment</v>
      </c>
    </row>
    <row r="49" spans="1:14" ht="409.5">
      <c r="A49" s="3" t="s">
        <v>2642</v>
      </c>
      <c r="B49" s="3" t="s">
        <v>2643</v>
      </c>
      <c r="C49" s="3" t="s">
        <v>13</v>
      </c>
      <c r="D49" s="3" t="s">
        <v>2644</v>
      </c>
      <c r="E49" s="3" t="s">
        <v>5988</v>
      </c>
      <c r="F49" s="3" t="s">
        <v>66</v>
      </c>
      <c r="G49" s="3" t="s">
        <v>1461</v>
      </c>
      <c r="H49" s="3" t="s">
        <v>2645</v>
      </c>
      <c r="I49" s="3" t="s">
        <v>2646</v>
      </c>
      <c r="J49" s="3" t="s">
        <v>2647</v>
      </c>
      <c r="K49" s="3"/>
      <c r="L49" s="3" t="s">
        <v>2648</v>
      </c>
      <c r="M49" s="3" t="str">
        <f>HYPERLINK("https://ceds.ed.gov/cedselementdetails.aspx?termid=5331")</f>
        <v>https://ceds.ed.gov/cedselementdetails.aspx?termid=5331</v>
      </c>
      <c r="N49" s="3" t="str">
        <f>HYPERLINK("https://ceds.ed.gov/elementComment.aspx?elementName=Family Income &amp;elementID=5331", "Click here to submit comment")</f>
        <v>Click here to submit comment</v>
      </c>
    </row>
    <row r="50" spans="1:14" ht="90">
      <c r="A50" s="3" t="s">
        <v>2833</v>
      </c>
      <c r="B50" s="3" t="s">
        <v>2834</v>
      </c>
      <c r="C50" s="3" t="s">
        <v>6180</v>
      </c>
      <c r="D50" s="3" t="s">
        <v>154</v>
      </c>
      <c r="E50" s="3" t="s">
        <v>5968</v>
      </c>
      <c r="F50" s="3" t="s">
        <v>66</v>
      </c>
      <c r="G50" s="3"/>
      <c r="H50" s="3" t="s">
        <v>2835</v>
      </c>
      <c r="I50" s="3"/>
      <c r="J50" s="3" t="s">
        <v>2836</v>
      </c>
      <c r="K50" s="3"/>
      <c r="L50" s="3" t="s">
        <v>2837</v>
      </c>
      <c r="M50" s="3" t="str">
        <f>HYPERLINK("https://ceds.ed.gov/cedselementdetails.aspx?termid=5122")</f>
        <v>https://ceds.ed.gov/cedselementdetails.aspx?termid=5122</v>
      </c>
      <c r="N50" s="3" t="str">
        <f>HYPERLINK("https://ceds.ed.gov/elementComment.aspx?elementName=Gifted and Talented Indicator &amp;elementID=5122", "Click here to submit comment")</f>
        <v>Click here to submit comment</v>
      </c>
    </row>
    <row r="51" spans="1:14" ht="409.5">
      <c r="A51" s="3" t="s">
        <v>2970</v>
      </c>
      <c r="B51" s="3" t="s">
        <v>2971</v>
      </c>
      <c r="C51" s="4" t="s">
        <v>6531</v>
      </c>
      <c r="D51" s="3" t="s">
        <v>6194</v>
      </c>
      <c r="E51" s="3" t="s">
        <v>6195</v>
      </c>
      <c r="F51" s="3" t="s">
        <v>66</v>
      </c>
      <c r="G51" s="3"/>
      <c r="H51" s="3" t="s">
        <v>2972</v>
      </c>
      <c r="I51" s="3"/>
      <c r="J51" s="3" t="s">
        <v>2973</v>
      </c>
      <c r="K51" s="3"/>
      <c r="L51" s="3" t="s">
        <v>2974</v>
      </c>
      <c r="M51" s="3" t="str">
        <f>HYPERLINK("https://ceds.ed.gov/cedselementdetails.aspx?termid=5141")</f>
        <v>https://ceds.ed.gov/cedselementdetails.aspx?termid=5141</v>
      </c>
      <c r="N51" s="3" t="str">
        <f>HYPERLINK("https://ceds.ed.gov/elementComment.aspx?elementName=Highest Level of Education Completed &amp;elementID=5141", "Click here to submit comment")</f>
        <v>Click here to submit comment</v>
      </c>
    </row>
    <row r="52" spans="1:14" ht="210">
      <c r="A52" s="3" t="s">
        <v>3406</v>
      </c>
      <c r="B52" s="3" t="s">
        <v>3407</v>
      </c>
      <c r="C52" s="5" t="s">
        <v>939</v>
      </c>
      <c r="D52" s="3" t="s">
        <v>6213</v>
      </c>
      <c r="E52" s="3" t="s">
        <v>6214</v>
      </c>
      <c r="F52" s="3" t="s">
        <v>66</v>
      </c>
      <c r="G52" s="3"/>
      <c r="H52" s="3" t="s">
        <v>2645</v>
      </c>
      <c r="I52" s="3" t="s">
        <v>3408</v>
      </c>
      <c r="J52" s="3" t="s">
        <v>3409</v>
      </c>
      <c r="K52" s="3"/>
      <c r="L52" s="3" t="s">
        <v>3410</v>
      </c>
      <c r="M52" s="3" t="str">
        <f>HYPERLINK("https://ceds.ed.gov/cedselementdetails.aspx?termid=5317")</f>
        <v>https://ceds.ed.gov/cedselementdetails.aspx?termid=5317</v>
      </c>
      <c r="N52" s="3" t="str">
        <f>HYPERLINK("https://ceds.ed.gov/elementComment.aspx?elementName=Language Code &amp;elementID=5317", "Click here to submit comment")</f>
        <v>Click here to submit comment</v>
      </c>
    </row>
    <row r="53" spans="1:14" ht="90">
      <c r="A53" s="3" t="s">
        <v>3567</v>
      </c>
      <c r="B53" s="3" t="s">
        <v>3568</v>
      </c>
      <c r="C53" s="3" t="s">
        <v>13</v>
      </c>
      <c r="D53" s="3" t="s">
        <v>6226</v>
      </c>
      <c r="E53" s="3"/>
      <c r="F53" s="3" t="s">
        <v>66</v>
      </c>
      <c r="G53" s="3" t="s">
        <v>93</v>
      </c>
      <c r="H53" s="3" t="s">
        <v>3569</v>
      </c>
      <c r="I53" s="3" t="s">
        <v>3570</v>
      </c>
      <c r="J53" s="3" t="s">
        <v>3571</v>
      </c>
      <c r="K53" s="3"/>
      <c r="L53" s="3" t="s">
        <v>3572</v>
      </c>
      <c r="M53" s="3" t="str">
        <f>HYPERLINK("https://ceds.ed.gov/cedselementdetails.aspx?termid=5923")</f>
        <v>https://ceds.ed.gov/cedselementdetails.aspx?termid=5923</v>
      </c>
      <c r="N53" s="3" t="str">
        <f>HYPERLINK("https://ceds.ed.gov/elementComment.aspx?elementName=Learning Resource Based On URL &amp;elementID=5923", "Click here to submit comment")</f>
        <v>Click here to submit comment</v>
      </c>
    </row>
    <row r="54" spans="1:14" ht="120">
      <c r="A54" s="3" t="s">
        <v>3577</v>
      </c>
      <c r="B54" s="3" t="s">
        <v>3578</v>
      </c>
      <c r="C54" s="3" t="s">
        <v>6230</v>
      </c>
      <c r="D54" s="3" t="s">
        <v>6231</v>
      </c>
      <c r="E54" s="3"/>
      <c r="F54" s="3" t="s">
        <v>66</v>
      </c>
      <c r="G54" s="3"/>
      <c r="H54" s="3" t="s">
        <v>2645</v>
      </c>
      <c r="I54" s="3" t="s">
        <v>3579</v>
      </c>
      <c r="J54" s="3" t="s">
        <v>3580</v>
      </c>
      <c r="K54" s="3"/>
      <c r="L54" s="3" t="s">
        <v>3581</v>
      </c>
      <c r="M54" s="3" t="str">
        <f>HYPERLINK("https://ceds.ed.gov/cedselementdetails.aspx?termid=5879")</f>
        <v>https://ceds.ed.gov/cedselementdetails.aspx?termid=5879</v>
      </c>
      <c r="N54" s="3" t="str">
        <f>HYPERLINK("https://ceds.ed.gov/elementComment.aspx?elementName=Learning Resource Competency Alignment Type &amp;elementID=5879", "Click here to submit comment")</f>
        <v>Click here to submit comment</v>
      </c>
    </row>
    <row r="55" spans="1:14" ht="409.5">
      <c r="A55" s="3" t="s">
        <v>3619</v>
      </c>
      <c r="B55" s="3" t="s">
        <v>3620</v>
      </c>
      <c r="C55" s="13" t="s">
        <v>6921</v>
      </c>
      <c r="D55" s="3" t="s">
        <v>6234</v>
      </c>
      <c r="E55" s="3"/>
      <c r="F55" s="3" t="s">
        <v>66</v>
      </c>
      <c r="G55" s="3"/>
      <c r="H55" s="3" t="s">
        <v>3621</v>
      </c>
      <c r="I55" s="3"/>
      <c r="J55" s="3" t="s">
        <v>3622</v>
      </c>
      <c r="K55" s="3"/>
      <c r="L55" s="3" t="s">
        <v>3623</v>
      </c>
      <c r="M55" s="3" t="str">
        <f>HYPERLINK("https://ceds.ed.gov/cedselementdetails.aspx?termid=6212")</f>
        <v>https://ceds.ed.gov/cedselementdetails.aspx?termid=6212</v>
      </c>
      <c r="N55" s="3" t="str">
        <f>HYPERLINK("https://ceds.ed.gov/elementComment.aspx?elementName=Learning Resource Education Level  &amp;elementID=6212", "Click here to submit comment")</f>
        <v>Click here to submit comment</v>
      </c>
    </row>
    <row r="56" spans="1:14" ht="105">
      <c r="A56" s="3" t="s">
        <v>3624</v>
      </c>
      <c r="B56" s="3" t="s">
        <v>3625</v>
      </c>
      <c r="C56" s="4" t="s">
        <v>6565</v>
      </c>
      <c r="D56" s="3" t="s">
        <v>6226</v>
      </c>
      <c r="E56" s="3"/>
      <c r="F56" s="3" t="s">
        <v>66</v>
      </c>
      <c r="G56" s="3"/>
      <c r="H56" s="3" t="s">
        <v>3626</v>
      </c>
      <c r="I56" s="3"/>
      <c r="J56" s="3" t="s">
        <v>3627</v>
      </c>
      <c r="K56" s="3"/>
      <c r="L56" s="3" t="s">
        <v>3628</v>
      </c>
      <c r="M56" s="3" t="str">
        <f>HYPERLINK("https://ceds.ed.gov/cedselementdetails.aspx?termid=6005")</f>
        <v>https://ceds.ed.gov/cedselementdetails.aspx?termid=6005</v>
      </c>
      <c r="N56" s="3" t="str">
        <f>HYPERLINK("https://ceds.ed.gov/elementComment.aspx?elementName=Learning Resource Educational Use &amp;elementID=6005", "Click here to submit comment")</f>
        <v>Click here to submit comment</v>
      </c>
    </row>
    <row r="57" spans="1:14" ht="150">
      <c r="A57" s="3" t="s">
        <v>3637</v>
      </c>
      <c r="B57" s="3" t="s">
        <v>3638</v>
      </c>
      <c r="C57" s="5" t="s">
        <v>939</v>
      </c>
      <c r="D57" s="3" t="s">
        <v>6226</v>
      </c>
      <c r="E57" s="3"/>
      <c r="F57" s="3" t="s">
        <v>66</v>
      </c>
      <c r="G57" s="3"/>
      <c r="H57" s="3" t="s">
        <v>3639</v>
      </c>
      <c r="I57" s="3" t="s">
        <v>3640</v>
      </c>
      <c r="J57" s="3" t="s">
        <v>3641</v>
      </c>
      <c r="K57" s="3"/>
      <c r="L57" s="3" t="s">
        <v>3642</v>
      </c>
      <c r="M57" s="3" t="str">
        <f>HYPERLINK("https://ceds.ed.gov/cedselementdetails.aspx?termid=5920")</f>
        <v>https://ceds.ed.gov/cedselementdetails.aspx?termid=5920</v>
      </c>
      <c r="N57" s="3" t="str">
        <f>HYPERLINK("https://ceds.ed.gov/elementComment.aspx?elementName=Learning Resource Language &amp;elementID=5920", "Click here to submit comment")</f>
        <v>Click here to submit comment</v>
      </c>
    </row>
    <row r="58" spans="1:14" ht="90">
      <c r="A58" s="3" t="s">
        <v>3695</v>
      </c>
      <c r="B58" s="3" t="s">
        <v>3696</v>
      </c>
      <c r="C58" s="3" t="s">
        <v>13</v>
      </c>
      <c r="D58" s="3" t="s">
        <v>6226</v>
      </c>
      <c r="E58" s="3"/>
      <c r="F58" s="3" t="s">
        <v>66</v>
      </c>
      <c r="G58" s="3" t="s">
        <v>3697</v>
      </c>
      <c r="H58" s="3" t="s">
        <v>3698</v>
      </c>
      <c r="I58" s="3"/>
      <c r="J58" s="3" t="s">
        <v>3699</v>
      </c>
      <c r="K58" s="3"/>
      <c r="L58" s="3" t="s">
        <v>3700</v>
      </c>
      <c r="M58" s="3" t="str">
        <f>HYPERLINK("https://ceds.ed.gov/cedselementdetails.aspx?termid=5925")</f>
        <v>https://ceds.ed.gov/cedselementdetails.aspx?termid=5925</v>
      </c>
      <c r="N58" s="3" t="str">
        <f>HYPERLINK("https://ceds.ed.gov/elementComment.aspx?elementName=Learning Resource Time Required &amp;elementID=5925", "Click here to submit comment")</f>
        <v>Click here to submit comment</v>
      </c>
    </row>
    <row r="59" spans="1:14" ht="360">
      <c r="A59" s="3" t="s">
        <v>3705</v>
      </c>
      <c r="B59" s="3" t="s">
        <v>3706</v>
      </c>
      <c r="C59" s="4" t="s">
        <v>6567</v>
      </c>
      <c r="D59" s="3" t="s">
        <v>6226</v>
      </c>
      <c r="E59" s="3"/>
      <c r="F59" s="3" t="s">
        <v>66</v>
      </c>
      <c r="G59" s="3"/>
      <c r="H59" s="3" t="s">
        <v>3621</v>
      </c>
      <c r="I59" s="3" t="s">
        <v>3707</v>
      </c>
      <c r="J59" s="3" t="s">
        <v>3708</v>
      </c>
      <c r="K59" s="3"/>
      <c r="L59" s="3" t="s">
        <v>3709</v>
      </c>
      <c r="M59" s="3" t="str">
        <f>HYPERLINK("https://ceds.ed.gov/cedselementdetails.aspx?termid=5929")</f>
        <v>https://ceds.ed.gov/cedselementdetails.aspx?termid=5929</v>
      </c>
      <c r="N59" s="3" t="str">
        <f>HYPERLINK("https://ceds.ed.gov/elementComment.aspx?elementName=Learning Resource Type &amp;elementID=5929", "Click here to submit comment")</f>
        <v>Click here to submit comment</v>
      </c>
    </row>
    <row r="60" spans="1:14" ht="90">
      <c r="A60" s="3" t="s">
        <v>3727</v>
      </c>
      <c r="B60" s="3" t="s">
        <v>3728</v>
      </c>
      <c r="C60" s="3" t="s">
        <v>13</v>
      </c>
      <c r="D60" s="3" t="s">
        <v>6226</v>
      </c>
      <c r="E60" s="3"/>
      <c r="F60" s="3" t="s">
        <v>66</v>
      </c>
      <c r="G60" s="3" t="s">
        <v>100</v>
      </c>
      <c r="H60" s="3" t="s">
        <v>1820</v>
      </c>
      <c r="I60" s="3"/>
      <c r="J60" s="3" t="s">
        <v>3729</v>
      </c>
      <c r="K60" s="3"/>
      <c r="L60" s="3" t="s">
        <v>3730</v>
      </c>
      <c r="M60" s="3" t="str">
        <f>HYPERLINK("https://ceds.ed.gov/cedselementdetails.aspx?termid=6182")</f>
        <v>https://ceds.ed.gov/cedselementdetails.aspx?termid=6182</v>
      </c>
      <c r="N60" s="3" t="str">
        <f>HYPERLINK("https://ceds.ed.gov/elementComment.aspx?elementName=Learning Resource Version &amp;elementID=6182", "Click here to submit comment")</f>
        <v>Click here to submit comment</v>
      </c>
    </row>
    <row r="61" spans="1:14" ht="165" customHeight="1">
      <c r="A61" s="3" t="s">
        <v>3816</v>
      </c>
      <c r="B61" s="3" t="s">
        <v>3817</v>
      </c>
      <c r="C61" s="4" t="s">
        <v>6568</v>
      </c>
      <c r="D61" s="3" t="s">
        <v>6244</v>
      </c>
      <c r="E61" s="3"/>
      <c r="F61" s="3" t="s">
        <v>66</v>
      </c>
      <c r="G61" s="3"/>
      <c r="H61" s="3" t="s">
        <v>848</v>
      </c>
      <c r="I61" s="3" t="s">
        <v>3818</v>
      </c>
      <c r="J61" s="3" t="s">
        <v>3820</v>
      </c>
      <c r="K61" s="3"/>
      <c r="L61" s="3" t="s">
        <v>3821</v>
      </c>
      <c r="M61" s="3" t="str">
        <f>HYPERLINK("https://ceds.ed.gov/cedselementdetails.aspx?termid=5869")</f>
        <v>https://ceds.ed.gov/cedselementdetails.aspx?termid=5869</v>
      </c>
      <c r="N61" s="3" t="str">
        <f>HYPERLINK("https://ceds.ed.gov/elementComment.aspx?elementName=Learning Standard Item Association Type &amp;elementID=5869", "Click here to submit comment")</f>
        <v>Click here to submit comment</v>
      </c>
    </row>
    <row r="62" spans="1:14" ht="345">
      <c r="A62" s="3" t="s">
        <v>3958</v>
      </c>
      <c r="B62" s="3" t="s">
        <v>3959</v>
      </c>
      <c r="C62" s="4" t="s">
        <v>6571</v>
      </c>
      <c r="D62" s="3" t="s">
        <v>3960</v>
      </c>
      <c r="E62" s="3"/>
      <c r="F62" s="3" t="s">
        <v>66</v>
      </c>
      <c r="G62" s="3"/>
      <c r="H62" s="3" t="s">
        <v>2309</v>
      </c>
      <c r="I62" s="3"/>
      <c r="J62" s="3" t="s">
        <v>3961</v>
      </c>
      <c r="K62" s="3"/>
      <c r="L62" s="3" t="s">
        <v>3962</v>
      </c>
      <c r="M62" s="3" t="str">
        <f>HYPERLINK("https://ceds.ed.gov/cedselementdetails.aspx?termid=5617")</f>
        <v>https://ceds.ed.gov/cedselementdetails.aspx?termid=5617</v>
      </c>
      <c r="N62" s="3" t="str">
        <f>HYPERLINK("https://ceds.ed.gov/elementComment.aspx?elementName=Leave Event Type &amp;elementID=5617", "Click here to submit comment")</f>
        <v>Click here to submit comment</v>
      </c>
    </row>
    <row r="63" spans="1:14" ht="135">
      <c r="A63" s="3" t="s">
        <v>4257</v>
      </c>
      <c r="B63" s="3" t="s">
        <v>4258</v>
      </c>
      <c r="C63" s="3" t="s">
        <v>13</v>
      </c>
      <c r="D63" s="3" t="s">
        <v>6259</v>
      </c>
      <c r="E63" s="3" t="s">
        <v>6252</v>
      </c>
      <c r="F63" s="3" t="s">
        <v>66</v>
      </c>
      <c r="G63" s="3" t="s">
        <v>1461</v>
      </c>
      <c r="H63" s="3" t="s">
        <v>1820</v>
      </c>
      <c r="I63" s="3"/>
      <c r="J63" s="3" t="s">
        <v>4259</v>
      </c>
      <c r="K63" s="3"/>
      <c r="L63" s="3" t="s">
        <v>4260</v>
      </c>
      <c r="M63" s="3" t="str">
        <f>HYPERLINK("https://ceds.ed.gov/cedselementdetails.aspx?termid=5200")</f>
        <v>https://ceds.ed.gov/cedselementdetails.aspx?termid=5200</v>
      </c>
      <c r="N63" s="3" t="str">
        <f>HYPERLINK("https://ceds.ed.gov/elementComment.aspx?elementName=Number of Credits Earned &amp;elementID=5200", "Click here to submit comment")</f>
        <v>Click here to submit comment</v>
      </c>
    </row>
    <row r="64" spans="1:14" ht="240">
      <c r="A64" s="3" t="s">
        <v>4337</v>
      </c>
      <c r="B64" s="3" t="s">
        <v>4338</v>
      </c>
      <c r="C64" s="4" t="s">
        <v>6364</v>
      </c>
      <c r="D64" s="3" t="s">
        <v>6264</v>
      </c>
      <c r="E64" s="3" t="s">
        <v>65</v>
      </c>
      <c r="F64" s="3" t="s">
        <v>66</v>
      </c>
      <c r="G64" s="3"/>
      <c r="H64" s="3" t="s">
        <v>2309</v>
      </c>
      <c r="I64" s="3"/>
      <c r="J64" s="3" t="s">
        <v>4339</v>
      </c>
      <c r="K64" s="3"/>
      <c r="L64" s="3" t="s">
        <v>4340</v>
      </c>
      <c r="M64" s="3" t="str">
        <f>HYPERLINK("https://ceds.ed.gov/cedselementdetails.aspx?termid=5827")</f>
        <v>https://ceds.ed.gov/cedselementdetails.aspx?termid=5827</v>
      </c>
      <c r="N64" s="3" t="str">
        <f>HYPERLINK("https://ceds.ed.gov/elementComment.aspx?elementName=Organization Identification System &amp;elementID=5827", "Click here to submit comment")</f>
        <v>Click here to submit comment</v>
      </c>
    </row>
    <row r="65" spans="1:14" ht="409.5">
      <c r="A65" s="3" t="s">
        <v>4361</v>
      </c>
      <c r="B65" s="3" t="s">
        <v>4362</v>
      </c>
      <c r="C65" s="4" t="s">
        <v>6592</v>
      </c>
      <c r="D65" s="3" t="s">
        <v>6269</v>
      </c>
      <c r="E65" s="3"/>
      <c r="F65" s="3" t="s">
        <v>66</v>
      </c>
      <c r="G65" s="3" t="s">
        <v>149</v>
      </c>
      <c r="H65" s="3" t="s">
        <v>4363</v>
      </c>
      <c r="I65" s="3" t="s">
        <v>4364</v>
      </c>
      <c r="J65" s="3" t="s">
        <v>4365</v>
      </c>
      <c r="K65" s="3"/>
      <c r="L65" s="3" t="s">
        <v>4366</v>
      </c>
      <c r="M65" s="3" t="str">
        <f>HYPERLINK("https://ceds.ed.gov/cedselementdetails.aspx?termid=6165")</f>
        <v>https://ceds.ed.gov/cedselementdetails.aspx?termid=6165</v>
      </c>
      <c r="N65" s="3" t="str">
        <f>HYPERLINK("https://ceds.ed.gov/elementComment.aspx?elementName=Organization Type &amp;elementID=6165", "Click here to submit comment")</f>
        <v>Click here to submit comment</v>
      </c>
    </row>
    <row r="66" spans="1:14" ht="225">
      <c r="A66" s="3" t="s">
        <v>4472</v>
      </c>
      <c r="B66" s="3" t="s">
        <v>4473</v>
      </c>
      <c r="C66" s="3" t="s">
        <v>13</v>
      </c>
      <c r="D66" s="3" t="s">
        <v>2483</v>
      </c>
      <c r="E66" s="3"/>
      <c r="F66" s="3" t="s">
        <v>66</v>
      </c>
      <c r="G66" s="3" t="s">
        <v>575</v>
      </c>
      <c r="H66" s="3" t="s">
        <v>4474</v>
      </c>
      <c r="I66" s="3" t="s">
        <v>4475</v>
      </c>
      <c r="J66" s="3" t="s">
        <v>4476</v>
      </c>
      <c r="K66" s="3"/>
      <c r="L66" s="3" t="s">
        <v>4477</v>
      </c>
      <c r="M66" s="3" t="str">
        <f>HYPERLINK("https://ceds.ed.gov/cedselementdetails.aspx?termid=5993")</f>
        <v>https://ceds.ed.gov/cedselementdetails.aspx?termid=5993</v>
      </c>
      <c r="N66" s="3" t="str">
        <f>HYPERLINK("https://ceds.ed.gov/elementComment.aspx?elementName=Person Employed in Multiple Jobs Count &amp;elementID=5993", "Click here to submit comment")</f>
        <v>Click here to submit comment</v>
      </c>
    </row>
    <row r="67" spans="1:14" ht="75">
      <c r="A67" s="3" t="s">
        <v>4676</v>
      </c>
      <c r="B67" s="3" t="s">
        <v>4677</v>
      </c>
      <c r="C67" s="3" t="s">
        <v>13</v>
      </c>
      <c r="D67" s="3" t="s">
        <v>6288</v>
      </c>
      <c r="E67" s="3" t="s">
        <v>202</v>
      </c>
      <c r="F67" s="3" t="s">
        <v>66</v>
      </c>
      <c r="G67" s="3" t="s">
        <v>106</v>
      </c>
      <c r="H67" s="3" t="s">
        <v>4678</v>
      </c>
      <c r="I67" s="3"/>
      <c r="J67" s="3" t="s">
        <v>4679</v>
      </c>
      <c r="K67" s="3"/>
      <c r="L67" s="3" t="s">
        <v>4680</v>
      </c>
      <c r="M67" s="3" t="str">
        <f>HYPERLINK("https://ceds.ed.gov/cedselementdetails.aspx?termid=5809")</f>
        <v>https://ceds.ed.gov/cedselementdetails.aspx?termid=5809</v>
      </c>
      <c r="N67" s="3" t="str">
        <f>HYPERLINK("https://ceds.ed.gov/elementComment.aspx?elementName=Professional Development Activity Title &amp;elementID=5809", "Click here to submit comment")</f>
        <v>Click here to submit comment</v>
      </c>
    </row>
    <row r="68" spans="1:14" ht="195">
      <c r="A68" s="3" t="s">
        <v>4763</v>
      </c>
      <c r="B68" s="3" t="s">
        <v>4764</v>
      </c>
      <c r="C68" s="4" t="s">
        <v>6620</v>
      </c>
      <c r="D68" s="3" t="s">
        <v>6293</v>
      </c>
      <c r="E68" s="3"/>
      <c r="F68" s="3" t="s">
        <v>66</v>
      </c>
      <c r="G68" s="3"/>
      <c r="H68" s="3" t="s">
        <v>848</v>
      </c>
      <c r="I68" s="3"/>
      <c r="J68" s="3" t="s">
        <v>4765</v>
      </c>
      <c r="K68" s="3"/>
      <c r="L68" s="3" t="s">
        <v>4766</v>
      </c>
      <c r="M68" s="3" t="str">
        <f>HYPERLINK("https://ceds.ed.gov/cedselementdetails.aspx?termid=5780")</f>
        <v>https://ceds.ed.gov/cedselementdetails.aspx?termid=5780</v>
      </c>
      <c r="N68" s="3" t="str">
        <f>HYPERLINK("https://ceds.ed.gov/elementComment.aspx?elementName=Professional or Technical Credential Conferred &amp;elementID=5780", "Click here to submit comment")</f>
        <v>Click here to submit comment</v>
      </c>
    </row>
    <row r="69" spans="1:14" ht="409.5">
      <c r="A69" s="3" t="s">
        <v>4788</v>
      </c>
      <c r="B69" s="3" t="s">
        <v>4789</v>
      </c>
      <c r="C69" s="4" t="s">
        <v>6623</v>
      </c>
      <c r="D69" s="3" t="s">
        <v>6296</v>
      </c>
      <c r="E69" s="3"/>
      <c r="F69" s="3" t="s">
        <v>66</v>
      </c>
      <c r="G69" s="3"/>
      <c r="H69" s="3" t="s">
        <v>94</v>
      </c>
      <c r="I69" s="3"/>
      <c r="J69" s="3" t="s">
        <v>4790</v>
      </c>
      <c r="K69" s="3"/>
      <c r="L69" s="3" t="s">
        <v>4791</v>
      </c>
      <c r="M69" s="3" t="str">
        <f>HYPERLINK("https://ceds.ed.gov/cedselementdetails.aspx?termid=6210")</f>
        <v>https://ceds.ed.gov/cedselementdetails.aspx?termid=6210</v>
      </c>
      <c r="N69" s="3" t="str">
        <f>HYPERLINK("https://ceds.ed.gov/elementComment.aspx?elementName=Program Gifted Eligibility Criteria &amp;elementID=6210", "Click here to submit comment")</f>
        <v>Click here to submit comment</v>
      </c>
    </row>
    <row r="70" spans="1:14" ht="270">
      <c r="A70" s="3" t="s">
        <v>4847</v>
      </c>
      <c r="B70" s="3" t="s">
        <v>4848</v>
      </c>
      <c r="C70" s="4" t="s">
        <v>6625</v>
      </c>
      <c r="D70" s="3" t="s">
        <v>6300</v>
      </c>
      <c r="E70" s="3"/>
      <c r="F70" s="3" t="s">
        <v>66</v>
      </c>
      <c r="G70" s="3"/>
      <c r="H70" s="3" t="s">
        <v>4849</v>
      </c>
      <c r="I70" s="3"/>
      <c r="J70" s="3" t="s">
        <v>4850</v>
      </c>
      <c r="K70" s="3"/>
      <c r="L70" s="3" t="s">
        <v>4851</v>
      </c>
      <c r="M70" s="3" t="str">
        <f>HYPERLINK("https://ceds.ed.gov/cedselementdetails.aspx?termid=5692")</f>
        <v>https://ceds.ed.gov/cedselementdetails.aspx?termid=5692</v>
      </c>
      <c r="N70" s="3" t="str">
        <f>HYPERLINK("https://ceds.ed.gov/elementComment.aspx?elementName=Program Sponsor Type &amp;elementID=5692", "Click here to submit comment")</f>
        <v>Click here to submit comment</v>
      </c>
    </row>
    <row r="71" spans="1:14" ht="409.5">
      <c r="A71" s="3" t="s">
        <v>4856</v>
      </c>
      <c r="B71" s="3" t="s">
        <v>4857</v>
      </c>
      <c r="C71" s="4" t="s">
        <v>6626</v>
      </c>
      <c r="D71" s="3" t="s">
        <v>6301</v>
      </c>
      <c r="E71" s="3" t="s">
        <v>5968</v>
      </c>
      <c r="F71" s="3" t="s">
        <v>66</v>
      </c>
      <c r="G71" s="3"/>
      <c r="H71" s="3" t="s">
        <v>4858</v>
      </c>
      <c r="I71" s="3"/>
      <c r="J71" s="3" t="s">
        <v>4859</v>
      </c>
      <c r="K71" s="3"/>
      <c r="L71" s="3" t="s">
        <v>4860</v>
      </c>
      <c r="M71" s="3" t="str">
        <f>HYPERLINK("https://ceds.ed.gov/cedselementdetails.aspx?termid=5225")</f>
        <v>https://ceds.ed.gov/cedselementdetails.aspx?termid=5225</v>
      </c>
      <c r="N71" s="3" t="str">
        <f>HYPERLINK("https://ceds.ed.gov/elementComment.aspx?elementName=Program Type &amp;elementID=5225", "Click here to submit comment")</f>
        <v>Click here to submit comment</v>
      </c>
    </row>
    <row r="72" spans="1:14" ht="75">
      <c r="A72" s="3" t="s">
        <v>4873</v>
      </c>
      <c r="B72" s="3" t="s">
        <v>4874</v>
      </c>
      <c r="C72" s="4" t="s">
        <v>6629</v>
      </c>
      <c r="D72" s="3" t="s">
        <v>2644</v>
      </c>
      <c r="E72" s="3" t="s">
        <v>2147</v>
      </c>
      <c r="F72" s="3" t="s">
        <v>66</v>
      </c>
      <c r="G72" s="3"/>
      <c r="H72" s="3" t="s">
        <v>4875</v>
      </c>
      <c r="I72" s="3"/>
      <c r="J72" s="3" t="s">
        <v>4876</v>
      </c>
      <c r="K72" s="3"/>
      <c r="L72" s="3" t="s">
        <v>4877</v>
      </c>
      <c r="M72" s="3" t="str">
        <f>HYPERLINK("https://ceds.ed.gov/cedselementdetails.aspx?termid=5305")</f>
        <v>https://ceds.ed.gov/cedselementdetails.aspx?termid=5305</v>
      </c>
      <c r="N72" s="3" t="str">
        <f>HYPERLINK("https://ceds.ed.gov/elementComment.aspx?elementName=Proof of Residency Type &amp;elementID=5305", "Click here to submit comment")</f>
        <v>Click here to submit comment</v>
      </c>
    </row>
    <row r="73" spans="1:14" ht="210">
      <c r="A73" s="3" t="s">
        <v>4961</v>
      </c>
      <c r="B73" s="3" t="s">
        <v>4962</v>
      </c>
      <c r="C73" s="3" t="s">
        <v>13</v>
      </c>
      <c r="D73" s="3" t="s">
        <v>2483</v>
      </c>
      <c r="E73" s="3"/>
      <c r="F73" s="3" t="s">
        <v>66</v>
      </c>
      <c r="G73" s="3" t="s">
        <v>3496</v>
      </c>
      <c r="H73" s="3" t="s">
        <v>4963</v>
      </c>
      <c r="I73" s="3" t="s">
        <v>4964</v>
      </c>
      <c r="J73" s="3" t="s">
        <v>4965</v>
      </c>
      <c r="K73" s="3"/>
      <c r="L73" s="3" t="s">
        <v>4966</v>
      </c>
      <c r="M73" s="3" t="str">
        <f>HYPERLINK("https://ceds.ed.gov/cedselementdetails.aspx?termid=5991")</f>
        <v>https://ceds.ed.gov/cedselementdetails.aspx?termid=5991</v>
      </c>
      <c r="N73" s="3" t="str">
        <f>HYPERLINK("https://ceds.ed.gov/elementComment.aspx?elementName=Quarterly Earnings &amp;elementID=5991", "Click here to submit comment")</f>
        <v>Click here to submit comment</v>
      </c>
    </row>
    <row r="74" spans="1:14" ht="90">
      <c r="A74" s="3" t="s">
        <v>4987</v>
      </c>
      <c r="B74" s="3" t="s">
        <v>4988</v>
      </c>
      <c r="C74" s="4" t="s">
        <v>6639</v>
      </c>
      <c r="D74" s="3" t="s">
        <v>1806</v>
      </c>
      <c r="E74" s="3" t="s">
        <v>218</v>
      </c>
      <c r="F74" s="3" t="s">
        <v>66</v>
      </c>
      <c r="G74" s="3"/>
      <c r="H74" s="3" t="s">
        <v>4989</v>
      </c>
      <c r="I74" s="3"/>
      <c r="J74" s="3" t="s">
        <v>4990</v>
      </c>
      <c r="K74" s="3"/>
      <c r="L74" s="3" t="s">
        <v>4991</v>
      </c>
      <c r="M74" s="3" t="str">
        <f>HYPERLINK("https://ceds.ed.gov/cedselementdetails.aspx?termid=5230")</f>
        <v>https://ceds.ed.gov/cedselementdetails.aspx?termid=5230</v>
      </c>
      <c r="N74" s="3" t="str">
        <f>HYPERLINK("https://ceds.ed.gov/elementComment.aspx?elementName=Reconstituted Status &amp;elementID=5230", "Click here to submit comment")</f>
        <v>Click here to submit comment</v>
      </c>
    </row>
    <row r="75" spans="1:14" ht="120">
      <c r="A75" s="3" t="s">
        <v>5070</v>
      </c>
      <c r="B75" s="3" t="s">
        <v>5071</v>
      </c>
      <c r="C75" s="4" t="s">
        <v>6641</v>
      </c>
      <c r="D75" s="3" t="s">
        <v>6304</v>
      </c>
      <c r="E75" s="3" t="s">
        <v>218</v>
      </c>
      <c r="F75" s="3" t="s">
        <v>66</v>
      </c>
      <c r="G75" s="3"/>
      <c r="H75" s="3" t="s">
        <v>94</v>
      </c>
      <c r="I75" s="3"/>
      <c r="J75" s="3" t="s">
        <v>5072</v>
      </c>
      <c r="K75" s="3"/>
      <c r="L75" s="3" t="s">
        <v>5073</v>
      </c>
      <c r="M75" s="3" t="str">
        <f>HYPERLINK("https://ceds.ed.gov/cedselementdetails.aspx?termid=5588")</f>
        <v>https://ceds.ed.gov/cedselementdetails.aspx?termid=5588</v>
      </c>
      <c r="N75" s="3" t="str">
        <f>HYPERLINK("https://ceds.ed.gov/elementComment.aspx?elementName=Responsible School Type &amp;elementID=5588", "Click here to submit comment")</f>
        <v>Click here to submit comment</v>
      </c>
    </row>
    <row r="76" spans="1:14" ht="120">
      <c r="A76" s="3" t="s">
        <v>5214</v>
      </c>
      <c r="B76" s="3" t="s">
        <v>5215</v>
      </c>
      <c r="C76" s="3" t="s">
        <v>13</v>
      </c>
      <c r="D76" s="3" t="s">
        <v>6077</v>
      </c>
      <c r="E76" s="3" t="s">
        <v>6078</v>
      </c>
      <c r="F76" s="3" t="s">
        <v>66</v>
      </c>
      <c r="G76" s="3" t="s">
        <v>2031</v>
      </c>
      <c r="H76" s="3" t="s">
        <v>5216</v>
      </c>
      <c r="I76" s="3" t="s">
        <v>5217</v>
      </c>
      <c r="J76" s="3" t="s">
        <v>5218</v>
      </c>
      <c r="K76" s="3" t="s">
        <v>5219</v>
      </c>
      <c r="L76" s="3" t="s">
        <v>5220</v>
      </c>
      <c r="M76" s="3" t="str">
        <f>HYPERLINK("https://ceds.ed.gov/cedselementdetails.aspx?termid=5250")</f>
        <v>https://ceds.ed.gov/cedselementdetails.aspx?termid=5250</v>
      </c>
      <c r="N76" s="3" t="str">
        <f>HYPERLINK("https://ceds.ed.gov/elementComment.aspx?elementName=School Codes for the Exchange of Data Sequence of Course &amp;elementID=5250", "Click here to submit comment")</f>
        <v>Click here to submit comment</v>
      </c>
    </row>
    <row r="77" spans="1:14" ht="60">
      <c r="A77" s="3" t="s">
        <v>5390</v>
      </c>
      <c r="B77" s="3" t="s">
        <v>5391</v>
      </c>
      <c r="C77" s="3" t="s">
        <v>5963</v>
      </c>
      <c r="D77" s="3" t="s">
        <v>1708</v>
      </c>
      <c r="E77" s="3" t="s">
        <v>237</v>
      </c>
      <c r="F77" s="3" t="s">
        <v>66</v>
      </c>
      <c r="G77" s="3"/>
      <c r="H77" s="3" t="s">
        <v>94</v>
      </c>
      <c r="I77" s="3"/>
      <c r="J77" s="3" t="s">
        <v>5392</v>
      </c>
      <c r="K77" s="3"/>
      <c r="L77" s="3" t="s">
        <v>5393</v>
      </c>
      <c r="M77" s="3" t="str">
        <f>HYPERLINK("https://ceds.ed.gov/cedselementdetails.aspx?termid=5744")</f>
        <v>https://ceds.ed.gov/cedselementdetails.aspx?termid=5744</v>
      </c>
      <c r="N77" s="3" t="str">
        <f>HYPERLINK("https://ceds.ed.gov/elementComment.aspx?elementName=Sorority Participation Status &amp;elementID=5744", "Click here to submit comment")</f>
        <v>Click here to submit comment</v>
      </c>
    </row>
    <row r="78" spans="1:14" ht="409.5">
      <c r="A78" s="3" t="s">
        <v>5406</v>
      </c>
      <c r="B78" s="3" t="s">
        <v>5407</v>
      </c>
      <c r="C78" s="4" t="s">
        <v>6660</v>
      </c>
      <c r="D78" s="3" t="s">
        <v>6316</v>
      </c>
      <c r="E78" s="3" t="s">
        <v>218</v>
      </c>
      <c r="F78" s="3" t="s">
        <v>66</v>
      </c>
      <c r="G78" s="3"/>
      <c r="H78" s="3" t="s">
        <v>5408</v>
      </c>
      <c r="I78" s="3"/>
      <c r="J78" s="3" t="s">
        <v>5409</v>
      </c>
      <c r="K78" s="3"/>
      <c r="L78" s="3" t="s">
        <v>5410</v>
      </c>
      <c r="M78" s="3" t="str">
        <f>HYPERLINK("https://ceds.ed.gov/cedselementdetails.aspx?termid=5260")</f>
        <v>https://ceds.ed.gov/cedselementdetails.aspx?termid=5260</v>
      </c>
      <c r="N78" s="3" t="str">
        <f>HYPERLINK("https://ceds.ed.gov/elementComment.aspx?elementName=Special Education Exit Reason &amp;elementID=5260", "Click here to submit comment")</f>
        <v>Click here to submit comment</v>
      </c>
    </row>
    <row r="79" spans="1:14" ht="60">
      <c r="A79" s="3" t="s">
        <v>5510</v>
      </c>
      <c r="B79" s="3" t="s">
        <v>5511</v>
      </c>
      <c r="C79" s="3" t="s">
        <v>13</v>
      </c>
      <c r="D79" s="3" t="s">
        <v>1542</v>
      </c>
      <c r="E79" s="3" t="s">
        <v>202</v>
      </c>
      <c r="F79" s="3" t="s">
        <v>66</v>
      </c>
      <c r="G79" s="3" t="s">
        <v>73</v>
      </c>
      <c r="H79" s="3" t="s">
        <v>5512</v>
      </c>
      <c r="I79" s="3"/>
      <c r="J79" s="3" t="s">
        <v>5513</v>
      </c>
      <c r="K79" s="3"/>
      <c r="L79" s="3" t="s">
        <v>5514</v>
      </c>
      <c r="M79" s="3" t="str">
        <f>HYPERLINK("https://ceds.ed.gov/cedselementdetails.aspx?termid=6068")</f>
        <v>https://ceds.ed.gov/cedselementdetails.aspx?termid=6068</v>
      </c>
      <c r="N79" s="3" t="str">
        <f>HYPERLINK("https://ceds.ed.gov/elementComment.aspx?elementName=Staff Professional Development Activity Completion Date &amp;elementID=6068", "Click here to submit comment")</f>
        <v>Click here to submit comment</v>
      </c>
    </row>
    <row r="80" spans="1:14" ht="60">
      <c r="A80" s="3" t="s">
        <v>5515</v>
      </c>
      <c r="B80" s="3" t="s">
        <v>5516</v>
      </c>
      <c r="C80" s="3" t="s">
        <v>13</v>
      </c>
      <c r="D80" s="3" t="s">
        <v>1542</v>
      </c>
      <c r="E80" s="3" t="s">
        <v>202</v>
      </c>
      <c r="F80" s="3" t="s">
        <v>66</v>
      </c>
      <c r="G80" s="3" t="s">
        <v>73</v>
      </c>
      <c r="H80" s="3" t="s">
        <v>5512</v>
      </c>
      <c r="I80" s="3"/>
      <c r="J80" s="3" t="s">
        <v>5517</v>
      </c>
      <c r="K80" s="3"/>
      <c r="L80" s="3" t="s">
        <v>5518</v>
      </c>
      <c r="M80" s="3" t="str">
        <f>HYPERLINK("https://ceds.ed.gov/cedselementdetails.aspx?termid=6067")</f>
        <v>https://ceds.ed.gov/cedselementdetails.aspx?termid=6067</v>
      </c>
      <c r="N80" s="3" t="str">
        <f>HYPERLINK("https://ceds.ed.gov/elementComment.aspx?elementName=Staff Professional Development Activity Start Date &amp;elementID=6067", "Click here to submit comment")</f>
        <v>Click here to submit comment</v>
      </c>
    </row>
    <row r="81" spans="1:14" ht="45">
      <c r="A81" s="3" t="s">
        <v>5605</v>
      </c>
      <c r="B81" s="3" t="s">
        <v>5606</v>
      </c>
      <c r="C81" s="3" t="s">
        <v>5963</v>
      </c>
      <c r="D81" s="3" t="s">
        <v>4066</v>
      </c>
      <c r="E81" s="3"/>
      <c r="F81" s="3" t="s">
        <v>66</v>
      </c>
      <c r="G81" s="3"/>
      <c r="H81" s="3" t="s">
        <v>5607</v>
      </c>
      <c r="I81" s="3"/>
      <c r="J81" s="3" t="s">
        <v>5608</v>
      </c>
      <c r="K81" s="3"/>
      <c r="L81" s="3" t="s">
        <v>5609</v>
      </c>
      <c r="M81" s="3" t="str">
        <f>HYPERLINK("https://ceds.ed.gov/cedselementdetails.aspx?termid=6191")</f>
        <v>https://ceds.ed.gov/cedselementdetails.aspx?termid=6191</v>
      </c>
      <c r="N81" s="3" t="str">
        <f>HYPERLINK("https://ceds.ed.gov/elementComment.aspx?elementName=Student Course Section Mark Final Indicator &amp;elementID=6191", "Click here to submit comment")</f>
        <v>Click here to submit comment</v>
      </c>
    </row>
    <row r="82" spans="1:14" ht="240">
      <c r="A82" s="3" t="s">
        <v>5699</v>
      </c>
      <c r="B82" s="3" t="s">
        <v>5700</v>
      </c>
      <c r="C82" s="4" t="s">
        <v>6671</v>
      </c>
      <c r="D82" s="3" t="s">
        <v>6333</v>
      </c>
      <c r="E82" s="3" t="s">
        <v>344</v>
      </c>
      <c r="F82" s="3" t="s">
        <v>66</v>
      </c>
      <c r="G82" s="3"/>
      <c r="H82" s="3" t="s">
        <v>2527</v>
      </c>
      <c r="I82" s="3"/>
      <c r="J82" s="3" t="s">
        <v>5701</v>
      </c>
      <c r="K82" s="3"/>
      <c r="L82" s="3" t="s">
        <v>5702</v>
      </c>
      <c r="M82" s="3" t="str">
        <f>HYPERLINK("https://ceds.ed.gov/cedselementdetails.aspx?termid=5277")</f>
        <v>https://ceds.ed.gov/cedselementdetails.aspx?termid=5277</v>
      </c>
      <c r="N82" s="3" t="str">
        <f>HYPERLINK("https://ceds.ed.gov/elementComment.aspx?elementName=Teaching Credential Basis &amp;elementID=5277", "Click here to submit comment")</f>
        <v>Click here to submit comment</v>
      </c>
    </row>
    <row r="83" spans="1:14" ht="45">
      <c r="A83" s="3" t="s">
        <v>5740</v>
      </c>
      <c r="B83" s="3" t="s">
        <v>5741</v>
      </c>
      <c r="C83" s="3" t="s">
        <v>5963</v>
      </c>
      <c r="D83" s="3" t="s">
        <v>1471</v>
      </c>
      <c r="E83" s="3" t="s">
        <v>207</v>
      </c>
      <c r="F83" s="3" t="s">
        <v>66</v>
      </c>
      <c r="G83" s="3"/>
      <c r="H83" s="3" t="s">
        <v>2177</v>
      </c>
      <c r="I83" s="3"/>
      <c r="J83" s="3" t="s">
        <v>5742</v>
      </c>
      <c r="K83" s="3"/>
      <c r="L83" s="3" t="s">
        <v>5743</v>
      </c>
      <c r="M83" s="3" t="str">
        <f>HYPERLINK("https://ceds.ed.gov/cedselementdetails.aspx?termid=5473")</f>
        <v>https://ceds.ed.gov/cedselementdetails.aspx?termid=5473</v>
      </c>
      <c r="N83" s="3" t="str">
        <f>HYPERLINK("https://ceds.ed.gov/elementComment.aspx?elementName=Terminated Title III Programs Due to Failure &amp;elementID=5473", "Click here to submit comment")</f>
        <v>Click here to submit comment</v>
      </c>
    </row>
    <row r="84" spans="1:14" ht="409.5">
      <c r="A84" s="3" t="s">
        <v>5932</v>
      </c>
      <c r="B84" s="3" t="s">
        <v>5933</v>
      </c>
      <c r="C84" s="4" t="s">
        <v>6696</v>
      </c>
      <c r="D84" s="3" t="s">
        <v>5934</v>
      </c>
      <c r="E84" s="3"/>
      <c r="F84" s="3" t="s">
        <v>66</v>
      </c>
      <c r="G84" s="3"/>
      <c r="H84" s="3" t="s">
        <v>5935</v>
      </c>
      <c r="I84" s="3" t="s">
        <v>5936</v>
      </c>
      <c r="J84" s="3" t="s">
        <v>5937</v>
      </c>
      <c r="K84" s="3"/>
      <c r="L84" s="3" t="s">
        <v>5938</v>
      </c>
      <c r="M84" s="3" t="str">
        <f>HYPERLINK("https://ceds.ed.gov/cedselementdetails.aspx?termid=6000")</f>
        <v>https://ceds.ed.gov/cedselementdetails.aspx?termid=6000</v>
      </c>
      <c r="N84" s="3" t="str">
        <f>HYPERLINK("https://ceds.ed.gov/elementComment.aspx?elementName=Workforce Program Participation &amp;elementID=6000", "Click here to submit comment")</f>
        <v>Click here to submit comment</v>
      </c>
    </row>
    <row r="85" spans="1:14" ht="180">
      <c r="A85" s="3" t="s">
        <v>5939</v>
      </c>
      <c r="B85" s="3" t="s">
        <v>5940</v>
      </c>
      <c r="C85" s="3" t="s">
        <v>13</v>
      </c>
      <c r="D85" s="3" t="s">
        <v>5934</v>
      </c>
      <c r="E85" s="3"/>
      <c r="F85" s="3" t="s">
        <v>66</v>
      </c>
      <c r="G85" s="3" t="s">
        <v>73</v>
      </c>
      <c r="H85" s="3" t="s">
        <v>5941</v>
      </c>
      <c r="I85" s="3" t="s">
        <v>5942</v>
      </c>
      <c r="J85" s="3" t="s">
        <v>5943</v>
      </c>
      <c r="K85" s="3"/>
      <c r="L85" s="3" t="s">
        <v>5944</v>
      </c>
      <c r="M85" s="3" t="str">
        <f>HYPERLINK("https://ceds.ed.gov/cedselementdetails.aspx?termid=6002")</f>
        <v>https://ceds.ed.gov/cedselementdetails.aspx?termid=6002</v>
      </c>
      <c r="N85" s="3" t="str">
        <f>HYPERLINK("https://ceds.ed.gov/elementComment.aspx?elementName=Workforce Program Participation End Date &amp;elementID=6002", "Click here to submit comment")</f>
        <v>Click here to submit comment</v>
      </c>
    </row>
    <row r="86" spans="1:14" ht="180">
      <c r="A86" s="3" t="s">
        <v>5945</v>
      </c>
      <c r="B86" s="3" t="s">
        <v>5946</v>
      </c>
      <c r="C86" s="3" t="s">
        <v>13</v>
      </c>
      <c r="D86" s="3" t="s">
        <v>5934</v>
      </c>
      <c r="E86" s="3"/>
      <c r="F86" s="3" t="s">
        <v>66</v>
      </c>
      <c r="G86" s="3" t="s">
        <v>73</v>
      </c>
      <c r="H86" s="3" t="s">
        <v>5947</v>
      </c>
      <c r="I86" s="3" t="s">
        <v>5942</v>
      </c>
      <c r="J86" s="3" t="s">
        <v>5948</v>
      </c>
      <c r="K86" s="3"/>
      <c r="L86" s="3" t="s">
        <v>5949</v>
      </c>
      <c r="M86" s="3" t="str">
        <f>HYPERLINK("https://ceds.ed.gov/cedselementdetails.aspx?termid=6001")</f>
        <v>https://ceds.ed.gov/cedselementdetails.aspx?termid=6001</v>
      </c>
      <c r="N86" s="3" t="str">
        <f>HYPERLINK("https://ceds.ed.gov/elementComment.aspx?elementName=Workforce Program Participation Start Date &amp;elementID=6001", "Click here to submit comment")</f>
        <v>Click here to submit comment</v>
      </c>
    </row>
  </sheetData>
  <autoFilter ref="A1:O86"/>
  <hyperlinks>
    <hyperlink ref="C52" r:id="rId1" display="languageCodes.aspx"/>
    <hyperlink ref="C57" r:id="rId2" display="languageCodes.aspx"/>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13"/>
  <sheetViews>
    <sheetView workbookViewId="0">
      <pane ySplit="1" topLeftCell="A2" activePane="bottomLeft" state="frozen"/>
      <selection pane="bottomLeft" activeCell="A2" sqref="A2"/>
    </sheetView>
  </sheetViews>
  <sheetFormatPr defaultRowHeight="15"/>
  <cols>
    <col min="1" max="5" width="36.5703125" style="9" bestFit="1" customWidth="1"/>
    <col min="6" max="6" width="11.140625" style="9" bestFit="1" customWidth="1"/>
    <col min="7" max="9" width="36.5703125" style="9" bestFit="1" customWidth="1"/>
    <col min="10" max="10" width="9" style="9" bestFit="1" customWidth="1"/>
    <col min="11" max="12" width="36.5703125" style="9" bestFit="1" customWidth="1"/>
    <col min="13" max="13" width="57" style="9" customWidth="1"/>
    <col min="14" max="14" width="31.85546875" style="9" customWidth="1"/>
    <col min="15" max="16384" width="9.140625" style="9"/>
  </cols>
  <sheetData>
    <row r="1" spans="1:14" s="8" customFormat="1" ht="30">
      <c r="A1" s="1" t="s">
        <v>6697</v>
      </c>
      <c r="B1" s="1" t="s">
        <v>6698</v>
      </c>
      <c r="C1" s="1" t="s">
        <v>6699</v>
      </c>
      <c r="D1" s="1" t="s">
        <v>6700</v>
      </c>
      <c r="E1" s="1" t="s">
        <v>6710</v>
      </c>
      <c r="F1" s="1" t="s">
        <v>6701</v>
      </c>
      <c r="G1" s="1" t="s">
        <v>6702</v>
      </c>
      <c r="H1" s="1" t="s">
        <v>6703</v>
      </c>
      <c r="I1" s="1" t="s">
        <v>6704</v>
      </c>
      <c r="J1" s="2" t="s">
        <v>6705</v>
      </c>
      <c r="K1" s="1" t="s">
        <v>6706</v>
      </c>
      <c r="L1" s="1" t="s">
        <v>6707</v>
      </c>
      <c r="M1" s="1" t="s">
        <v>6708</v>
      </c>
      <c r="N1" s="1" t="s">
        <v>6709</v>
      </c>
    </row>
    <row r="2" spans="1:14" ht="60">
      <c r="A2" s="3" t="s">
        <v>80</v>
      </c>
      <c r="B2" s="3" t="s">
        <v>81</v>
      </c>
      <c r="C2" s="3" t="s">
        <v>13</v>
      </c>
      <c r="D2" s="3"/>
      <c r="E2" s="3"/>
      <c r="F2" s="3" t="s">
        <v>82</v>
      </c>
      <c r="G2" s="3" t="s">
        <v>73</v>
      </c>
      <c r="H2" s="3"/>
      <c r="I2" s="3" t="s">
        <v>83</v>
      </c>
      <c r="J2" s="3" t="s">
        <v>84</v>
      </c>
      <c r="K2" s="3"/>
      <c r="L2" s="3" t="s">
        <v>85</v>
      </c>
      <c r="M2" s="3" t="str">
        <f>HYPERLINK("https://ceds.ed.gov/cedselementdetails.aspx?termid=5899")</f>
        <v>https://ceds.ed.gov/cedselementdetails.aspx?termid=5899</v>
      </c>
      <c r="N2" s="3" t="str">
        <f>HYPERLINK("https://ceds.ed.gov/elementComment.aspx?elementName=Achievement Award Expires Date &amp;elementID=5899", "Click here to submit comment")</f>
        <v>Click here to submit comment</v>
      </c>
    </row>
    <row r="3" spans="1:14" ht="45">
      <c r="A3" s="3" t="s">
        <v>118</v>
      </c>
      <c r="B3" s="3" t="s">
        <v>119</v>
      </c>
      <c r="C3" s="3" t="s">
        <v>13</v>
      </c>
      <c r="D3" s="3"/>
      <c r="E3" s="3"/>
      <c r="F3" s="3" t="s">
        <v>82</v>
      </c>
      <c r="G3" s="3" t="s">
        <v>73</v>
      </c>
      <c r="H3" s="3"/>
      <c r="I3" s="3"/>
      <c r="J3" s="3" t="s">
        <v>120</v>
      </c>
      <c r="K3" s="3"/>
      <c r="L3" s="3" t="s">
        <v>121</v>
      </c>
      <c r="M3" s="3" t="str">
        <f>HYPERLINK("https://ceds.ed.gov/cedselementdetails.aspx?termid=5897")</f>
        <v>https://ceds.ed.gov/cedselementdetails.aspx?termid=5897</v>
      </c>
      <c r="N3" s="3" t="str">
        <f>HYPERLINK("https://ceds.ed.gov/elementComment.aspx?elementName=Achievement Date &amp;elementID=5897", "Click here to submit comment")</f>
        <v>Click here to submit comment</v>
      </c>
    </row>
    <row r="4" spans="1:14" ht="45">
      <c r="A4" s="3" t="s">
        <v>2794</v>
      </c>
      <c r="B4" s="3" t="s">
        <v>2795</v>
      </c>
      <c r="C4" s="3" t="s">
        <v>5963</v>
      </c>
      <c r="D4" s="3"/>
      <c r="E4" s="3"/>
      <c r="F4" s="3" t="s">
        <v>82</v>
      </c>
      <c r="G4" s="3"/>
      <c r="H4" s="3"/>
      <c r="I4" s="3"/>
      <c r="J4" s="3" t="s">
        <v>2796</v>
      </c>
      <c r="K4" s="3"/>
      <c r="L4" s="3" t="s">
        <v>2797</v>
      </c>
      <c r="M4" s="3" t="str">
        <f>HYPERLINK("https://ceds.ed.gov/cedselementdetails.aspx?termid=5783")</f>
        <v>https://ceds.ed.gov/cedselementdetails.aspx?termid=5783</v>
      </c>
      <c r="N4" s="3" t="str">
        <f>HYPERLINK("https://ceds.ed.gov/elementComment.aspx?elementName=Foster Care Status &amp;elementID=5783", "Click here to submit comment")</f>
        <v>Click here to submit comment</v>
      </c>
    </row>
    <row r="5" spans="1:14" ht="409.5">
      <c r="A5" s="3" t="s">
        <v>3648</v>
      </c>
      <c r="B5" s="3" t="s">
        <v>3649</v>
      </c>
      <c r="C5" s="4" t="s">
        <v>6566</v>
      </c>
      <c r="D5" s="3"/>
      <c r="E5" s="3"/>
      <c r="F5" s="3" t="s">
        <v>82</v>
      </c>
      <c r="G5" s="3"/>
      <c r="H5" s="3"/>
      <c r="I5" s="3" t="s">
        <v>3650</v>
      </c>
      <c r="J5" s="3" t="s">
        <v>3651</v>
      </c>
      <c r="K5" s="3"/>
      <c r="L5" s="3" t="s">
        <v>3652</v>
      </c>
      <c r="M5" s="3" t="str">
        <f>HYPERLINK("https://ceds.ed.gov/cedselementdetails.aspx?termid=5921")</f>
        <v>https://ceds.ed.gov/cedselementdetails.aspx?termid=5921</v>
      </c>
      <c r="N5" s="3" t="str">
        <f>HYPERLINK("https://ceds.ed.gov/elementComment.aspx?elementName=Learning Resource Media Type &amp;elementID=5921", "Click here to submit comment")</f>
        <v>Click here to submit comment</v>
      </c>
    </row>
    <row r="6" spans="1:14" ht="45">
      <c r="A6" s="3" t="s">
        <v>4455</v>
      </c>
      <c r="B6" s="3" t="s">
        <v>4456</v>
      </c>
      <c r="C6" s="3" t="s">
        <v>13</v>
      </c>
      <c r="D6" s="3"/>
      <c r="E6" s="3"/>
      <c r="F6" s="3" t="s">
        <v>82</v>
      </c>
      <c r="G6" s="3" t="s">
        <v>93</v>
      </c>
      <c r="H6" s="3"/>
      <c r="I6" s="3"/>
      <c r="J6" s="3" t="s">
        <v>4457</v>
      </c>
      <c r="K6" s="3"/>
      <c r="L6" s="3" t="s">
        <v>4458</v>
      </c>
      <c r="M6" s="3" t="str">
        <f>HYPERLINK("https://ceds.ed.gov/cedselementdetails.aspx?termid=6071")</f>
        <v>https://ceds.ed.gov/cedselementdetails.aspx?termid=6071</v>
      </c>
      <c r="N6" s="3" t="str">
        <f>HYPERLINK("https://ceds.ed.gov/elementComment.aspx?elementName=Performance Level Descriptive Feedback &amp;elementID=6071", "Click here to submit comment")</f>
        <v>Click here to submit comment</v>
      </c>
    </row>
    <row r="7" spans="1:14" ht="120">
      <c r="A7" s="3" t="s">
        <v>4516</v>
      </c>
      <c r="B7" s="3" t="s">
        <v>4517</v>
      </c>
      <c r="C7" s="3" t="s">
        <v>6282</v>
      </c>
      <c r="D7" s="3"/>
      <c r="E7" s="3" t="s">
        <v>24</v>
      </c>
      <c r="F7" s="3" t="s">
        <v>82</v>
      </c>
      <c r="G7" s="3"/>
      <c r="H7" s="3"/>
      <c r="I7" s="3"/>
      <c r="J7" s="3" t="s">
        <v>4518</v>
      </c>
      <c r="K7" s="3"/>
      <c r="L7" s="3" t="s">
        <v>4519</v>
      </c>
      <c r="M7" s="3" t="str">
        <f>HYPERLINK("https://ceds.ed.gov/cedselementdetails.aspx?termid=5215")</f>
        <v>https://ceds.ed.gov/cedselementdetails.aspx?termid=5215</v>
      </c>
      <c r="N7" s="3" t="str">
        <f>HYPERLINK("https://ceds.ed.gov/elementComment.aspx?elementName=Postsecondary Course Level &amp;elementID=5215", "Click here to submit comment")</f>
        <v>Click here to submit comment</v>
      </c>
    </row>
    <row r="8" spans="1:14" ht="409.5">
      <c r="A8" s="3" t="s">
        <v>4599</v>
      </c>
      <c r="B8" s="3" t="s">
        <v>4600</v>
      </c>
      <c r="C8" s="4" t="s">
        <v>6609</v>
      </c>
      <c r="D8" s="3"/>
      <c r="E8" s="3"/>
      <c r="F8" s="3" t="s">
        <v>82</v>
      </c>
      <c r="G8" s="3"/>
      <c r="H8" s="3"/>
      <c r="I8" s="3"/>
      <c r="J8" s="3" t="s">
        <v>4601</v>
      </c>
      <c r="K8" s="3"/>
      <c r="L8" s="3" t="s">
        <v>4602</v>
      </c>
      <c r="M8" s="3" t="str">
        <f>HYPERLINK("https://ceds.ed.gov/cedselementdetails.aspx?termid=5090")</f>
        <v>https://ceds.ed.gov/cedselementdetails.aspx?termid=5090</v>
      </c>
      <c r="N8" s="3" t="str">
        <f>HYPERLINK("https://ceds.ed.gov/elementComment.aspx?elementName=Prior to Secondary Course Identifier &amp;elementID=5090", "Click here to submit comment")</f>
        <v>Click here to submit comment</v>
      </c>
    </row>
    <row r="9" spans="1:14" ht="409.5">
      <c r="A9" s="3" t="s">
        <v>4603</v>
      </c>
      <c r="B9" s="3" t="s">
        <v>4604</v>
      </c>
      <c r="C9" s="4" t="s">
        <v>6610</v>
      </c>
      <c r="D9" s="3"/>
      <c r="E9" s="3"/>
      <c r="F9" s="3" t="s">
        <v>82</v>
      </c>
      <c r="G9" s="3"/>
      <c r="H9" s="3"/>
      <c r="I9" s="3"/>
      <c r="J9" s="3" t="s">
        <v>4605</v>
      </c>
      <c r="K9" s="3"/>
      <c r="L9" s="3" t="s">
        <v>4606</v>
      </c>
      <c r="M9" s="3" t="str">
        <f>HYPERLINK("https://ceds.ed.gov/cedselementdetails.aspx?termid=6118")</f>
        <v>https://ceds.ed.gov/cedselementdetails.aspx?termid=6118</v>
      </c>
      <c r="N9" s="3" t="str">
        <f>HYPERLINK("https://ceds.ed.gov/elementComment.aspx?elementName=Prior to Secondary Course Subject Area &amp;elementID=6118", "Click here to submit comment")</f>
        <v>Click here to submit comment</v>
      </c>
    </row>
    <row r="10" spans="1:14" ht="120">
      <c r="A10" s="3" t="s">
        <v>5272</v>
      </c>
      <c r="B10" s="3" t="s">
        <v>5273</v>
      </c>
      <c r="C10" s="3" t="s">
        <v>5274</v>
      </c>
      <c r="D10" s="3"/>
      <c r="E10" s="3" t="s">
        <v>6078</v>
      </c>
      <c r="F10" s="3" t="s">
        <v>82</v>
      </c>
      <c r="G10" s="3"/>
      <c r="H10" s="3"/>
      <c r="I10" s="3"/>
      <c r="J10" s="3" t="s">
        <v>5275</v>
      </c>
      <c r="K10" s="3"/>
      <c r="L10" s="3" t="s">
        <v>5276</v>
      </c>
      <c r="M10" s="3" t="str">
        <f>HYPERLINK("https://ceds.ed.gov/cedselementdetails.aspx?termid=5246")</f>
        <v>https://ceds.ed.gov/cedselementdetails.aspx?termid=5246</v>
      </c>
      <c r="N10" s="3" t="str">
        <f>HYPERLINK("https://ceds.ed.gov/elementComment.aspx?elementName=Secondary Course Identifier &amp;elementID=5246", "Click here to submit comment")</f>
        <v>Click here to submit comment</v>
      </c>
    </row>
    <row r="11" spans="1:14" ht="120">
      <c r="A11" s="3" t="s">
        <v>5277</v>
      </c>
      <c r="B11" s="3" t="s">
        <v>5278</v>
      </c>
      <c r="C11" s="4" t="s">
        <v>6651</v>
      </c>
      <c r="D11" s="3"/>
      <c r="E11" s="3" t="s">
        <v>6078</v>
      </c>
      <c r="F11" s="3" t="s">
        <v>82</v>
      </c>
      <c r="G11" s="3"/>
      <c r="H11" s="3"/>
      <c r="I11" s="3"/>
      <c r="J11" s="3" t="s">
        <v>5279</v>
      </c>
      <c r="K11" s="3"/>
      <c r="L11" s="3" t="s">
        <v>5280</v>
      </c>
      <c r="M11" s="3" t="str">
        <f>HYPERLINK("https://ceds.ed.gov/cedselementdetails.aspx?termid=5247")</f>
        <v>https://ceds.ed.gov/cedselementdetails.aspx?termid=5247</v>
      </c>
      <c r="N11" s="3" t="str">
        <f>HYPERLINK("https://ceds.ed.gov/elementComment.aspx?elementName=Secondary Course Level &amp;elementID=5247", "Click here to submit comment")</f>
        <v>Click here to submit comment</v>
      </c>
    </row>
    <row r="12" spans="1:14" ht="409.5">
      <c r="A12" s="3" t="s">
        <v>5281</v>
      </c>
      <c r="B12" s="3" t="s">
        <v>5282</v>
      </c>
      <c r="C12" s="4" t="s">
        <v>6652</v>
      </c>
      <c r="D12" s="3"/>
      <c r="E12" s="3" t="s">
        <v>6078</v>
      </c>
      <c r="F12" s="3" t="s">
        <v>82</v>
      </c>
      <c r="G12" s="3"/>
      <c r="H12" s="3"/>
      <c r="I12" s="3"/>
      <c r="J12" s="3" t="s">
        <v>5283</v>
      </c>
      <c r="K12" s="3"/>
      <c r="L12" s="3" t="s">
        <v>5284</v>
      </c>
      <c r="M12" s="3" t="str">
        <f>HYPERLINK("https://ceds.ed.gov/cedselementdetails.aspx?termid=5248")</f>
        <v>https://ceds.ed.gov/cedselementdetails.aspx?termid=5248</v>
      </c>
      <c r="N12" s="3" t="str">
        <f>HYPERLINK("https://ceds.ed.gov/elementComment.aspx?elementName=Secondary Course Subject Area &amp;elementID=5248", "Click here to submit comment")</f>
        <v>Click here to submit comment</v>
      </c>
    </row>
    <row r="13" spans="1:14" ht="409.5">
      <c r="A13" s="3" t="s">
        <v>5950</v>
      </c>
      <c r="B13" s="3" t="s">
        <v>5951</v>
      </c>
      <c r="C13" s="4" t="s">
        <v>6696</v>
      </c>
      <c r="D13" s="3"/>
      <c r="E13" s="3"/>
      <c r="F13" s="3" t="s">
        <v>82</v>
      </c>
      <c r="G13" s="3"/>
      <c r="H13" s="3"/>
      <c r="I13" s="3"/>
      <c r="J13" s="3" t="s">
        <v>5952</v>
      </c>
      <c r="K13" s="3"/>
      <c r="L13" s="3" t="s">
        <v>5953</v>
      </c>
      <c r="M13" s="3" t="str">
        <f>HYPERLINK("https://ceds.ed.gov/cedselementdetails.aspx?termid=5999")</f>
        <v>https://ceds.ed.gov/cedselementdetails.aspx?termid=5999</v>
      </c>
      <c r="N13" s="3" t="str">
        <f>HYPERLINK("https://ceds.ed.gov/elementComment.aspx?elementName=Workforce Program Participation While Enrolled in an Education Program &amp;elementID=5999", "Click here to submit comment")</f>
        <v>Click here to submit comment</v>
      </c>
    </row>
  </sheetData>
  <autoFilter ref="A1:O13"/>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N70"/>
  <sheetViews>
    <sheetView workbookViewId="0">
      <pane ySplit="1" topLeftCell="A2" activePane="bottomLeft" state="frozen"/>
      <selection pane="bottomLeft" activeCell="A2" sqref="A2"/>
    </sheetView>
  </sheetViews>
  <sheetFormatPr defaultRowHeight="15"/>
  <cols>
    <col min="1" max="5" width="36.5703125" style="9" bestFit="1" customWidth="1"/>
    <col min="6" max="6" width="11.140625" style="9" bestFit="1" customWidth="1"/>
    <col min="7" max="9" width="36.5703125" style="9" bestFit="1" customWidth="1"/>
    <col min="10" max="10" width="9" style="9" bestFit="1" customWidth="1"/>
    <col min="11" max="12" width="36.5703125" style="9" bestFit="1" customWidth="1"/>
    <col min="13" max="13" width="57" style="9" customWidth="1"/>
    <col min="14" max="14" width="31.85546875" style="9" customWidth="1"/>
    <col min="15" max="16384" width="9.140625" style="9"/>
  </cols>
  <sheetData>
    <row r="1" spans="1:14" s="8" customFormat="1" ht="30">
      <c r="A1" s="1" t="s">
        <v>6697</v>
      </c>
      <c r="B1" s="1" t="s">
        <v>6698</v>
      </c>
      <c r="C1" s="1" t="s">
        <v>6699</v>
      </c>
      <c r="D1" s="1" t="s">
        <v>6700</v>
      </c>
      <c r="E1" s="1" t="s">
        <v>6710</v>
      </c>
      <c r="F1" s="1" t="s">
        <v>6701</v>
      </c>
      <c r="G1" s="1" t="s">
        <v>6702</v>
      </c>
      <c r="H1" s="1" t="s">
        <v>6703</v>
      </c>
      <c r="I1" s="1" t="s">
        <v>6704</v>
      </c>
      <c r="J1" s="2" t="s">
        <v>6705</v>
      </c>
      <c r="K1" s="1" t="s">
        <v>6706</v>
      </c>
      <c r="L1" s="1" t="s">
        <v>6707</v>
      </c>
      <c r="M1" s="1" t="s">
        <v>6708</v>
      </c>
      <c r="N1" s="1" t="s">
        <v>6709</v>
      </c>
    </row>
    <row r="2" spans="1:14" ht="90">
      <c r="A2" s="3" t="s">
        <v>0</v>
      </c>
      <c r="B2" s="3" t="s">
        <v>1</v>
      </c>
      <c r="C2" s="3" t="s">
        <v>5963</v>
      </c>
      <c r="D2" s="3" t="s">
        <v>5964</v>
      </c>
      <c r="E2" s="3" t="s">
        <v>2</v>
      </c>
      <c r="F2" s="3" t="s">
        <v>3</v>
      </c>
      <c r="G2" s="3"/>
      <c r="H2" s="3"/>
      <c r="I2" s="3"/>
      <c r="J2" s="3" t="s">
        <v>4</v>
      </c>
      <c r="K2" s="3"/>
      <c r="L2" s="3" t="s">
        <v>5</v>
      </c>
      <c r="M2" s="3" t="str">
        <f>HYPERLINK("https://ceds.ed.gov/cedselementdetails.aspx?termid=5000")</f>
        <v>https://ceds.ed.gov/cedselementdetails.aspx?termid=5000</v>
      </c>
      <c r="N2" s="3" t="str">
        <f>HYPERLINK("https://ceds.ed.gov/elementComment.aspx?elementName=Ability Grouping Status &amp;elementID=5000", "Click here to submit comment")</f>
        <v>Click here to submit comment</v>
      </c>
    </row>
    <row r="3" spans="1:14" ht="285">
      <c r="A3" s="3" t="s">
        <v>18</v>
      </c>
      <c r="B3" s="3" t="s">
        <v>19</v>
      </c>
      <c r="C3" s="4" t="s">
        <v>6346</v>
      </c>
      <c r="D3" s="3" t="s">
        <v>5966</v>
      </c>
      <c r="E3" s="3" t="s">
        <v>5967</v>
      </c>
      <c r="F3" s="3" t="s">
        <v>3</v>
      </c>
      <c r="G3" s="3"/>
      <c r="H3" s="3"/>
      <c r="I3" s="3"/>
      <c r="J3" s="3" t="s">
        <v>20</v>
      </c>
      <c r="K3" s="3"/>
      <c r="L3" s="3" t="s">
        <v>21</v>
      </c>
      <c r="M3" s="3" t="str">
        <f>HYPERLINK("https://ceds.ed.gov/cedselementdetails.aspx?termid=5002")</f>
        <v>https://ceds.ed.gov/cedselementdetails.aspx?termid=5002</v>
      </c>
      <c r="N3" s="3" t="str">
        <f>HYPERLINK("https://ceds.ed.gov/elementComment.aspx?elementName=Academic Award Level Conferred &amp;elementID=5002", "Click here to submit comment")</f>
        <v>Click here to submit comment</v>
      </c>
    </row>
    <row r="4" spans="1:14" ht="409.5">
      <c r="A4" s="3" t="s">
        <v>170</v>
      </c>
      <c r="B4" s="3" t="s">
        <v>171</v>
      </c>
      <c r="C4" s="3" t="s">
        <v>13</v>
      </c>
      <c r="D4" s="3" t="s">
        <v>5972</v>
      </c>
      <c r="E4" s="3" t="s">
        <v>5973</v>
      </c>
      <c r="F4" s="3" t="s">
        <v>3</v>
      </c>
      <c r="G4" s="3" t="s">
        <v>100</v>
      </c>
      <c r="H4" s="3"/>
      <c r="I4" s="3"/>
      <c r="J4" s="3" t="s">
        <v>172</v>
      </c>
      <c r="K4" s="3"/>
      <c r="L4" s="3" t="s">
        <v>173</v>
      </c>
      <c r="M4" s="3" t="str">
        <f>HYPERLINK("https://ceds.ed.gov/cedselementdetails.aspx?termid=5019")</f>
        <v>https://ceds.ed.gov/cedselementdetails.aspx?termid=5019</v>
      </c>
      <c r="N4" s="3" t="str">
        <f>HYPERLINK("https://ceds.ed.gov/elementComment.aspx?elementName=Address Apartment Room or Suite Number &amp;elementID=5019", "Click here to submit comment")</f>
        <v>Click here to submit comment</v>
      </c>
    </row>
    <row r="5" spans="1:14" ht="409.5">
      <c r="A5" s="3" t="s">
        <v>174</v>
      </c>
      <c r="B5" s="3" t="s">
        <v>175</v>
      </c>
      <c r="C5" s="3" t="s">
        <v>13</v>
      </c>
      <c r="D5" s="3" t="s">
        <v>5972</v>
      </c>
      <c r="E5" s="3" t="s">
        <v>5973</v>
      </c>
      <c r="F5" s="3" t="s">
        <v>3</v>
      </c>
      <c r="G5" s="3" t="s">
        <v>100</v>
      </c>
      <c r="H5" s="3"/>
      <c r="I5" s="3"/>
      <c r="J5" s="3" t="s">
        <v>176</v>
      </c>
      <c r="K5" s="3"/>
      <c r="L5" s="3" t="s">
        <v>177</v>
      </c>
      <c r="M5" s="3" t="str">
        <f>HYPERLINK("https://ceds.ed.gov/cedselementdetails.aspx?termid=5040")</f>
        <v>https://ceds.ed.gov/cedselementdetails.aspx?termid=5040</v>
      </c>
      <c r="N5" s="3" t="str">
        <f>HYPERLINK("https://ceds.ed.gov/elementComment.aspx?elementName=Address City &amp;elementID=5040", "Click here to submit comment")</f>
        <v>Click here to submit comment</v>
      </c>
    </row>
    <row r="6" spans="1:14" ht="409.5">
      <c r="A6" s="3" t="s">
        <v>178</v>
      </c>
      <c r="B6" s="3" t="s">
        <v>179</v>
      </c>
      <c r="C6" s="3" t="s">
        <v>13</v>
      </c>
      <c r="D6" s="3" t="s">
        <v>5974</v>
      </c>
      <c r="E6" s="3" t="s">
        <v>5973</v>
      </c>
      <c r="F6" s="3" t="s">
        <v>3</v>
      </c>
      <c r="G6" s="3" t="s">
        <v>100</v>
      </c>
      <c r="H6" s="3"/>
      <c r="I6" s="3"/>
      <c r="J6" s="3" t="s">
        <v>180</v>
      </c>
      <c r="K6" s="3"/>
      <c r="L6" s="3" t="s">
        <v>181</v>
      </c>
      <c r="M6" s="3" t="str">
        <f>HYPERLINK("https://ceds.ed.gov/cedselementdetails.aspx?termid=5190")</f>
        <v>https://ceds.ed.gov/cedselementdetails.aspx?termid=5190</v>
      </c>
      <c r="N6" s="3" t="str">
        <f>HYPERLINK("https://ceds.ed.gov/elementComment.aspx?elementName=Address County Name &amp;elementID=5190", "Click here to submit comment")</f>
        <v>Click here to submit comment</v>
      </c>
    </row>
    <row r="7" spans="1:14" ht="409.5">
      <c r="A7" s="3" t="s">
        <v>182</v>
      </c>
      <c r="B7" s="3" t="s">
        <v>183</v>
      </c>
      <c r="C7" s="3" t="s">
        <v>13</v>
      </c>
      <c r="D7" s="3" t="s">
        <v>5972</v>
      </c>
      <c r="E7" s="3" t="s">
        <v>5973</v>
      </c>
      <c r="F7" s="3" t="s">
        <v>3</v>
      </c>
      <c r="G7" s="3" t="s">
        <v>184</v>
      </c>
      <c r="H7" s="3"/>
      <c r="I7" s="3"/>
      <c r="J7" s="3" t="s">
        <v>185</v>
      </c>
      <c r="K7" s="3"/>
      <c r="L7" s="3" t="s">
        <v>186</v>
      </c>
      <c r="M7" s="3" t="str">
        <f>HYPERLINK("https://ceds.ed.gov/cedselementdetails.aspx?termid=5214")</f>
        <v>https://ceds.ed.gov/cedselementdetails.aspx?termid=5214</v>
      </c>
      <c r="N7" s="3" t="str">
        <f>HYPERLINK("https://ceds.ed.gov/elementComment.aspx?elementName=Address Postal Code &amp;elementID=5214", "Click here to submit comment")</f>
        <v>Click here to submit comment</v>
      </c>
    </row>
    <row r="8" spans="1:14" ht="409.5">
      <c r="A8" s="3" t="s">
        <v>187</v>
      </c>
      <c r="B8" s="3" t="s">
        <v>188</v>
      </c>
      <c r="C8" s="3" t="s">
        <v>13</v>
      </c>
      <c r="D8" s="3" t="s">
        <v>5972</v>
      </c>
      <c r="E8" s="3" t="s">
        <v>5973</v>
      </c>
      <c r="F8" s="3" t="s">
        <v>3</v>
      </c>
      <c r="G8" s="3" t="s">
        <v>149</v>
      </c>
      <c r="H8" s="3"/>
      <c r="I8" s="3"/>
      <c r="J8" s="3" t="s">
        <v>189</v>
      </c>
      <c r="K8" s="3"/>
      <c r="L8" s="3" t="s">
        <v>190</v>
      </c>
      <c r="M8" s="3" t="str">
        <f>HYPERLINK("https://ceds.ed.gov/cedselementdetails.aspx?termid=5269")</f>
        <v>https://ceds.ed.gov/cedselementdetails.aspx?termid=5269</v>
      </c>
      <c r="N8" s="3" t="str">
        <f>HYPERLINK("https://ceds.ed.gov/elementComment.aspx?elementName=Address Street Number and Name &amp;elementID=5269", "Click here to submit comment")</f>
        <v>Click here to submit comment</v>
      </c>
    </row>
    <row r="9" spans="1:14" ht="255">
      <c r="A9" s="3" t="s">
        <v>196</v>
      </c>
      <c r="B9" s="3" t="s">
        <v>197</v>
      </c>
      <c r="C9" s="4" t="s">
        <v>6354</v>
      </c>
      <c r="D9" s="3" t="s">
        <v>5977</v>
      </c>
      <c r="E9" s="3" t="s">
        <v>5968</v>
      </c>
      <c r="F9" s="3" t="s">
        <v>3</v>
      </c>
      <c r="G9" s="3" t="s">
        <v>100</v>
      </c>
      <c r="H9" s="3"/>
      <c r="I9" s="3"/>
      <c r="J9" s="3" t="s">
        <v>198</v>
      </c>
      <c r="K9" s="3"/>
      <c r="L9" s="3" t="s">
        <v>199</v>
      </c>
      <c r="M9" s="3" t="str">
        <f>HYPERLINK("https://ceds.ed.gov/cedselementdetails.aspx?termid=5644")</f>
        <v>https://ceds.ed.gov/cedselementdetails.aspx?termid=5644</v>
      </c>
      <c r="N9" s="3" t="str">
        <f>HYPERLINK("https://ceds.ed.gov/elementComment.aspx?elementName=Address Type for Organization &amp;elementID=5644", "Click here to submit comment")</f>
        <v>Click here to submit comment</v>
      </c>
    </row>
    <row r="10" spans="1:14" ht="300">
      <c r="A10" s="3" t="s">
        <v>200</v>
      </c>
      <c r="B10" s="3" t="s">
        <v>201</v>
      </c>
      <c r="C10" s="4" t="s">
        <v>6355</v>
      </c>
      <c r="D10" s="3" t="s">
        <v>5978</v>
      </c>
      <c r="E10" s="3" t="s">
        <v>202</v>
      </c>
      <c r="F10" s="3" t="s">
        <v>3</v>
      </c>
      <c r="G10" s="3" t="s">
        <v>100</v>
      </c>
      <c r="H10" s="3"/>
      <c r="I10" s="3"/>
      <c r="J10" s="3" t="s">
        <v>203</v>
      </c>
      <c r="K10" s="3"/>
      <c r="L10" s="3" t="s">
        <v>204</v>
      </c>
      <c r="M10" s="3" t="str">
        <f>HYPERLINK("https://ceds.ed.gov/cedselementdetails.aspx?termid=5698")</f>
        <v>https://ceds.ed.gov/cedselementdetails.aspx?termid=5698</v>
      </c>
      <c r="N10" s="3" t="str">
        <f>HYPERLINK("https://ceds.ed.gov/elementComment.aspx?elementName=Address Type for Staff &amp;elementID=5698", "Click here to submit comment")</f>
        <v>Click here to submit comment</v>
      </c>
    </row>
    <row r="11" spans="1:14" ht="240">
      <c r="A11" s="3" t="s">
        <v>264</v>
      </c>
      <c r="B11" s="3" t="s">
        <v>265</v>
      </c>
      <c r="C11" s="4" t="s">
        <v>6364</v>
      </c>
      <c r="D11" s="3" t="s">
        <v>5981</v>
      </c>
      <c r="E11" s="3"/>
      <c r="F11" s="3" t="s">
        <v>3</v>
      </c>
      <c r="G11" s="3"/>
      <c r="H11" s="3"/>
      <c r="I11" s="3"/>
      <c r="J11" s="3" t="s">
        <v>266</v>
      </c>
      <c r="K11" s="3"/>
      <c r="L11" s="3" t="s">
        <v>267</v>
      </c>
      <c r="M11" s="3" t="str">
        <f>HYPERLINK("https://ceds.ed.gov/cedselementdetails.aspx?termid=5778")</f>
        <v>https://ceds.ed.gov/cedselementdetails.aspx?termid=5778</v>
      </c>
      <c r="N11" s="3" t="str">
        <f>HYPERLINK("https://ceds.ed.gov/elementComment.aspx?elementName=Adult Education Service Provider Identification System &amp;elementID=5778", "Click here to submit comment")</f>
        <v>Click here to submit comment</v>
      </c>
    </row>
    <row r="12" spans="1:14" ht="60">
      <c r="A12" s="3" t="s">
        <v>268</v>
      </c>
      <c r="B12" s="3" t="s">
        <v>269</v>
      </c>
      <c r="C12" s="3" t="s">
        <v>13</v>
      </c>
      <c r="D12" s="3" t="s">
        <v>5981</v>
      </c>
      <c r="E12" s="3"/>
      <c r="F12" s="3" t="s">
        <v>3</v>
      </c>
      <c r="G12" s="3" t="s">
        <v>100</v>
      </c>
      <c r="H12" s="3"/>
      <c r="I12" s="3"/>
      <c r="J12" s="3" t="s">
        <v>270</v>
      </c>
      <c r="K12" s="3"/>
      <c r="L12" s="3" t="s">
        <v>271</v>
      </c>
      <c r="M12" s="3" t="str">
        <f>HYPERLINK("https://ceds.ed.gov/cedselementdetails.aspx?termid=5777")</f>
        <v>https://ceds.ed.gov/cedselementdetails.aspx?termid=5777</v>
      </c>
      <c r="N12" s="3" t="str">
        <f>HYPERLINK("https://ceds.ed.gov/elementComment.aspx?elementName=Adult Education Service Provider Identifier &amp;elementID=5777", "Click here to submit comment")</f>
        <v>Click here to submit comment</v>
      </c>
    </row>
    <row r="13" spans="1:14" ht="300">
      <c r="A13" s="3" t="s">
        <v>399</v>
      </c>
      <c r="B13" s="3" t="s">
        <v>400</v>
      </c>
      <c r="C13" s="4" t="s">
        <v>6376</v>
      </c>
      <c r="D13" s="3" t="s">
        <v>5991</v>
      </c>
      <c r="E13" s="3" t="s">
        <v>5992</v>
      </c>
      <c r="F13" s="3" t="s">
        <v>3</v>
      </c>
      <c r="G13" s="3"/>
      <c r="H13" s="3"/>
      <c r="I13" s="3"/>
      <c r="J13" s="3" t="s">
        <v>401</v>
      </c>
      <c r="K13" s="3"/>
      <c r="L13" s="3" t="s">
        <v>402</v>
      </c>
      <c r="M13" s="3" t="str">
        <f>HYPERLINK("https://ceds.ed.gov/cedselementdetails.aspx?termid=5374")</f>
        <v>https://ceds.ed.gov/cedselementdetails.aspx?termid=5374</v>
      </c>
      <c r="N13" s="3" t="str">
        <f>HYPERLINK("https://ceds.ed.gov/elementComment.aspx?elementName=Assessment Accommodation Category &amp;elementID=5374", "Click here to submit comment")</f>
        <v>Click here to submit comment</v>
      </c>
    </row>
    <row r="14" spans="1:14" ht="165">
      <c r="A14" s="3" t="s">
        <v>1224</v>
      </c>
      <c r="B14" s="3" t="s">
        <v>1225</v>
      </c>
      <c r="C14" s="3" t="s">
        <v>5963</v>
      </c>
      <c r="D14" s="3" t="s">
        <v>6054</v>
      </c>
      <c r="E14" s="3" t="s">
        <v>5992</v>
      </c>
      <c r="F14" s="3" t="s">
        <v>3</v>
      </c>
      <c r="G14" s="3"/>
      <c r="H14" s="3"/>
      <c r="I14" s="3"/>
      <c r="J14" s="3" t="s">
        <v>1226</v>
      </c>
      <c r="K14" s="3"/>
      <c r="L14" s="3" t="s">
        <v>1227</v>
      </c>
      <c r="M14" s="3" t="str">
        <f>HYPERLINK("https://ceds.ed.gov/cedselementdetails.aspx?termid=5375")</f>
        <v>https://ceds.ed.gov/cedselementdetails.aspx?termid=5375</v>
      </c>
      <c r="N14" s="3" t="str">
        <f>HYPERLINK("https://ceds.ed.gov/elementComment.aspx?elementName=Assessment Secure Indicator &amp;elementID=5375", "Click here to submit comment")</f>
        <v>Click here to submit comment</v>
      </c>
    </row>
    <row r="15" spans="1:14" ht="360">
      <c r="A15" s="3" t="s">
        <v>1474</v>
      </c>
      <c r="B15" s="3" t="s">
        <v>1475</v>
      </c>
      <c r="C15" s="3" t="s">
        <v>13</v>
      </c>
      <c r="D15" s="3" t="s">
        <v>6079</v>
      </c>
      <c r="E15" s="3" t="s">
        <v>6080</v>
      </c>
      <c r="F15" s="3" t="s">
        <v>3</v>
      </c>
      <c r="G15" s="3" t="s">
        <v>73</v>
      </c>
      <c r="H15" s="3"/>
      <c r="I15" s="3"/>
      <c r="J15" s="3" t="s">
        <v>1476</v>
      </c>
      <c r="K15" s="3"/>
      <c r="L15" s="3" t="s">
        <v>1474</v>
      </c>
      <c r="M15" s="3" t="str">
        <f>HYPERLINK("https://ceds.ed.gov/cedselementdetails.aspx?termid=5033")</f>
        <v>https://ceds.ed.gov/cedselementdetails.aspx?termid=5033</v>
      </c>
      <c r="N15" s="3" t="str">
        <f>HYPERLINK("https://ceds.ed.gov/elementComment.aspx?elementName=Birthdate &amp;elementID=5033", "Click here to submit comment")</f>
        <v>Click here to submit comment</v>
      </c>
    </row>
    <row r="16" spans="1:14" ht="75">
      <c r="A16" s="3" t="s">
        <v>1700</v>
      </c>
      <c r="B16" s="3" t="s">
        <v>1701</v>
      </c>
      <c r="C16" s="5" t="s">
        <v>1702</v>
      </c>
      <c r="D16" s="3" t="s">
        <v>6099</v>
      </c>
      <c r="E16" s="3" t="s">
        <v>5967</v>
      </c>
      <c r="F16" s="3" t="s">
        <v>3</v>
      </c>
      <c r="G16" s="3"/>
      <c r="H16" s="3"/>
      <c r="I16" s="3"/>
      <c r="J16" s="3" t="s">
        <v>1703</v>
      </c>
      <c r="K16" s="3" t="s">
        <v>1704</v>
      </c>
      <c r="L16" s="3" t="s">
        <v>1705</v>
      </c>
      <c r="M16" s="3" t="str">
        <f>HYPERLINK("https://ceds.ed.gov/cedselementdetails.aspx?termid=5043")</f>
        <v>https://ceds.ed.gov/cedselementdetails.aspx?termid=5043</v>
      </c>
      <c r="N16" s="3" t="str">
        <f>HYPERLINK("https://ceds.ed.gov/elementComment.aspx?elementName=Classification of Instructional Program Code &amp;elementID=5043", "Click here to submit comment")</f>
        <v>Click here to submit comment</v>
      </c>
    </row>
    <row r="17" spans="1:14" ht="60">
      <c r="A17" s="3" t="s">
        <v>1734</v>
      </c>
      <c r="B17" s="3" t="s">
        <v>1735</v>
      </c>
      <c r="C17" s="3" t="s">
        <v>13</v>
      </c>
      <c r="D17" s="3" t="s">
        <v>6100</v>
      </c>
      <c r="E17" s="3" t="s">
        <v>6101</v>
      </c>
      <c r="F17" s="3" t="s">
        <v>3</v>
      </c>
      <c r="G17" s="3" t="s">
        <v>1736</v>
      </c>
      <c r="H17" s="3"/>
      <c r="I17" s="3"/>
      <c r="J17" s="3" t="s">
        <v>1737</v>
      </c>
      <c r="K17" s="3"/>
      <c r="L17" s="3" t="s">
        <v>1738</v>
      </c>
      <c r="M17" s="3" t="str">
        <f>HYPERLINK("https://ceds.ed.gov/cedselementdetails.aspx?termid=5577")</f>
        <v>https://ceds.ed.gov/cedselementdetails.aspx?termid=5577</v>
      </c>
      <c r="N17" s="3" t="str">
        <f>HYPERLINK("https://ceds.ed.gov/elementComment.aspx?elementName=Cohort Graduation Year &amp;elementID=5577", "Click here to submit comment")</f>
        <v>Click here to submit comment</v>
      </c>
    </row>
    <row r="18" spans="1:14" ht="409.5">
      <c r="A18" s="3" t="s">
        <v>1809</v>
      </c>
      <c r="B18" s="3" t="s">
        <v>1810</v>
      </c>
      <c r="C18" s="4" t="s">
        <v>6433</v>
      </c>
      <c r="D18" s="3" t="s">
        <v>6106</v>
      </c>
      <c r="E18" s="3" t="s">
        <v>6107</v>
      </c>
      <c r="F18" s="3" t="s">
        <v>3</v>
      </c>
      <c r="G18" s="3"/>
      <c r="H18" s="3"/>
      <c r="I18" s="3"/>
      <c r="J18" s="3" t="s">
        <v>1811</v>
      </c>
      <c r="K18" s="3"/>
      <c r="L18" s="3" t="s">
        <v>1812</v>
      </c>
      <c r="M18" s="3" t="str">
        <f>HYPERLINK("https://ceds.ed.gov/cedselementdetails.aspx?termid=5050")</f>
        <v>https://ceds.ed.gov/cedselementdetails.aspx?termid=5050</v>
      </c>
      <c r="N18" s="3" t="str">
        <f>HYPERLINK("https://ceds.ed.gov/elementComment.aspx?elementName=Country Code &amp;elementID=5050", "Click here to submit comment")</f>
        <v>Click here to submit comment</v>
      </c>
    </row>
    <row r="19" spans="1:14" ht="210">
      <c r="A19" s="3" t="s">
        <v>1962</v>
      </c>
      <c r="B19" s="3" t="s">
        <v>1963</v>
      </c>
      <c r="C19" s="4" t="s">
        <v>6445</v>
      </c>
      <c r="D19" s="3" t="s">
        <v>6119</v>
      </c>
      <c r="E19" s="3" t="s">
        <v>5968</v>
      </c>
      <c r="F19" s="3" t="s">
        <v>3</v>
      </c>
      <c r="G19" s="3"/>
      <c r="H19" s="3"/>
      <c r="I19" s="3"/>
      <c r="J19" s="3" t="s">
        <v>1964</v>
      </c>
      <c r="K19" s="3"/>
      <c r="L19" s="3" t="s">
        <v>1965</v>
      </c>
      <c r="M19" s="3" t="str">
        <f>HYPERLINK("https://ceds.ed.gov/cedselementdetails.aspx?termid=5065")</f>
        <v>https://ceds.ed.gov/cedselementdetails.aspx?termid=5065</v>
      </c>
      <c r="N19" s="3" t="str">
        <f>HYPERLINK("https://ceds.ed.gov/elementComment.aspx?elementName=Course Repeat Code &amp;elementID=5065", "Click here to submit comment")</f>
        <v>Click here to submit comment</v>
      </c>
    </row>
    <row r="20" spans="1:14" ht="105">
      <c r="A20" s="3" t="s">
        <v>2050</v>
      </c>
      <c r="B20" s="3" t="s">
        <v>2051</v>
      </c>
      <c r="C20" s="3" t="s">
        <v>6125</v>
      </c>
      <c r="D20" s="3" t="s">
        <v>6126</v>
      </c>
      <c r="E20" s="3"/>
      <c r="F20" s="3" t="s">
        <v>3</v>
      </c>
      <c r="G20" s="3"/>
      <c r="H20" s="3"/>
      <c r="I20" s="3"/>
      <c r="J20" s="3" t="s">
        <v>2052</v>
      </c>
      <c r="K20" s="3"/>
      <c r="L20" s="3" t="s">
        <v>2053</v>
      </c>
      <c r="M20" s="3" t="str">
        <f>HYPERLINK("https://ceds.ed.gov/cedselementdetails.aspx?termid=5071")</f>
        <v>https://ceds.ed.gov/cedselementdetails.aspx?termid=5071</v>
      </c>
      <c r="N20" s="3" t="str">
        <f>HYPERLINK("https://ceds.ed.gov/elementComment.aspx?elementName=Credential Type &amp;elementID=5071", "Click here to submit comment")</f>
        <v>Click here to submit comment</v>
      </c>
    </row>
    <row r="21" spans="1:14" ht="75">
      <c r="A21" s="3" t="s">
        <v>2208</v>
      </c>
      <c r="B21" s="3" t="s">
        <v>2209</v>
      </c>
      <c r="C21" s="3" t="s">
        <v>5963</v>
      </c>
      <c r="D21" s="3" t="s">
        <v>6137</v>
      </c>
      <c r="E21" s="3" t="s">
        <v>218</v>
      </c>
      <c r="F21" s="3" t="s">
        <v>3</v>
      </c>
      <c r="G21" s="3"/>
      <c r="H21" s="3"/>
      <c r="I21" s="3"/>
      <c r="J21" s="3" t="s">
        <v>2210</v>
      </c>
      <c r="K21" s="3"/>
      <c r="L21" s="3" t="s">
        <v>2211</v>
      </c>
      <c r="M21" s="3" t="str">
        <f>HYPERLINK("https://ceds.ed.gov/cedselementdetails.aspx?termid=5569")</f>
        <v>https://ceds.ed.gov/cedselementdetails.aspx?termid=5569</v>
      </c>
      <c r="N21" s="3" t="str">
        <f>HYPERLINK("https://ceds.ed.gov/elementComment.aspx?elementName=Disability Status &amp;elementID=5569", "Click here to submit comment")</f>
        <v>Click here to submit comment</v>
      </c>
    </row>
    <row r="22" spans="1:14" ht="300">
      <c r="A22" s="3" t="s">
        <v>2390</v>
      </c>
      <c r="B22" s="3" t="s">
        <v>2391</v>
      </c>
      <c r="C22" s="4" t="s">
        <v>6484</v>
      </c>
      <c r="D22" s="3" t="s">
        <v>2392</v>
      </c>
      <c r="E22" s="3" t="s">
        <v>2147</v>
      </c>
      <c r="F22" s="3" t="s">
        <v>3</v>
      </c>
      <c r="G22" s="3"/>
      <c r="H22" s="3"/>
      <c r="I22" s="3"/>
      <c r="J22" s="3" t="s">
        <v>2393</v>
      </c>
      <c r="K22" s="3"/>
      <c r="L22" s="3" t="s">
        <v>2394</v>
      </c>
      <c r="M22" s="3" t="str">
        <f>HYPERLINK("https://ceds.ed.gov/cedselementdetails.aspx?termid=5304")</f>
        <v>https://ceds.ed.gov/cedselementdetails.aspx?termid=5304</v>
      </c>
      <c r="N22" s="3" t="str">
        <f>HYPERLINK("https://ceds.ed.gov/elementComment.aspx?elementName=Early Learning Program Eligibility Category &amp;elementID=5304", "Click here to submit comment")</f>
        <v>Click here to submit comment</v>
      </c>
    </row>
    <row r="23" spans="1:14" ht="409.5">
      <c r="A23" s="3" t="s">
        <v>2451</v>
      </c>
      <c r="B23" s="3" t="s">
        <v>2452</v>
      </c>
      <c r="C23" s="3" t="s">
        <v>13</v>
      </c>
      <c r="D23" s="3" t="s">
        <v>6148</v>
      </c>
      <c r="E23" s="3" t="s">
        <v>5968</v>
      </c>
      <c r="F23" s="3" t="s">
        <v>3</v>
      </c>
      <c r="G23" s="3" t="s">
        <v>2453</v>
      </c>
      <c r="H23" s="3"/>
      <c r="I23" s="3"/>
      <c r="J23" s="3" t="s">
        <v>2454</v>
      </c>
      <c r="K23" s="3" t="s">
        <v>2455</v>
      </c>
      <c r="L23" s="3" t="s">
        <v>2456</v>
      </c>
      <c r="M23" s="3" t="str">
        <f>HYPERLINK("https://ceds.ed.gov/cedselementdetails.aspx?termid=5088")</f>
        <v>https://ceds.ed.gov/cedselementdetails.aspx?termid=5088</v>
      </c>
      <c r="N23" s="3" t="str">
        <f>HYPERLINK("https://ceds.ed.gov/elementComment.aspx?elementName=Electronic Mail Address &amp;elementID=5088", "Click here to submit comment")</f>
        <v>Click here to submit comment</v>
      </c>
    </row>
    <row r="24" spans="1:14" ht="409.5">
      <c r="A24" s="3" t="s">
        <v>2457</v>
      </c>
      <c r="B24" s="3" t="s">
        <v>2458</v>
      </c>
      <c r="C24" s="4" t="s">
        <v>6489</v>
      </c>
      <c r="D24" s="3" t="s">
        <v>6148</v>
      </c>
      <c r="E24" s="3" t="s">
        <v>5968</v>
      </c>
      <c r="F24" s="3" t="s">
        <v>3</v>
      </c>
      <c r="G24" s="3"/>
      <c r="H24" s="3"/>
      <c r="I24" s="3"/>
      <c r="J24" s="3" t="s">
        <v>2459</v>
      </c>
      <c r="K24" s="3" t="s">
        <v>2460</v>
      </c>
      <c r="L24" s="3" t="s">
        <v>2461</v>
      </c>
      <c r="M24" s="3" t="str">
        <f>HYPERLINK("https://ceds.ed.gov/cedselementdetails.aspx?termid=5089")</f>
        <v>https://ceds.ed.gov/cedselementdetails.aspx?termid=5089</v>
      </c>
      <c r="N24" s="3" t="str">
        <f>HYPERLINK("https://ceds.ed.gov/elementComment.aspx?elementName=Electronic Mail Address Type &amp;elementID=5089", "Click here to submit comment")</f>
        <v>Click here to submit comment</v>
      </c>
    </row>
    <row r="25" spans="1:14" ht="285">
      <c r="A25" s="3" t="s">
        <v>2492</v>
      </c>
      <c r="B25" s="3" t="s">
        <v>2493</v>
      </c>
      <c r="C25" s="3" t="s">
        <v>13</v>
      </c>
      <c r="D25" s="3" t="s">
        <v>6152</v>
      </c>
      <c r="E25" s="3" t="s">
        <v>202</v>
      </c>
      <c r="F25" s="3" t="s">
        <v>3</v>
      </c>
      <c r="G25" s="3" t="s">
        <v>73</v>
      </c>
      <c r="H25" s="3"/>
      <c r="I25" s="3"/>
      <c r="J25" s="3" t="s">
        <v>2494</v>
      </c>
      <c r="K25" s="3"/>
      <c r="L25" s="3" t="s">
        <v>2495</v>
      </c>
      <c r="M25" s="3" t="str">
        <f>HYPERLINK("https://ceds.ed.gov/cedselementdetails.aspx?termid=5794")</f>
        <v>https://ceds.ed.gov/cedselementdetails.aspx?termid=5794</v>
      </c>
      <c r="N25" s="3" t="str">
        <f>HYPERLINK("https://ceds.ed.gov/elementComment.aspx?elementName=Employment End Date &amp;elementID=5794", "Click here to submit comment")</f>
        <v>Click here to submit comment</v>
      </c>
    </row>
    <row r="26" spans="1:14" ht="285">
      <c r="A26" s="3" t="s">
        <v>2534</v>
      </c>
      <c r="B26" s="3" t="s">
        <v>2535</v>
      </c>
      <c r="C26" s="3" t="s">
        <v>13</v>
      </c>
      <c r="D26" s="3" t="s">
        <v>6152</v>
      </c>
      <c r="E26" s="3" t="s">
        <v>6154</v>
      </c>
      <c r="F26" s="3" t="s">
        <v>3</v>
      </c>
      <c r="G26" s="3" t="s">
        <v>73</v>
      </c>
      <c r="H26" s="3"/>
      <c r="I26" s="3"/>
      <c r="J26" s="3" t="s">
        <v>2536</v>
      </c>
      <c r="K26" s="3"/>
      <c r="L26" s="3" t="s">
        <v>2537</v>
      </c>
      <c r="M26" s="3" t="str">
        <f>HYPERLINK("https://ceds.ed.gov/cedselementdetails.aspx?termid=5345")</f>
        <v>https://ceds.ed.gov/cedselementdetails.aspx?termid=5345</v>
      </c>
      <c r="N26" s="3" t="str">
        <f>HYPERLINK("https://ceds.ed.gov/elementComment.aspx?elementName=Employment Start Date &amp;elementID=5345", "Click here to submit comment")</f>
        <v>Click here to submit comment</v>
      </c>
    </row>
    <row r="27" spans="1:14" ht="330">
      <c r="A27" s="3" t="s">
        <v>2570</v>
      </c>
      <c r="B27" s="3" t="s">
        <v>2571</v>
      </c>
      <c r="C27" s="4" t="s">
        <v>6499</v>
      </c>
      <c r="D27" s="3" t="s">
        <v>6161</v>
      </c>
      <c r="E27" s="3" t="s">
        <v>6084</v>
      </c>
      <c r="F27" s="3" t="s">
        <v>3</v>
      </c>
      <c r="G27" s="3"/>
      <c r="H27" s="3"/>
      <c r="I27" s="3"/>
      <c r="J27" s="3" t="s">
        <v>2572</v>
      </c>
      <c r="K27" s="3"/>
      <c r="L27" s="3" t="s">
        <v>2573</v>
      </c>
      <c r="M27" s="3" t="str">
        <f>HYPERLINK("https://ceds.ed.gov/cedselementdetails.aspx?termid=5100")</f>
        <v>https://ceds.ed.gov/cedselementdetails.aspx?termid=5100</v>
      </c>
      <c r="N27" s="3" t="str">
        <f>HYPERLINK("https://ceds.ed.gov/elementComment.aspx?elementName=Entry Grade Level &amp;elementID=5100", "Click here to submit comment")</f>
        <v>Click here to submit comment</v>
      </c>
    </row>
    <row r="28" spans="1:14" ht="330">
      <c r="A28" s="3" t="s">
        <v>2582</v>
      </c>
      <c r="B28" s="3" t="s">
        <v>2583</v>
      </c>
      <c r="C28" s="4" t="s">
        <v>6499</v>
      </c>
      <c r="D28" s="3" t="s">
        <v>6161</v>
      </c>
      <c r="E28" s="3"/>
      <c r="F28" s="3" t="s">
        <v>3</v>
      </c>
      <c r="G28" s="3"/>
      <c r="H28" s="3"/>
      <c r="I28" s="3"/>
      <c r="J28" s="3" t="s">
        <v>2584</v>
      </c>
      <c r="K28" s="3"/>
      <c r="L28" s="3" t="s">
        <v>2585</v>
      </c>
      <c r="M28" s="3" t="str">
        <f>HYPERLINK("https://ceds.ed.gov/cedselementdetails.aspx?termid=6177")</f>
        <v>https://ceds.ed.gov/cedselementdetails.aspx?termid=6177</v>
      </c>
      <c r="N28" s="3" t="str">
        <f>HYPERLINK("https://ceds.ed.gov/elementComment.aspx?elementName=Exit Grade Level &amp;elementID=6177", "Click here to submit comment")</f>
        <v>Click here to submit comment</v>
      </c>
    </row>
    <row r="29" spans="1:14" ht="409.5">
      <c r="A29" s="3" t="s">
        <v>2594</v>
      </c>
      <c r="B29" s="3" t="s">
        <v>2595</v>
      </c>
      <c r="C29" s="4" t="s">
        <v>6502</v>
      </c>
      <c r="D29" s="3" t="s">
        <v>6166</v>
      </c>
      <c r="E29" s="3"/>
      <c r="F29" s="3" t="s">
        <v>3</v>
      </c>
      <c r="G29" s="3"/>
      <c r="H29" s="3"/>
      <c r="I29" s="3"/>
      <c r="J29" s="3" t="s">
        <v>2596</v>
      </c>
      <c r="K29" s="3"/>
      <c r="L29" s="3" t="s">
        <v>2597</v>
      </c>
      <c r="M29" s="3" t="str">
        <f>HYPERLINK("https://ceds.ed.gov/cedselementdetails.aspx?termid=5222")</f>
        <v>https://ceds.ed.gov/cedselementdetails.aspx?termid=5222</v>
      </c>
      <c r="N29" s="3" t="str">
        <f>HYPERLINK("https://ceds.ed.gov/elementComment.aspx?elementName=Exit Reason &amp;elementID=5222", "Click here to submit comment")</f>
        <v>Click here to submit comment</v>
      </c>
    </row>
    <row r="30" spans="1:14" ht="90">
      <c r="A30" s="3" t="s">
        <v>2653</v>
      </c>
      <c r="B30" s="3" t="s">
        <v>2654</v>
      </c>
      <c r="C30" s="3" t="s">
        <v>13</v>
      </c>
      <c r="D30" s="3" t="s">
        <v>6169</v>
      </c>
      <c r="E30" s="3" t="s">
        <v>218</v>
      </c>
      <c r="F30" s="3" t="s">
        <v>3</v>
      </c>
      <c r="G30" s="3"/>
      <c r="H30" s="3"/>
      <c r="I30" s="3"/>
      <c r="J30" s="3" t="s">
        <v>2655</v>
      </c>
      <c r="K30" s="3"/>
      <c r="L30" s="3" t="s">
        <v>2656</v>
      </c>
      <c r="M30" s="3" t="str">
        <f>HYPERLINK("https://ceds.ed.gov/cedselementdetails.aspx?termid=5538")</f>
        <v>https://ceds.ed.gov/cedselementdetails.aspx?termid=5538</v>
      </c>
      <c r="N30" s="3" t="str">
        <f>HYPERLINK("https://ceds.ed.gov/elementComment.aspx?elementName=Federal Program Code &amp;elementID=5538", "Click here to submit comment")</f>
        <v>Click here to submit comment</v>
      </c>
    </row>
    <row r="31" spans="1:14" ht="135">
      <c r="A31" s="3" t="s">
        <v>2657</v>
      </c>
      <c r="B31" s="3" t="s">
        <v>2658</v>
      </c>
      <c r="C31" s="3" t="s">
        <v>13</v>
      </c>
      <c r="D31" s="3" t="s">
        <v>6170</v>
      </c>
      <c r="E31" s="3" t="s">
        <v>218</v>
      </c>
      <c r="F31" s="3" t="s">
        <v>3</v>
      </c>
      <c r="G31" s="3" t="s">
        <v>1461</v>
      </c>
      <c r="H31" s="3"/>
      <c r="I31" s="3"/>
      <c r="J31" s="3" t="s">
        <v>2659</v>
      </c>
      <c r="K31" s="3"/>
      <c r="L31" s="3" t="s">
        <v>2660</v>
      </c>
      <c r="M31" s="3" t="str">
        <f>HYPERLINK("https://ceds.ed.gov/cedselementdetails.aspx?termid=5540")</f>
        <v>https://ceds.ed.gov/cedselementdetails.aspx?termid=5540</v>
      </c>
      <c r="N31" s="3" t="str">
        <f>HYPERLINK("https://ceds.ed.gov/elementComment.aspx?elementName=Federal Programs Funding Allocation &amp;elementID=5540", "Click here to submit comment")</f>
        <v>Click here to submit comment</v>
      </c>
    </row>
    <row r="32" spans="1:14" ht="409.5">
      <c r="A32" s="3" t="s">
        <v>2776</v>
      </c>
      <c r="B32" s="3" t="s">
        <v>2777</v>
      </c>
      <c r="C32" s="3" t="s">
        <v>13</v>
      </c>
      <c r="D32" s="3" t="s">
        <v>6175</v>
      </c>
      <c r="E32" s="3" t="s">
        <v>6176</v>
      </c>
      <c r="F32" s="3" t="s">
        <v>3</v>
      </c>
      <c r="G32" s="3" t="s">
        <v>1368</v>
      </c>
      <c r="H32" s="3"/>
      <c r="I32" s="3" t="s">
        <v>2778</v>
      </c>
      <c r="J32" s="3" t="s">
        <v>2779</v>
      </c>
      <c r="K32" s="3"/>
      <c r="L32" s="3" t="s">
        <v>2780</v>
      </c>
      <c r="M32" s="3" t="str">
        <f>HYPERLINK("https://ceds.ed.gov/cedselementdetails.aspx?termid=5115")</f>
        <v>https://ceds.ed.gov/cedselementdetails.aspx?termid=5115</v>
      </c>
      <c r="N32" s="3" t="str">
        <f>HYPERLINK("https://ceds.ed.gov/elementComment.aspx?elementName=First Name &amp;elementID=5115", "Click here to submit comment")</f>
        <v>Click here to submit comment</v>
      </c>
    </row>
    <row r="33" spans="1:14" ht="409.5">
      <c r="A33" s="3" t="s">
        <v>2829</v>
      </c>
      <c r="B33" s="3" t="s">
        <v>2830</v>
      </c>
      <c r="C33" s="3" t="s">
        <v>13</v>
      </c>
      <c r="D33" s="3" t="s">
        <v>6175</v>
      </c>
      <c r="E33" s="3" t="s">
        <v>6179</v>
      </c>
      <c r="F33" s="3" t="s">
        <v>3</v>
      </c>
      <c r="G33" s="3" t="s">
        <v>2031</v>
      </c>
      <c r="H33" s="3"/>
      <c r="I33" s="3" t="s">
        <v>2778</v>
      </c>
      <c r="J33" s="3" t="s">
        <v>2831</v>
      </c>
      <c r="K33" s="3"/>
      <c r="L33" s="3" t="s">
        <v>2832</v>
      </c>
      <c r="M33" s="3" t="str">
        <f>HYPERLINK("https://ceds.ed.gov/cedselementdetails.aspx?termid=5121")</f>
        <v>https://ceds.ed.gov/cedselementdetails.aspx?termid=5121</v>
      </c>
      <c r="N33" s="3" t="str">
        <f>HYPERLINK("https://ceds.ed.gov/elementComment.aspx?elementName=Generation Code or Suffix &amp;elementID=5121", "Click here to submit comment")</f>
        <v>Click here to submit comment</v>
      </c>
    </row>
    <row r="34" spans="1:14" ht="60">
      <c r="A34" s="3" t="s">
        <v>2933</v>
      </c>
      <c r="B34" s="3" t="s">
        <v>2934</v>
      </c>
      <c r="C34" s="3" t="s">
        <v>13</v>
      </c>
      <c r="D34" s="3" t="s">
        <v>6189</v>
      </c>
      <c r="E34" s="3"/>
      <c r="F34" s="3" t="s">
        <v>3</v>
      </c>
      <c r="G34" s="3" t="s">
        <v>73</v>
      </c>
      <c r="H34" s="3"/>
      <c r="I34" s="3"/>
      <c r="J34" s="3" t="s">
        <v>2935</v>
      </c>
      <c r="K34" s="3"/>
      <c r="L34" s="3" t="s">
        <v>2936</v>
      </c>
      <c r="M34" s="3" t="str">
        <f>HYPERLINK("https://ceds.ed.gov/cedselementdetails.aspx?termid=5681")</f>
        <v>https://ceds.ed.gov/cedselementdetails.aspx?termid=5681</v>
      </c>
      <c r="N34" s="3" t="str">
        <f>HYPERLINK("https://ceds.ed.gov/elementComment.aspx?elementName=Hearing Screening Date &amp;elementID=5681", "Click here to submit comment")</f>
        <v>Click here to submit comment</v>
      </c>
    </row>
    <row r="35" spans="1:14" ht="60">
      <c r="A35" s="3" t="s">
        <v>2937</v>
      </c>
      <c r="B35" s="3" t="s">
        <v>2938</v>
      </c>
      <c r="C35" s="4" t="s">
        <v>6526</v>
      </c>
      <c r="D35" s="3" t="s">
        <v>6189</v>
      </c>
      <c r="E35" s="3" t="s">
        <v>2158</v>
      </c>
      <c r="F35" s="3" t="s">
        <v>3</v>
      </c>
      <c r="G35" s="3"/>
      <c r="H35" s="3"/>
      <c r="I35" s="3"/>
      <c r="J35" s="3" t="s">
        <v>2939</v>
      </c>
      <c r="K35" s="3"/>
      <c r="L35" s="3" t="s">
        <v>2940</v>
      </c>
      <c r="M35" s="3" t="str">
        <f>HYPERLINK("https://ceds.ed.gov/cedselementdetails.aspx?termid=5309")</f>
        <v>https://ceds.ed.gov/cedselementdetails.aspx?termid=5309</v>
      </c>
      <c r="N35" s="3" t="str">
        <f>HYPERLINK("https://ceds.ed.gov/elementComment.aspx?elementName=Hearing Screening Status &amp;elementID=5309", "Click here to submit comment")</f>
        <v>Click here to submit comment</v>
      </c>
    </row>
    <row r="36" spans="1:14" ht="210">
      <c r="A36" s="3" t="s">
        <v>2980</v>
      </c>
      <c r="B36" s="3" t="s">
        <v>2981</v>
      </c>
      <c r="C36" s="3" t="s">
        <v>13</v>
      </c>
      <c r="D36" s="3" t="s">
        <v>6196</v>
      </c>
      <c r="E36" s="3" t="s">
        <v>6197</v>
      </c>
      <c r="F36" s="3" t="s">
        <v>3</v>
      </c>
      <c r="G36" s="3" t="s">
        <v>73</v>
      </c>
      <c r="H36" s="3"/>
      <c r="I36" s="3" t="s">
        <v>2982</v>
      </c>
      <c r="J36" s="3" t="s">
        <v>2983</v>
      </c>
      <c r="K36" s="3"/>
      <c r="L36" s="3" t="s">
        <v>2984</v>
      </c>
      <c r="M36" s="3" t="str">
        <f>HYPERLINK("https://ceds.ed.gov/cedselementdetails.aspx?termid=5143")</f>
        <v>https://ceds.ed.gov/cedselementdetails.aspx?termid=5143</v>
      </c>
      <c r="N36" s="3" t="str">
        <f>HYPERLINK("https://ceds.ed.gov/elementComment.aspx?elementName=Hire Date &amp;elementID=5143", "Click here to submit comment")</f>
        <v>Click here to submit comment</v>
      </c>
    </row>
    <row r="37" spans="1:14" ht="285">
      <c r="A37" s="3" t="s">
        <v>3040</v>
      </c>
      <c r="B37" s="3" t="s">
        <v>3041</v>
      </c>
      <c r="C37" s="3" t="s">
        <v>5963</v>
      </c>
      <c r="D37" s="3" t="s">
        <v>6137</v>
      </c>
      <c r="E37" s="3" t="s">
        <v>6200</v>
      </c>
      <c r="F37" s="3" t="s">
        <v>3</v>
      </c>
      <c r="G37" s="3"/>
      <c r="H37" s="3"/>
      <c r="I37" s="3"/>
      <c r="J37" s="3" t="s">
        <v>3042</v>
      </c>
      <c r="K37" s="3"/>
      <c r="L37" s="3" t="s">
        <v>3043</v>
      </c>
      <c r="M37" s="3" t="str">
        <f>HYPERLINK("https://ceds.ed.gov/cedselementdetails.aspx?termid=5151")</f>
        <v>https://ceds.ed.gov/cedselementdetails.aspx?termid=5151</v>
      </c>
      <c r="N37" s="3" t="str">
        <f>HYPERLINK("https://ceds.ed.gov/elementComment.aspx?elementName=IDEA Indicator &amp;elementID=5151", "Click here to submit comment")</f>
        <v>Click here to submit comment</v>
      </c>
    </row>
    <row r="38" spans="1:14" ht="75">
      <c r="A38" s="3" t="s">
        <v>3199</v>
      </c>
      <c r="B38" s="3" t="s">
        <v>3200</v>
      </c>
      <c r="C38" s="3" t="s">
        <v>13</v>
      </c>
      <c r="D38" s="3" t="s">
        <v>6207</v>
      </c>
      <c r="E38" s="3"/>
      <c r="F38" s="3" t="s">
        <v>3</v>
      </c>
      <c r="G38" s="3" t="s">
        <v>73</v>
      </c>
      <c r="H38" s="3"/>
      <c r="I38" s="3"/>
      <c r="J38" s="3" t="s">
        <v>3201</v>
      </c>
      <c r="K38" s="3"/>
      <c r="L38" s="3" t="s">
        <v>3202</v>
      </c>
      <c r="M38" s="3" t="str">
        <f>HYPERLINK("https://ceds.ed.gov/cedselementdetails.aspx?termid=6197")</f>
        <v>https://ceds.ed.gov/cedselementdetails.aspx?termid=6197</v>
      </c>
      <c r="N38" s="3" t="str">
        <f>HYPERLINK("https://ceds.ed.gov/elementComment.aspx?elementName=Individualized Program Date &amp;elementID=6197", "Click here to submit comment")</f>
        <v>Click here to submit comment</v>
      </c>
    </row>
    <row r="39" spans="1:14" ht="75">
      <c r="A39" s="3" t="s">
        <v>3310</v>
      </c>
      <c r="B39" s="3" t="s">
        <v>3311</v>
      </c>
      <c r="C39" s="3" t="s">
        <v>13</v>
      </c>
      <c r="D39" s="3" t="s">
        <v>6211</v>
      </c>
      <c r="E39" s="3" t="s">
        <v>42</v>
      </c>
      <c r="F39" s="3" t="s">
        <v>3</v>
      </c>
      <c r="G39" s="3" t="s">
        <v>1461</v>
      </c>
      <c r="H39" s="3"/>
      <c r="I39" s="3"/>
      <c r="J39" s="3" t="s">
        <v>3312</v>
      </c>
      <c r="K39" s="3"/>
      <c r="L39" s="3" t="s">
        <v>3313</v>
      </c>
      <c r="M39" s="3" t="str">
        <f>HYPERLINK("https://ceds.ed.gov/cedselementdetails.aspx?termid=5361")</f>
        <v>https://ceds.ed.gov/cedselementdetails.aspx?termid=5361</v>
      </c>
      <c r="N39" s="3" t="str">
        <f>HYPERLINK("https://ceds.ed.gov/elementComment.aspx?elementName=Instructional Activity Hours Completed &amp;elementID=5361", "Click here to submit comment")</f>
        <v>Click here to submit comment</v>
      </c>
    </row>
    <row r="40" spans="1:14" ht="409.5">
      <c r="A40" s="3" t="s">
        <v>3427</v>
      </c>
      <c r="B40" s="3" t="s">
        <v>3428</v>
      </c>
      <c r="C40" s="3" t="s">
        <v>13</v>
      </c>
      <c r="D40" s="3" t="s">
        <v>6217</v>
      </c>
      <c r="E40" s="3" t="s">
        <v>6176</v>
      </c>
      <c r="F40" s="3" t="s">
        <v>3</v>
      </c>
      <c r="G40" s="3" t="s">
        <v>1368</v>
      </c>
      <c r="H40" s="3"/>
      <c r="I40" s="3" t="s">
        <v>2778</v>
      </c>
      <c r="J40" s="3" t="s">
        <v>3429</v>
      </c>
      <c r="K40" s="3" t="s">
        <v>3430</v>
      </c>
      <c r="L40" s="3" t="s">
        <v>3431</v>
      </c>
      <c r="M40" s="3" t="str">
        <f>HYPERLINK("https://ceds.ed.gov/cedselementdetails.aspx?termid=5172")</f>
        <v>https://ceds.ed.gov/cedselementdetails.aspx?termid=5172</v>
      </c>
      <c r="N40" s="3" t="str">
        <f>HYPERLINK("https://ceds.ed.gov/elementComment.aspx?elementName=Last or Surname &amp;elementID=5172", "Click here to submit comment")</f>
        <v>Click here to submit comment</v>
      </c>
    </row>
    <row r="41" spans="1:14" ht="150">
      <c r="A41" s="3" t="s">
        <v>3804</v>
      </c>
      <c r="B41" s="3" t="s">
        <v>3805</v>
      </c>
      <c r="C41" s="3" t="s">
        <v>13</v>
      </c>
      <c r="D41" s="3" t="s">
        <v>6243</v>
      </c>
      <c r="E41" s="3"/>
      <c r="F41" s="3" t="s">
        <v>3</v>
      </c>
      <c r="G41" s="3" t="s">
        <v>93</v>
      </c>
      <c r="H41" s="3"/>
      <c r="I41" s="3"/>
      <c r="J41" s="3" t="s">
        <v>3806</v>
      </c>
      <c r="K41" s="3"/>
      <c r="L41" s="3" t="s">
        <v>3807</v>
      </c>
      <c r="M41" s="3" t="str">
        <f>HYPERLINK("https://ceds.ed.gov/cedselementdetails.aspx?termid=5871")</f>
        <v>https://ceds.ed.gov/cedselementdetails.aspx?termid=5871</v>
      </c>
      <c r="N41" s="3" t="str">
        <f>HYPERLINK("https://ceds.ed.gov/elementComment.aspx?elementName=Learning Standard Item Association Identifier &amp;elementID=5871", "Click here to submit comment")</f>
        <v>Click here to submit comment</v>
      </c>
    </row>
    <row r="42" spans="1:14" ht="409.5">
      <c r="A42" s="3" t="s">
        <v>4088</v>
      </c>
      <c r="B42" s="3" t="s">
        <v>4089</v>
      </c>
      <c r="C42" s="3" t="s">
        <v>13</v>
      </c>
      <c r="D42" s="3" t="s">
        <v>6217</v>
      </c>
      <c r="E42" s="3" t="s">
        <v>6176</v>
      </c>
      <c r="F42" s="3" t="s">
        <v>3</v>
      </c>
      <c r="G42" s="3" t="s">
        <v>1368</v>
      </c>
      <c r="H42" s="3"/>
      <c r="I42" s="3" t="s">
        <v>2778</v>
      </c>
      <c r="J42" s="3" t="s">
        <v>4090</v>
      </c>
      <c r="K42" s="3"/>
      <c r="L42" s="3" t="s">
        <v>4091</v>
      </c>
      <c r="M42" s="3" t="str">
        <f>HYPERLINK("https://ceds.ed.gov/cedselementdetails.aspx?termid=5184")</f>
        <v>https://ceds.ed.gov/cedselementdetails.aspx?termid=5184</v>
      </c>
      <c r="N42" s="3" t="str">
        <f>HYPERLINK("https://ceds.ed.gov/elementComment.aspx?elementName=Middle Name &amp;elementID=5184", "Click here to submit comment")</f>
        <v>Click here to submit comment</v>
      </c>
    </row>
    <row r="43" spans="1:14" ht="270">
      <c r="A43" s="3" t="s">
        <v>4147</v>
      </c>
      <c r="B43" s="3" t="s">
        <v>4148</v>
      </c>
      <c r="C43" s="3" t="s">
        <v>5963</v>
      </c>
      <c r="D43" s="3" t="s">
        <v>6255</v>
      </c>
      <c r="E43" s="3" t="s">
        <v>6084</v>
      </c>
      <c r="F43" s="3" t="s">
        <v>3</v>
      </c>
      <c r="G43" s="3"/>
      <c r="H43" s="3"/>
      <c r="I43" s="3"/>
      <c r="J43" s="3" t="s">
        <v>4149</v>
      </c>
      <c r="K43" s="3"/>
      <c r="L43" s="3" t="s">
        <v>4150</v>
      </c>
      <c r="M43" s="3" t="str">
        <f>HYPERLINK("https://ceds.ed.gov/cedselementdetails.aspx?termid=5189")</f>
        <v>https://ceds.ed.gov/cedselementdetails.aspx?termid=5189</v>
      </c>
      <c r="N43" s="3" t="str">
        <f>HYPERLINK("https://ceds.ed.gov/elementComment.aspx?elementName=Migrant Status &amp;elementID=5189", "Click here to submit comment")</f>
        <v>Click here to submit comment</v>
      </c>
    </row>
    <row r="44" spans="1:14" ht="120">
      <c r="A44" s="3" t="s">
        <v>4341</v>
      </c>
      <c r="B44" s="3" t="s">
        <v>4342</v>
      </c>
      <c r="C44" s="3" t="s">
        <v>13</v>
      </c>
      <c r="D44" s="3" t="s">
        <v>6264</v>
      </c>
      <c r="E44" s="3" t="s">
        <v>65</v>
      </c>
      <c r="F44" s="3" t="s">
        <v>3</v>
      </c>
      <c r="G44" s="3" t="s">
        <v>100</v>
      </c>
      <c r="H44" s="3"/>
      <c r="I44" s="3"/>
      <c r="J44" s="3" t="s">
        <v>4343</v>
      </c>
      <c r="K44" s="3"/>
      <c r="L44" s="3" t="s">
        <v>4344</v>
      </c>
      <c r="M44" s="3" t="str">
        <f>HYPERLINK("https://ceds.ed.gov/cedselementdetails.aspx?termid=5825")</f>
        <v>https://ceds.ed.gov/cedselementdetails.aspx?termid=5825</v>
      </c>
      <c r="N44" s="3" t="str">
        <f>HYPERLINK("https://ceds.ed.gov/elementComment.aspx?elementName=Organization Identifier &amp;elementID=5825", "Click here to submit comment")</f>
        <v>Click here to submit comment</v>
      </c>
    </row>
    <row r="45" spans="1:14" ht="180">
      <c r="A45" s="3" t="s">
        <v>4349</v>
      </c>
      <c r="B45" s="3" t="s">
        <v>4350</v>
      </c>
      <c r="C45" s="3" t="s">
        <v>13</v>
      </c>
      <c r="D45" s="3" t="s">
        <v>6266</v>
      </c>
      <c r="E45" s="3" t="s">
        <v>202</v>
      </c>
      <c r="F45" s="3" t="s">
        <v>3</v>
      </c>
      <c r="G45" s="3" t="s">
        <v>106</v>
      </c>
      <c r="H45" s="3"/>
      <c r="I45" s="3"/>
      <c r="J45" s="3" t="s">
        <v>4351</v>
      </c>
      <c r="K45" s="3"/>
      <c r="L45" s="3" t="s">
        <v>4352</v>
      </c>
      <c r="M45" s="3" t="str">
        <f>HYPERLINK("https://ceds.ed.gov/cedselementdetails.aspx?termid=5204")</f>
        <v>https://ceds.ed.gov/cedselementdetails.aspx?termid=5204</v>
      </c>
      <c r="N45" s="3" t="str">
        <f>HYPERLINK("https://ceds.ed.gov/elementComment.aspx?elementName=Organization Name &amp;elementID=5204", "Click here to submit comment")</f>
        <v>Click here to submit comment</v>
      </c>
    </row>
    <row r="46" spans="1:14" ht="409.5">
      <c r="A46" s="3" t="s">
        <v>4390</v>
      </c>
      <c r="B46" s="3" t="s">
        <v>4391</v>
      </c>
      <c r="C46" s="3" t="s">
        <v>13</v>
      </c>
      <c r="D46" s="3" t="s">
        <v>6271</v>
      </c>
      <c r="E46" s="3" t="s">
        <v>6179</v>
      </c>
      <c r="F46" s="3" t="s">
        <v>3</v>
      </c>
      <c r="G46" s="3" t="s">
        <v>149</v>
      </c>
      <c r="H46" s="3"/>
      <c r="I46" s="3"/>
      <c r="J46" s="3" t="s">
        <v>4392</v>
      </c>
      <c r="K46" s="3"/>
      <c r="L46" s="3" t="s">
        <v>4393</v>
      </c>
      <c r="M46" s="3" t="str">
        <f>HYPERLINK("https://ceds.ed.gov/cedselementdetails.aspx?termid=5206")</f>
        <v>https://ceds.ed.gov/cedselementdetails.aspx?termid=5206</v>
      </c>
      <c r="N46" s="3" t="str">
        <f>HYPERLINK("https://ceds.ed.gov/elementComment.aspx?elementName=Other Name &amp;elementID=5206", "Click here to submit comment")</f>
        <v>Click here to submit comment</v>
      </c>
    </row>
    <row r="47" spans="1:14" ht="409.5">
      <c r="A47" s="3" t="s">
        <v>4394</v>
      </c>
      <c r="B47" s="3" t="s">
        <v>4395</v>
      </c>
      <c r="C47" s="4" t="s">
        <v>6593</v>
      </c>
      <c r="D47" s="3" t="s">
        <v>6272</v>
      </c>
      <c r="E47" s="3" t="s">
        <v>6273</v>
      </c>
      <c r="F47" s="3" t="s">
        <v>3</v>
      </c>
      <c r="G47" s="3" t="s">
        <v>100</v>
      </c>
      <c r="H47" s="3"/>
      <c r="I47" s="3"/>
      <c r="J47" s="3" t="s">
        <v>4396</v>
      </c>
      <c r="K47" s="3"/>
      <c r="L47" s="3" t="s">
        <v>4397</v>
      </c>
      <c r="M47" s="3" t="str">
        <f>HYPERLINK("https://ceds.ed.gov/cedselementdetails.aspx?termid=5627")</f>
        <v>https://ceds.ed.gov/cedselementdetails.aspx?termid=5627</v>
      </c>
      <c r="N47" s="3" t="str">
        <f>HYPERLINK("https://ceds.ed.gov/elementComment.aspx?elementName=Other Name Type &amp;elementID=5627", "Click here to submit comment")</f>
        <v>Click here to submit comment</v>
      </c>
    </row>
    <row r="48" spans="1:14" ht="409.5">
      <c r="A48" s="3" t="s">
        <v>4490</v>
      </c>
      <c r="B48" s="3" t="s">
        <v>4491</v>
      </c>
      <c r="C48" s="4" t="s">
        <v>6598</v>
      </c>
      <c r="D48" s="3" t="s">
        <v>6277</v>
      </c>
      <c r="E48" s="3" t="s">
        <v>1480</v>
      </c>
      <c r="F48" s="3" t="s">
        <v>3</v>
      </c>
      <c r="G48" s="3"/>
      <c r="H48" s="3"/>
      <c r="I48" s="3"/>
      <c r="J48" s="3" t="s">
        <v>4492</v>
      </c>
      <c r="K48" s="3"/>
      <c r="L48" s="3" t="s">
        <v>4493</v>
      </c>
      <c r="M48" s="3" t="str">
        <f>HYPERLINK("https://ceds.ed.gov/cedselementdetails.aspx?termid=5415")</f>
        <v>https://ceds.ed.gov/cedselementdetails.aspx?termid=5415</v>
      </c>
      <c r="N48" s="3" t="str">
        <f>HYPERLINK("https://ceds.ed.gov/elementComment.aspx?elementName=Person Relationship to Learner Type &amp;elementID=5415", "Click here to submit comment")</f>
        <v>Click here to submit comment</v>
      </c>
    </row>
    <row r="49" spans="1:14" ht="409.5">
      <c r="A49" s="3" t="s">
        <v>4494</v>
      </c>
      <c r="B49" s="3" t="s">
        <v>4495</v>
      </c>
      <c r="C49" s="4" t="s">
        <v>6599</v>
      </c>
      <c r="D49" s="3" t="s">
        <v>6278</v>
      </c>
      <c r="E49" s="3"/>
      <c r="F49" s="3" t="s">
        <v>3</v>
      </c>
      <c r="G49" s="3"/>
      <c r="H49" s="3"/>
      <c r="I49" s="3"/>
      <c r="J49" s="3" t="s">
        <v>4496</v>
      </c>
      <c r="K49" s="3"/>
      <c r="L49" s="3" t="s">
        <v>4497</v>
      </c>
      <c r="M49" s="3" t="str">
        <f>HYPERLINK("https://ceds.ed.gov/cedselementdetails.aspx?termid=5611")</f>
        <v>https://ceds.ed.gov/cedselementdetails.aspx?termid=5611</v>
      </c>
      <c r="N49" s="3" t="str">
        <f>HYPERLINK("https://ceds.ed.gov/elementComment.aspx?elementName=Personal Information Verification &amp;elementID=5611", "Click here to submit comment")</f>
        <v>Click here to submit comment</v>
      </c>
    </row>
    <row r="50" spans="1:14" ht="409.5">
      <c r="A50" s="3" t="s">
        <v>4498</v>
      </c>
      <c r="B50" s="3" t="s">
        <v>4499</v>
      </c>
      <c r="C50" s="3" t="s">
        <v>13</v>
      </c>
      <c r="D50" s="3" t="s">
        <v>6279</v>
      </c>
      <c r="E50" s="3" t="s">
        <v>6280</v>
      </c>
      <c r="F50" s="3" t="s">
        <v>3</v>
      </c>
      <c r="G50" s="3" t="s">
        <v>100</v>
      </c>
      <c r="H50" s="3"/>
      <c r="I50" s="3"/>
      <c r="J50" s="3" t="s">
        <v>4500</v>
      </c>
      <c r="K50" s="3" t="s">
        <v>4501</v>
      </c>
      <c r="L50" s="3" t="s">
        <v>4502</v>
      </c>
      <c r="M50" s="3" t="str">
        <f>HYPERLINK("https://ceds.ed.gov/cedselementdetails.aspx?termid=5212")</f>
        <v>https://ceds.ed.gov/cedselementdetails.aspx?termid=5212</v>
      </c>
      <c r="N50" s="3" t="str">
        <f>HYPERLINK("https://ceds.ed.gov/elementComment.aspx?elementName=Personal Title or Prefix &amp;elementID=5212", "Click here to submit comment")</f>
        <v>Click here to submit comment</v>
      </c>
    </row>
    <row r="51" spans="1:14" ht="105">
      <c r="A51" s="3" t="s">
        <v>4507</v>
      </c>
      <c r="B51" s="3" t="s">
        <v>4508</v>
      </c>
      <c r="C51" s="3" t="s">
        <v>13</v>
      </c>
      <c r="D51" s="3" t="s">
        <v>6281</v>
      </c>
      <c r="E51" s="3" t="s">
        <v>5968</v>
      </c>
      <c r="F51" s="3" t="s">
        <v>3</v>
      </c>
      <c r="G51" s="3" t="s">
        <v>1249</v>
      </c>
      <c r="H51" s="3"/>
      <c r="I51" s="3"/>
      <c r="J51" s="3" t="s">
        <v>4509</v>
      </c>
      <c r="K51" s="3"/>
      <c r="L51" s="3" t="s">
        <v>4510</v>
      </c>
      <c r="M51" s="3" t="str">
        <f>HYPERLINK("https://ceds.ed.gov/cedselementdetails.aspx?termid=5213")</f>
        <v>https://ceds.ed.gov/cedselementdetails.aspx?termid=5213</v>
      </c>
      <c r="N51" s="3" t="str">
        <f>HYPERLINK("https://ceds.ed.gov/elementComment.aspx?elementName=Position Title &amp;elementID=5213", "Click here to submit comment")</f>
        <v>Click here to submit comment</v>
      </c>
    </row>
    <row r="52" spans="1:14" ht="210">
      <c r="A52" s="3" t="s">
        <v>4587</v>
      </c>
      <c r="B52" s="3" t="s">
        <v>4588</v>
      </c>
      <c r="C52" s="4" t="s">
        <v>6607</v>
      </c>
      <c r="D52" s="3" t="s">
        <v>6285</v>
      </c>
      <c r="E52" s="3" t="s">
        <v>6286</v>
      </c>
      <c r="F52" s="3" t="s">
        <v>3</v>
      </c>
      <c r="G52" s="3"/>
      <c r="H52" s="3"/>
      <c r="I52" s="3"/>
      <c r="J52" s="3" t="s">
        <v>4589</v>
      </c>
      <c r="K52" s="3"/>
      <c r="L52" s="3" t="s">
        <v>4590</v>
      </c>
      <c r="M52" s="3" t="str">
        <f>HYPERLINK("https://ceds.ed.gov/cedselementdetails.aspx?termid=5218")</f>
        <v>https://ceds.ed.gov/cedselementdetails.aspx?termid=5218</v>
      </c>
      <c r="N52" s="3" t="str">
        <f>HYPERLINK("https://ceds.ed.gov/elementComment.aspx?elementName=Primary Disability Type &amp;elementID=5218", "Click here to submit comment")</f>
        <v>Click here to submit comment</v>
      </c>
    </row>
    <row r="53" spans="1:14" ht="409.5">
      <c r="A53" s="3" t="s">
        <v>4591</v>
      </c>
      <c r="B53" s="3" t="s">
        <v>4592</v>
      </c>
      <c r="C53" s="3" t="s">
        <v>5963</v>
      </c>
      <c r="D53" s="3" t="s">
        <v>6287</v>
      </c>
      <c r="E53" s="3" t="s">
        <v>5968</v>
      </c>
      <c r="F53" s="3" t="s">
        <v>3</v>
      </c>
      <c r="G53" s="3"/>
      <c r="H53" s="3"/>
      <c r="I53" s="3"/>
      <c r="J53" s="3" t="s">
        <v>4593</v>
      </c>
      <c r="K53" s="3"/>
      <c r="L53" s="3" t="s">
        <v>4594</v>
      </c>
      <c r="M53" s="3" t="str">
        <f>HYPERLINK("https://ceds.ed.gov/cedselementdetails.aspx?termid=5219")</f>
        <v>https://ceds.ed.gov/cedselementdetails.aspx?termid=5219</v>
      </c>
      <c r="N53" s="3" t="str">
        <f>HYPERLINK("https://ceds.ed.gov/elementComment.aspx?elementName=Primary Telephone Number Indicator &amp;elementID=5219", "Click here to submit comment")</f>
        <v>Click here to submit comment</v>
      </c>
    </row>
    <row r="54" spans="1:14" ht="60">
      <c r="A54" s="3" t="s">
        <v>4797</v>
      </c>
      <c r="B54" s="3" t="s">
        <v>4798</v>
      </c>
      <c r="C54" s="3" t="s">
        <v>13</v>
      </c>
      <c r="D54" s="3" t="s">
        <v>6297</v>
      </c>
      <c r="E54" s="3"/>
      <c r="F54" s="3" t="s">
        <v>3</v>
      </c>
      <c r="G54" s="3" t="s">
        <v>100</v>
      </c>
      <c r="H54" s="3"/>
      <c r="I54" s="3"/>
      <c r="J54" s="3" t="s">
        <v>4799</v>
      </c>
      <c r="K54" s="3"/>
      <c r="L54" s="3" t="s">
        <v>4800</v>
      </c>
      <c r="M54" s="3" t="str">
        <f>HYPERLINK("https://ceds.ed.gov/cedselementdetails.aspx?termid=5618")</f>
        <v>https://ceds.ed.gov/cedselementdetails.aspx?termid=5618</v>
      </c>
      <c r="N54" s="3" t="str">
        <f>HYPERLINK("https://ceds.ed.gov/elementComment.aspx?elementName=Program Identifier &amp;elementID=5618", "Click here to submit comment")</f>
        <v>Click here to submit comment</v>
      </c>
    </row>
    <row r="55" spans="1:14" ht="75">
      <c r="A55" s="3" t="s">
        <v>4813</v>
      </c>
      <c r="B55" s="3" t="s">
        <v>4814</v>
      </c>
      <c r="C55" s="3" t="s">
        <v>13</v>
      </c>
      <c r="D55" s="3" t="s">
        <v>6298</v>
      </c>
      <c r="E55" s="3"/>
      <c r="F55" s="3" t="s">
        <v>3</v>
      </c>
      <c r="G55" s="3" t="s">
        <v>106</v>
      </c>
      <c r="H55" s="3"/>
      <c r="I55" s="3"/>
      <c r="J55" s="3" t="s">
        <v>4815</v>
      </c>
      <c r="K55" s="3"/>
      <c r="L55" s="3" t="s">
        <v>4816</v>
      </c>
      <c r="M55" s="3" t="str">
        <f>HYPERLINK("https://ceds.ed.gov/cedselementdetails.aspx?termid=5619")</f>
        <v>https://ceds.ed.gov/cedselementdetails.aspx?termid=5619</v>
      </c>
      <c r="N55" s="3" t="str">
        <f>HYPERLINK("https://ceds.ed.gov/elementComment.aspx?elementName=Program Name &amp;elementID=5619", "Click here to submit comment")</f>
        <v>Click here to submit comment</v>
      </c>
    </row>
    <row r="56" spans="1:14" ht="120">
      <c r="A56" s="3" t="s">
        <v>5049</v>
      </c>
      <c r="B56" s="3" t="s">
        <v>5050</v>
      </c>
      <c r="C56" s="4" t="s">
        <v>6641</v>
      </c>
      <c r="D56" s="3" t="s">
        <v>6304</v>
      </c>
      <c r="E56" s="3" t="s">
        <v>218</v>
      </c>
      <c r="F56" s="3" t="s">
        <v>3</v>
      </c>
      <c r="G56" s="3"/>
      <c r="H56" s="3"/>
      <c r="I56" s="3"/>
      <c r="J56" s="3" t="s">
        <v>5051</v>
      </c>
      <c r="K56" s="3"/>
      <c r="L56" s="3" t="s">
        <v>5052</v>
      </c>
      <c r="M56" s="3" t="str">
        <f>HYPERLINK("https://ceds.ed.gov/cedselementdetails.aspx?termid=5587")</f>
        <v>https://ceds.ed.gov/cedselementdetails.aspx?termid=5587</v>
      </c>
      <c r="N56" s="3" t="str">
        <f>HYPERLINK("https://ceds.ed.gov/elementComment.aspx?elementName=Responsible District Type &amp;elementID=5587", "Click here to submit comment")</f>
        <v>Click here to submit comment</v>
      </c>
    </row>
    <row r="57" spans="1:14" ht="60">
      <c r="A57" s="3" t="s">
        <v>5059</v>
      </c>
      <c r="B57" s="3" t="s">
        <v>5060</v>
      </c>
      <c r="C57" s="3" t="s">
        <v>13</v>
      </c>
      <c r="D57" s="3" t="s">
        <v>6305</v>
      </c>
      <c r="E57" s="3" t="s">
        <v>6104</v>
      </c>
      <c r="F57" s="3" t="s">
        <v>3</v>
      </c>
      <c r="G57" s="3" t="s">
        <v>106</v>
      </c>
      <c r="H57" s="3"/>
      <c r="I57" s="3"/>
      <c r="J57" s="3" t="s">
        <v>5061</v>
      </c>
      <c r="K57" s="3"/>
      <c r="L57" s="3" t="s">
        <v>5062</v>
      </c>
      <c r="M57" s="3" t="str">
        <f>HYPERLINK("https://ceds.ed.gov/cedselementdetails.aspx?termid=5624")</f>
        <v>https://ceds.ed.gov/cedselementdetails.aspx?termid=5624</v>
      </c>
      <c r="N57" s="3" t="str">
        <f>HYPERLINK("https://ceds.ed.gov/elementComment.aspx?elementName=Responsible Organization Name &amp;elementID=5624", "Click here to submit comment")</f>
        <v>Click here to submit comment</v>
      </c>
    </row>
    <row r="58" spans="1:14" ht="360">
      <c r="A58" s="3" t="s">
        <v>5353</v>
      </c>
      <c r="B58" s="3" t="s">
        <v>5354</v>
      </c>
      <c r="C58" s="4" t="s">
        <v>6656</v>
      </c>
      <c r="D58" s="3" t="s">
        <v>6311</v>
      </c>
      <c r="E58" s="3" t="s">
        <v>6312</v>
      </c>
      <c r="F58" s="3" t="s">
        <v>3</v>
      </c>
      <c r="G58" s="3"/>
      <c r="H58" s="3"/>
      <c r="I58" s="3" t="s">
        <v>5355</v>
      </c>
      <c r="J58" s="3" t="s">
        <v>5356</v>
      </c>
      <c r="K58" s="3"/>
      <c r="L58" s="3" t="s">
        <v>5353</v>
      </c>
      <c r="M58" s="3" t="str">
        <f>HYPERLINK("https://ceds.ed.gov/cedselementdetails.aspx?termid=5255")</f>
        <v>https://ceds.ed.gov/cedselementdetails.aspx?termid=5255</v>
      </c>
      <c r="N58" s="3" t="str">
        <f>HYPERLINK("https://ceds.ed.gov/elementComment.aspx?elementName=Sex &amp;elementID=5255", "Click here to submit comment")</f>
        <v>Click here to submit comment</v>
      </c>
    </row>
    <row r="59" spans="1:14" ht="135">
      <c r="A59" s="3" t="s">
        <v>5370</v>
      </c>
      <c r="B59" s="3" t="s">
        <v>5371</v>
      </c>
      <c r="C59" s="3" t="s">
        <v>5963</v>
      </c>
      <c r="D59" s="3" t="s">
        <v>6313</v>
      </c>
      <c r="E59" s="3" t="s">
        <v>6101</v>
      </c>
      <c r="F59" s="3" t="s">
        <v>3</v>
      </c>
      <c r="G59" s="3"/>
      <c r="H59" s="3"/>
      <c r="I59" s="3"/>
      <c r="J59" s="3" t="s">
        <v>5372</v>
      </c>
      <c r="K59" s="3"/>
      <c r="L59" s="3" t="s">
        <v>5373</v>
      </c>
      <c r="M59" s="3" t="str">
        <f>HYPERLINK("https://ceds.ed.gov/cedselementdetails.aspx?termid=5573")</f>
        <v>https://ceds.ed.gov/cedselementdetails.aspx?termid=5573</v>
      </c>
      <c r="N59" s="3" t="str">
        <f>HYPERLINK("https://ceds.ed.gov/elementComment.aspx?elementName=Single Parent Or Single Pregnant Woman Status &amp;elementID=5573", "Click here to submit comment")</f>
        <v>Click here to submit comment</v>
      </c>
    </row>
    <row r="60" spans="1:14" ht="409.5">
      <c r="A60" s="3" t="s">
        <v>5383</v>
      </c>
      <c r="B60" s="3" t="s">
        <v>5384</v>
      </c>
      <c r="C60" s="3" t="s">
        <v>13</v>
      </c>
      <c r="D60" s="3" t="s">
        <v>6314</v>
      </c>
      <c r="E60" s="3" t="s">
        <v>6315</v>
      </c>
      <c r="F60" s="3" t="s">
        <v>3</v>
      </c>
      <c r="G60" s="3" t="s">
        <v>5385</v>
      </c>
      <c r="H60" s="3"/>
      <c r="I60" s="3" t="s">
        <v>5386</v>
      </c>
      <c r="J60" s="3" t="s">
        <v>5387</v>
      </c>
      <c r="K60" s="3" t="s">
        <v>5388</v>
      </c>
      <c r="L60" s="3" t="s">
        <v>5389</v>
      </c>
      <c r="M60" s="3" t="str">
        <f>HYPERLINK("https://ceds.ed.gov/cedselementdetails.aspx?termid=5259")</f>
        <v>https://ceds.ed.gov/cedselementdetails.aspx?termid=5259</v>
      </c>
      <c r="N60" s="3" t="str">
        <f>HYPERLINK("https://ceds.ed.gov/elementComment.aspx?elementName=Social Security Number &amp;elementID=5259", "Click here to submit comment")</f>
        <v>Click here to submit comment</v>
      </c>
    </row>
    <row r="61" spans="1:14" ht="225">
      <c r="A61" s="3" t="s">
        <v>5447</v>
      </c>
      <c r="B61" s="3" t="s">
        <v>5448</v>
      </c>
      <c r="C61" s="3" t="s">
        <v>13</v>
      </c>
      <c r="D61" s="3" t="s">
        <v>6153</v>
      </c>
      <c r="E61" s="3" t="s">
        <v>1780</v>
      </c>
      <c r="F61" s="3" t="s">
        <v>3</v>
      </c>
      <c r="G61" s="3" t="s">
        <v>1461</v>
      </c>
      <c r="H61" s="3"/>
      <c r="I61" s="3" t="s">
        <v>5449</v>
      </c>
      <c r="J61" s="3" t="s">
        <v>5450</v>
      </c>
      <c r="K61" s="3"/>
      <c r="L61" s="3" t="s">
        <v>5451</v>
      </c>
      <c r="M61" s="3" t="str">
        <f>HYPERLINK("https://ceds.ed.gov/cedselementdetails.aspx?termid=5032")</f>
        <v>https://ceds.ed.gov/cedselementdetails.aspx?termid=5032</v>
      </c>
      <c r="N61" s="3" t="str">
        <f>HYPERLINK("https://ceds.ed.gov/elementComment.aspx?elementName=Staff Compensation Base Salary &amp;elementID=5032", "Click here to submit comment")</f>
        <v>Click here to submit comment</v>
      </c>
    </row>
    <row r="62" spans="1:14" ht="60">
      <c r="A62" s="3" t="s">
        <v>5496</v>
      </c>
      <c r="B62" s="3" t="s">
        <v>5497</v>
      </c>
      <c r="C62" s="3" t="s">
        <v>13</v>
      </c>
      <c r="D62" s="3" t="s">
        <v>6318</v>
      </c>
      <c r="E62" s="3" t="s">
        <v>6319</v>
      </c>
      <c r="F62" s="3" t="s">
        <v>3</v>
      </c>
      <c r="G62" s="3" t="s">
        <v>5498</v>
      </c>
      <c r="H62" s="3"/>
      <c r="I62" s="3"/>
      <c r="J62" s="3" t="s">
        <v>5499</v>
      </c>
      <c r="K62" s="3" t="s">
        <v>5500</v>
      </c>
      <c r="L62" s="3" t="s">
        <v>5501</v>
      </c>
      <c r="M62" s="3" t="str">
        <f>HYPERLINK("https://ceds.ed.gov/cedselementdetails.aspx?termid=5118")</f>
        <v>https://ceds.ed.gov/cedselementdetails.aspx?termid=5118</v>
      </c>
      <c r="N62" s="3" t="str">
        <f>HYPERLINK("https://ceds.ed.gov/elementComment.aspx?elementName=Staff Full Time Equivalency &amp;elementID=5118", "Click here to submit comment")</f>
        <v>Click here to submit comment</v>
      </c>
    </row>
    <row r="63" spans="1:14" ht="345">
      <c r="A63" s="3" t="s">
        <v>5502</v>
      </c>
      <c r="B63" s="3" t="s">
        <v>5503</v>
      </c>
      <c r="C63" s="4" t="s">
        <v>6662</v>
      </c>
      <c r="D63" s="3" t="s">
        <v>6320</v>
      </c>
      <c r="E63" s="3" t="s">
        <v>6321</v>
      </c>
      <c r="F63" s="3" t="s">
        <v>3</v>
      </c>
      <c r="G63" s="3"/>
      <c r="H63" s="3"/>
      <c r="I63" s="3"/>
      <c r="J63" s="3" t="s">
        <v>5504</v>
      </c>
      <c r="K63" s="3"/>
      <c r="L63" s="3" t="s">
        <v>5505</v>
      </c>
      <c r="M63" s="3" t="str">
        <f>HYPERLINK("https://ceds.ed.gov/cedselementdetails.aspx?termid=5162")</f>
        <v>https://ceds.ed.gov/cedselementdetails.aspx?termid=5162</v>
      </c>
      <c r="N63" s="3" t="str">
        <f>HYPERLINK("https://ceds.ed.gov/elementComment.aspx?elementName=Staff Member Identification System &amp;elementID=5162", "Click here to submit comment")</f>
        <v>Click here to submit comment</v>
      </c>
    </row>
    <row r="64" spans="1:14" ht="345">
      <c r="A64" s="3" t="s">
        <v>5506</v>
      </c>
      <c r="B64" s="3" t="s">
        <v>5507</v>
      </c>
      <c r="C64" s="3" t="s">
        <v>13</v>
      </c>
      <c r="D64" s="3" t="s">
        <v>6320</v>
      </c>
      <c r="E64" s="3" t="s">
        <v>6322</v>
      </c>
      <c r="F64" s="3" t="s">
        <v>3</v>
      </c>
      <c r="G64" s="3" t="s">
        <v>100</v>
      </c>
      <c r="H64" s="3"/>
      <c r="I64" s="3"/>
      <c r="J64" s="3" t="s">
        <v>5508</v>
      </c>
      <c r="K64" s="3"/>
      <c r="L64" s="3" t="s">
        <v>5509</v>
      </c>
      <c r="M64" s="3" t="str">
        <f>HYPERLINK("https://ceds.ed.gov/cedselementdetails.aspx?termid=5156")</f>
        <v>https://ceds.ed.gov/cedselementdetails.aspx?termid=5156</v>
      </c>
      <c r="N64" s="3" t="str">
        <f>HYPERLINK("https://ceds.ed.gov/elementComment.aspx?elementName=Staff Member Identifier &amp;elementID=5156", "Click here to submit comment")</f>
        <v>Click here to submit comment</v>
      </c>
    </row>
    <row r="65" spans="1:14" ht="409.5">
      <c r="A65" s="3" t="s">
        <v>5533</v>
      </c>
      <c r="B65" s="3" t="s">
        <v>5534</v>
      </c>
      <c r="C65" s="4" t="s">
        <v>6633</v>
      </c>
      <c r="D65" s="3" t="s">
        <v>5972</v>
      </c>
      <c r="E65" s="3" t="s">
        <v>6324</v>
      </c>
      <c r="F65" s="3" t="s">
        <v>3</v>
      </c>
      <c r="G65" s="3"/>
      <c r="H65" s="3"/>
      <c r="I65" s="3"/>
      <c r="J65" s="3" t="s">
        <v>5535</v>
      </c>
      <c r="K65" s="3"/>
      <c r="L65" s="3" t="s">
        <v>5536</v>
      </c>
      <c r="M65" s="3" t="str">
        <f>HYPERLINK("https://ceds.ed.gov/cedselementdetails.aspx?termid=5267")</f>
        <v>https://ceds.ed.gov/cedselementdetails.aspx?termid=5267</v>
      </c>
      <c r="N65" s="3" t="str">
        <f>HYPERLINK("https://ceds.ed.gov/elementComment.aspx?elementName=State Abbreviation &amp;elementID=5267", "Click here to submit comment")</f>
        <v>Click here to submit comment</v>
      </c>
    </row>
    <row r="66" spans="1:14" ht="409.5">
      <c r="A66" s="3" t="s">
        <v>5727</v>
      </c>
      <c r="B66" s="3" t="s">
        <v>5728</v>
      </c>
      <c r="C66" s="3" t="s">
        <v>13</v>
      </c>
      <c r="D66" s="3" t="s">
        <v>6336</v>
      </c>
      <c r="E66" s="3" t="s">
        <v>5968</v>
      </c>
      <c r="F66" s="3" t="s">
        <v>3</v>
      </c>
      <c r="G66" s="3" t="s">
        <v>5729</v>
      </c>
      <c r="H66" s="3"/>
      <c r="I66" s="3"/>
      <c r="J66" s="3" t="s">
        <v>5730</v>
      </c>
      <c r="K66" s="3"/>
      <c r="L66" s="3" t="s">
        <v>5731</v>
      </c>
      <c r="M66" s="3" t="str">
        <f>HYPERLINK("https://ceds.ed.gov/cedselementdetails.aspx?termid=5279")</f>
        <v>https://ceds.ed.gov/cedselementdetails.aspx?termid=5279</v>
      </c>
      <c r="N66" s="3" t="str">
        <f>HYPERLINK("https://ceds.ed.gov/elementComment.aspx?elementName=Telephone Number &amp;elementID=5279", "Click here to submit comment")</f>
        <v>Click here to submit comment</v>
      </c>
    </row>
    <row r="67" spans="1:14" ht="409.5">
      <c r="A67" s="3" t="s">
        <v>5732</v>
      </c>
      <c r="B67" s="3" t="s">
        <v>5733</v>
      </c>
      <c r="C67" s="4" t="s">
        <v>6675</v>
      </c>
      <c r="D67" s="3" t="s">
        <v>6337</v>
      </c>
      <c r="E67" s="3" t="s">
        <v>5968</v>
      </c>
      <c r="F67" s="3" t="s">
        <v>3</v>
      </c>
      <c r="G67" s="3" t="s">
        <v>2844</v>
      </c>
      <c r="H67" s="3"/>
      <c r="I67" s="3"/>
      <c r="J67" s="3" t="s">
        <v>5734</v>
      </c>
      <c r="K67" s="3"/>
      <c r="L67" s="3" t="s">
        <v>5735</v>
      </c>
      <c r="M67" s="3" t="str">
        <f>HYPERLINK("https://ceds.ed.gov/cedselementdetails.aspx?termid=5280")</f>
        <v>https://ceds.ed.gov/cedselementdetails.aspx?termid=5280</v>
      </c>
      <c r="N67" s="3" t="str">
        <f>HYPERLINK("https://ceds.ed.gov/elementComment.aspx?elementName=Telephone Number Type &amp;elementID=5280", "Click here to submit comment")</f>
        <v>Click here to submit comment</v>
      </c>
    </row>
    <row r="68" spans="1:14" ht="60">
      <c r="A68" s="3" t="s">
        <v>5883</v>
      </c>
      <c r="B68" s="3" t="s">
        <v>5884</v>
      </c>
      <c r="C68" s="3" t="s">
        <v>13</v>
      </c>
      <c r="D68" s="3" t="s">
        <v>6342</v>
      </c>
      <c r="E68" s="3"/>
      <c r="F68" s="3" t="s">
        <v>3</v>
      </c>
      <c r="G68" s="3" t="s">
        <v>73</v>
      </c>
      <c r="H68" s="3"/>
      <c r="I68" s="3"/>
      <c r="J68" s="3" t="s">
        <v>5885</v>
      </c>
      <c r="K68" s="3"/>
      <c r="L68" s="3" t="s">
        <v>5886</v>
      </c>
      <c r="M68" s="3" t="str">
        <f>HYPERLINK("https://ceds.ed.gov/cedselementdetails.aspx?termid=5680")</f>
        <v>https://ceds.ed.gov/cedselementdetails.aspx?termid=5680</v>
      </c>
      <c r="N68" s="3" t="str">
        <f>HYPERLINK("https://ceds.ed.gov/elementComment.aspx?elementName=Vision Screening Date &amp;elementID=5680", "Click here to submit comment")</f>
        <v>Click here to submit comment</v>
      </c>
    </row>
    <row r="69" spans="1:14" ht="60">
      <c r="A69" s="3" t="s">
        <v>5887</v>
      </c>
      <c r="B69" s="3" t="s">
        <v>5888</v>
      </c>
      <c r="C69" s="4" t="s">
        <v>6526</v>
      </c>
      <c r="D69" s="3" t="s">
        <v>6342</v>
      </c>
      <c r="E69" s="3" t="s">
        <v>2158</v>
      </c>
      <c r="F69" s="3" t="s">
        <v>3</v>
      </c>
      <c r="G69" s="3"/>
      <c r="H69" s="3"/>
      <c r="I69" s="3"/>
      <c r="J69" s="3" t="s">
        <v>5889</v>
      </c>
      <c r="K69" s="3"/>
      <c r="L69" s="3" t="s">
        <v>5890</v>
      </c>
      <c r="M69" s="3" t="str">
        <f>HYPERLINK("https://ceds.ed.gov/cedselementdetails.aspx?termid=5308")</f>
        <v>https://ceds.ed.gov/cedselementdetails.aspx?termid=5308</v>
      </c>
      <c r="N69" s="3" t="str">
        <f>HYPERLINK("https://ceds.ed.gov/elementComment.aspx?elementName=Vision Screening Status &amp;elementID=5308", "Click here to submit comment")</f>
        <v>Click here to submit comment</v>
      </c>
    </row>
    <row r="70" spans="1:14" ht="75">
      <c r="A70" s="3" t="s">
        <v>5908</v>
      </c>
      <c r="B70" s="3" t="s">
        <v>5909</v>
      </c>
      <c r="C70" s="3" t="s">
        <v>13</v>
      </c>
      <c r="D70" s="3" t="s">
        <v>6343</v>
      </c>
      <c r="E70" s="3" t="s">
        <v>218</v>
      </c>
      <c r="F70" s="3" t="s">
        <v>3</v>
      </c>
      <c r="G70" s="3" t="s">
        <v>93</v>
      </c>
      <c r="H70" s="3"/>
      <c r="I70" s="3"/>
      <c r="J70" s="3" t="s">
        <v>5910</v>
      </c>
      <c r="K70" s="3"/>
      <c r="L70" s="3" t="s">
        <v>5911</v>
      </c>
      <c r="M70" s="3" t="str">
        <f>HYPERLINK("https://ceds.ed.gov/cedselementdetails.aspx?termid=5300")</f>
        <v>https://ceds.ed.gov/cedselementdetails.aspx?termid=5300</v>
      </c>
      <c r="N70" s="3" t="str">
        <f>HYPERLINK("https://ceds.ed.gov/elementComment.aspx?elementName=Web Site Address &amp;elementID=5300", "Click here to submit comment")</f>
        <v>Click here to submit comment</v>
      </c>
    </row>
  </sheetData>
  <autoFilter ref="A1:O70"/>
  <hyperlinks>
    <hyperlink ref="C16" r:id="rId1" display="http://nces.ed.gov/ipeds/cipcode/browse.aspx?y=55"/>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
  <dimension ref="A1:N1349"/>
  <sheetViews>
    <sheetView showGridLines="0" workbookViewId="0">
      <pane ySplit="1" topLeftCell="A2" activePane="bottomLeft" state="frozen"/>
      <selection pane="bottomLeft" activeCell="A2" sqref="A2"/>
    </sheetView>
  </sheetViews>
  <sheetFormatPr defaultRowHeight="15"/>
  <cols>
    <col min="1" max="5" width="36.5703125" style="9" bestFit="1" customWidth="1"/>
    <col min="6" max="6" width="11.140625" style="9" bestFit="1" customWidth="1"/>
    <col min="7" max="9" width="36.5703125" style="9" bestFit="1" customWidth="1"/>
    <col min="10" max="10" width="9" style="9" bestFit="1" customWidth="1"/>
    <col min="11" max="12" width="36.5703125" style="9" bestFit="1" customWidth="1"/>
    <col min="13" max="13" width="57" style="9" customWidth="1"/>
    <col min="14" max="14" width="31.85546875" style="9" customWidth="1"/>
    <col min="15" max="16384" width="9.140625" style="9"/>
  </cols>
  <sheetData>
    <row r="1" spans="1:14" s="8" customFormat="1" ht="30">
      <c r="A1" s="1" t="s">
        <v>6697</v>
      </c>
      <c r="B1" s="1" t="s">
        <v>6698</v>
      </c>
      <c r="C1" s="1" t="s">
        <v>6699</v>
      </c>
      <c r="D1" s="1" t="s">
        <v>6700</v>
      </c>
      <c r="E1" s="1" t="s">
        <v>6710</v>
      </c>
      <c r="F1" s="1" t="s">
        <v>6701</v>
      </c>
      <c r="G1" s="1" t="s">
        <v>6702</v>
      </c>
      <c r="H1" s="1" t="s">
        <v>6703</v>
      </c>
      <c r="I1" s="1" t="s">
        <v>6704</v>
      </c>
      <c r="J1" s="2" t="s">
        <v>6705</v>
      </c>
      <c r="K1" s="1" t="s">
        <v>6706</v>
      </c>
      <c r="L1" s="1" t="s">
        <v>6707</v>
      </c>
      <c r="M1" s="1" t="s">
        <v>6708</v>
      </c>
      <c r="N1" s="1" t="s">
        <v>6709</v>
      </c>
    </row>
    <row r="2" spans="1:14" ht="90">
      <c r="A2" s="3" t="s">
        <v>0</v>
      </c>
      <c r="B2" s="3" t="s">
        <v>1</v>
      </c>
      <c r="C2" s="3" t="s">
        <v>5963</v>
      </c>
      <c r="D2" s="3" t="s">
        <v>5964</v>
      </c>
      <c r="E2" s="3" t="s">
        <v>2</v>
      </c>
      <c r="F2" s="3" t="s">
        <v>3</v>
      </c>
      <c r="G2" s="3"/>
      <c r="H2" s="3"/>
      <c r="I2" s="3"/>
      <c r="J2" s="3" t="s">
        <v>4</v>
      </c>
      <c r="K2" s="3"/>
      <c r="L2" s="3" t="s">
        <v>5</v>
      </c>
      <c r="M2" s="3" t="str">
        <f>HYPERLINK("https://ceds.ed.gov/cedselementdetails.aspx?termid=5000")</f>
        <v>https://ceds.ed.gov/cedselementdetails.aspx?termid=5000</v>
      </c>
      <c r="N2" s="3" t="str">
        <f>HYPERLINK("https://ceds.ed.gov/elementComment.aspx?elementName=Ability Grouping Status &amp;elementID=5000", "Click here to submit comment")</f>
        <v>Click here to submit comment</v>
      </c>
    </row>
    <row r="3" spans="1:14" ht="285">
      <c r="A3" s="3" t="s">
        <v>6</v>
      </c>
      <c r="B3" s="3" t="s">
        <v>7</v>
      </c>
      <c r="C3" s="4" t="s">
        <v>6345</v>
      </c>
      <c r="D3" s="3" t="s">
        <v>8</v>
      </c>
      <c r="E3" s="3"/>
      <c r="F3" s="3"/>
      <c r="G3" s="3"/>
      <c r="H3" s="3"/>
      <c r="I3" s="3"/>
      <c r="J3" s="3" t="s">
        <v>9</v>
      </c>
      <c r="K3" s="3"/>
      <c r="L3" s="3" t="s">
        <v>10</v>
      </c>
      <c r="M3" s="3" t="str">
        <f>HYPERLINK("https://ceds.ed.gov/cedselementdetails.aspx?termid=5592")</f>
        <v>https://ceds.ed.gov/cedselementdetails.aspx?termid=5592</v>
      </c>
      <c r="N3" s="3" t="str">
        <f>HYPERLINK("https://ceds.ed.gov/elementComment.aspx?elementName=Absent Attendance Category &amp;elementID=5592", "Click here to submit comment")</f>
        <v>Click here to submit comment</v>
      </c>
    </row>
    <row r="4" spans="1:14" ht="60">
      <c r="A4" s="3" t="s">
        <v>11</v>
      </c>
      <c r="B4" s="3" t="s">
        <v>12</v>
      </c>
      <c r="C4" s="3" t="s">
        <v>13</v>
      </c>
      <c r="D4" s="3" t="s">
        <v>14</v>
      </c>
      <c r="E4" s="3" t="s">
        <v>5965</v>
      </c>
      <c r="F4" s="3"/>
      <c r="G4" s="3" t="s">
        <v>15</v>
      </c>
      <c r="H4" s="3"/>
      <c r="I4" s="3"/>
      <c r="J4" s="3" t="s">
        <v>16</v>
      </c>
      <c r="K4" s="3"/>
      <c r="L4" s="3" t="s">
        <v>17</v>
      </c>
      <c r="M4" s="3" t="str">
        <f>HYPERLINK("https://ceds.ed.gov/cedselementdetails.aspx?termid=5001")</f>
        <v>https://ceds.ed.gov/cedselementdetails.aspx?termid=5001</v>
      </c>
      <c r="N4" s="3" t="str">
        <f>HYPERLINK("https://ceds.ed.gov/elementComment.aspx?elementName=Academic Award Date &amp;elementID=5001", "Click here to submit comment")</f>
        <v>Click here to submit comment</v>
      </c>
    </row>
    <row r="5" spans="1:14" ht="285">
      <c r="A5" s="3" t="s">
        <v>18</v>
      </c>
      <c r="B5" s="3" t="s">
        <v>19</v>
      </c>
      <c r="C5" s="4" t="s">
        <v>6346</v>
      </c>
      <c r="D5" s="3" t="s">
        <v>5966</v>
      </c>
      <c r="E5" s="3" t="s">
        <v>5967</v>
      </c>
      <c r="F5" s="3" t="s">
        <v>3</v>
      </c>
      <c r="G5" s="3"/>
      <c r="H5" s="3"/>
      <c r="I5" s="3"/>
      <c r="J5" s="3" t="s">
        <v>20</v>
      </c>
      <c r="K5" s="3"/>
      <c r="L5" s="3" t="s">
        <v>21</v>
      </c>
      <c r="M5" s="3" t="str">
        <f>HYPERLINK("https://ceds.ed.gov/cedselementdetails.aspx?termid=5002")</f>
        <v>https://ceds.ed.gov/cedselementdetails.aspx?termid=5002</v>
      </c>
      <c r="N5" s="3" t="str">
        <f>HYPERLINK("https://ceds.ed.gov/elementComment.aspx?elementName=Academic Award Level Conferred &amp;elementID=5002", "Click here to submit comment")</f>
        <v>Click here to submit comment</v>
      </c>
    </row>
    <row r="6" spans="1:14" ht="30">
      <c r="A6" s="3" t="s">
        <v>22</v>
      </c>
      <c r="B6" s="3" t="s">
        <v>23</v>
      </c>
      <c r="C6" s="3" t="s">
        <v>13</v>
      </c>
      <c r="D6" s="3" t="s">
        <v>14</v>
      </c>
      <c r="E6" s="3" t="s">
        <v>24</v>
      </c>
      <c r="F6" s="3"/>
      <c r="G6" s="3" t="s">
        <v>25</v>
      </c>
      <c r="H6" s="3"/>
      <c r="I6" s="3"/>
      <c r="J6" s="3" t="s">
        <v>26</v>
      </c>
      <c r="K6" s="3"/>
      <c r="L6" s="3" t="s">
        <v>27</v>
      </c>
      <c r="M6" s="3" t="str">
        <f>HYPERLINK("https://ceds.ed.gov/cedselementdetails.aspx?termid=5003")</f>
        <v>https://ceds.ed.gov/cedselementdetails.aspx?termid=5003</v>
      </c>
      <c r="N6" s="3" t="str">
        <f>HYPERLINK("https://ceds.ed.gov/elementComment.aspx?elementName=Academic Award Title &amp;elementID=5003", "Click here to submit comment")</f>
        <v>Click here to submit comment</v>
      </c>
    </row>
    <row r="7" spans="1:14" ht="345">
      <c r="A7" s="3" t="s">
        <v>28</v>
      </c>
      <c r="B7" s="3" t="s">
        <v>29</v>
      </c>
      <c r="C7" s="4" t="s">
        <v>6347</v>
      </c>
      <c r="D7" s="3" t="s">
        <v>30</v>
      </c>
      <c r="E7" s="3" t="s">
        <v>5968</v>
      </c>
      <c r="F7" s="3"/>
      <c r="G7" s="3"/>
      <c r="H7" s="3"/>
      <c r="I7" s="3"/>
      <c r="J7" s="3" t="s">
        <v>31</v>
      </c>
      <c r="K7" s="3"/>
      <c r="L7" s="3" t="s">
        <v>32</v>
      </c>
      <c r="M7" s="3" t="str">
        <f>HYPERLINK("https://ceds.ed.gov/cedselementdetails.aspx?termid=5004")</f>
        <v>https://ceds.ed.gov/cedselementdetails.aspx?termid=5004</v>
      </c>
      <c r="N7" s="3" t="str">
        <f>HYPERLINK("https://ceds.ed.gov/elementComment.aspx?elementName=Academic Honors Type &amp;elementID=5004", "Click here to submit comment")</f>
        <v>Click here to submit comment</v>
      </c>
    </row>
    <row r="8" spans="1:14" ht="135">
      <c r="A8" s="3" t="s">
        <v>33</v>
      </c>
      <c r="B8" s="3" t="s">
        <v>34</v>
      </c>
      <c r="C8" s="4" t="s">
        <v>6348</v>
      </c>
      <c r="D8" s="3" t="s">
        <v>35</v>
      </c>
      <c r="E8" s="3" t="s">
        <v>36</v>
      </c>
      <c r="F8" s="3"/>
      <c r="G8" s="3"/>
      <c r="H8" s="3"/>
      <c r="I8" s="3" t="s">
        <v>37</v>
      </c>
      <c r="J8" s="3" t="s">
        <v>38</v>
      </c>
      <c r="K8" s="3"/>
      <c r="L8" s="3" t="s">
        <v>39</v>
      </c>
      <c r="M8" s="3" t="str">
        <f>HYPERLINK("https://ceds.ed.gov/cedselementdetails.aspx?termid=5717")</f>
        <v>https://ceds.ed.gov/cedselementdetails.aspx?termid=5717</v>
      </c>
      <c r="N8" s="3" t="str">
        <f>HYPERLINK("https://ceds.ed.gov/elementComment.aspx?elementName=Academic Rank &amp;elementID=5717", "Click here to submit comment")</f>
        <v>Click here to submit comment</v>
      </c>
    </row>
    <row r="9" spans="1:14" ht="180">
      <c r="A9" s="3" t="s">
        <v>40</v>
      </c>
      <c r="B9" s="3" t="s">
        <v>41</v>
      </c>
      <c r="C9" s="4" t="s">
        <v>6349</v>
      </c>
      <c r="D9" s="3" t="s">
        <v>14</v>
      </c>
      <c r="E9" s="3" t="s">
        <v>42</v>
      </c>
      <c r="F9" s="3"/>
      <c r="G9" s="3"/>
      <c r="H9" s="3"/>
      <c r="I9" s="3" t="s">
        <v>43</v>
      </c>
      <c r="J9" s="3" t="s">
        <v>44</v>
      </c>
      <c r="K9" s="3"/>
      <c r="L9" s="3" t="s">
        <v>45</v>
      </c>
      <c r="M9" s="3" t="str">
        <f>HYPERLINK("https://ceds.ed.gov/cedselementdetails.aspx?termid=5703")</f>
        <v>https://ceds.ed.gov/cedselementdetails.aspx?termid=5703</v>
      </c>
      <c r="N9" s="3" t="str">
        <f>HYPERLINK("https://ceds.ed.gov/elementComment.aspx?elementName=Academic Term Designator &amp;elementID=5703", "Click here to submit comment")</f>
        <v>Click here to submit comment</v>
      </c>
    </row>
    <row r="10" spans="1:14" ht="30">
      <c r="A10" s="3" t="s">
        <v>46</v>
      </c>
      <c r="B10" s="3" t="s">
        <v>47</v>
      </c>
      <c r="C10" s="3" t="s">
        <v>13</v>
      </c>
      <c r="D10" s="3" t="s">
        <v>14</v>
      </c>
      <c r="E10" s="3" t="s">
        <v>42</v>
      </c>
      <c r="F10" s="3"/>
      <c r="G10" s="3" t="s">
        <v>48</v>
      </c>
      <c r="H10" s="3"/>
      <c r="I10" s="3"/>
      <c r="J10" s="3" t="s">
        <v>49</v>
      </c>
      <c r="K10" s="3"/>
      <c r="L10" s="3" t="s">
        <v>50</v>
      </c>
      <c r="M10" s="3" t="str">
        <f>HYPERLINK("https://ceds.ed.gov/cedselementdetails.aspx?termid=5702")</f>
        <v>https://ceds.ed.gov/cedselementdetails.aspx?termid=5702</v>
      </c>
      <c r="N10" s="3" t="str">
        <f>HYPERLINK("https://ceds.ed.gov/elementComment.aspx?elementName=Academic Year Designator &amp;elementID=5702", "Click here to submit comment")</f>
        <v>Click here to submit comment</v>
      </c>
    </row>
    <row r="11" spans="1:14" ht="375">
      <c r="A11" s="3" t="s">
        <v>51</v>
      </c>
      <c r="B11" s="3" t="s">
        <v>52</v>
      </c>
      <c r="C11" s="4" t="s">
        <v>6350</v>
      </c>
      <c r="D11" s="3" t="s">
        <v>53</v>
      </c>
      <c r="E11" s="3"/>
      <c r="F11" s="3" t="s">
        <v>54</v>
      </c>
      <c r="G11" s="3"/>
      <c r="H11" s="3"/>
      <c r="I11" s="3"/>
      <c r="J11" s="3" t="s">
        <v>55</v>
      </c>
      <c r="K11" s="3"/>
      <c r="L11" s="3" t="s">
        <v>56</v>
      </c>
      <c r="M11" s="3" t="str">
        <f>HYPERLINK("https://ceds.ed.gov/cedselementdetails.aspx?termid=6243")</f>
        <v>https://ceds.ed.gov/cedselementdetails.aspx?termid=6243</v>
      </c>
      <c r="N11" s="3" t="str">
        <f>HYPERLINK("https://ceds.ed.gov/elementComment.aspx?elementName=Accommodations Needed Type &amp;elementID=6243", "Click here to submit comment")</f>
        <v>Click here to submit comment</v>
      </c>
    </row>
    <row r="12" spans="1:14">
      <c r="A12" s="3" t="s">
        <v>57</v>
      </c>
      <c r="B12" s="3" t="s">
        <v>58</v>
      </c>
      <c r="C12" s="3" t="s">
        <v>13</v>
      </c>
      <c r="D12" s="3" t="s">
        <v>59</v>
      </c>
      <c r="E12" s="3"/>
      <c r="F12" s="3"/>
      <c r="G12" s="3" t="s">
        <v>25</v>
      </c>
      <c r="H12" s="3"/>
      <c r="I12" s="3"/>
      <c r="J12" s="3" t="s">
        <v>60</v>
      </c>
      <c r="K12" s="3"/>
      <c r="L12" s="3" t="s">
        <v>61</v>
      </c>
      <c r="M12" s="3" t="str">
        <f>HYPERLINK("https://ceds.ed.gov/cedselementdetails.aspx?termid=5005")</f>
        <v>https://ceds.ed.gov/cedselementdetails.aspx?termid=5005</v>
      </c>
      <c r="N12" s="3" t="str">
        <f>HYPERLINK("https://ceds.ed.gov/elementComment.aspx?elementName=Accountability Report Title &amp;elementID=5005", "Click here to submit comment")</f>
        <v>Click here to submit comment</v>
      </c>
    </row>
    <row r="13" spans="1:14" ht="210">
      <c r="A13" s="3" t="s">
        <v>62</v>
      </c>
      <c r="B13" s="3" t="s">
        <v>63</v>
      </c>
      <c r="C13" s="4" t="s">
        <v>6351</v>
      </c>
      <c r="D13" s="3" t="s">
        <v>64</v>
      </c>
      <c r="E13" s="3" t="s">
        <v>65</v>
      </c>
      <c r="F13" s="3" t="s">
        <v>66</v>
      </c>
      <c r="G13" s="3"/>
      <c r="H13" s="3" t="s">
        <v>67</v>
      </c>
      <c r="I13" s="3" t="s">
        <v>68</v>
      </c>
      <c r="J13" s="3" t="s">
        <v>69</v>
      </c>
      <c r="K13" s="3"/>
      <c r="L13" s="3" t="s">
        <v>70</v>
      </c>
      <c r="M13" s="3" t="str">
        <f>HYPERLINK("https://ceds.ed.gov/cedselementdetails.aspx?termid=5983")</f>
        <v>https://ceds.ed.gov/cedselementdetails.aspx?termid=5983</v>
      </c>
      <c r="N13" s="3" t="str">
        <f>HYPERLINK("https://ceds.ed.gov/elementComment.aspx?elementName=Accreditation Agency &amp;elementID=5983", "Click here to submit comment")</f>
        <v>Click here to submit comment</v>
      </c>
    </row>
    <row r="14" spans="1:14" ht="30">
      <c r="A14" s="3" t="s">
        <v>71</v>
      </c>
      <c r="B14" s="3" t="s">
        <v>72</v>
      </c>
      <c r="C14" s="3" t="s">
        <v>13</v>
      </c>
      <c r="D14" s="3" t="s">
        <v>64</v>
      </c>
      <c r="E14" s="3" t="s">
        <v>65</v>
      </c>
      <c r="F14" s="3"/>
      <c r="G14" s="3" t="s">
        <v>73</v>
      </c>
      <c r="H14" s="3"/>
      <c r="I14" s="3"/>
      <c r="J14" s="3" t="s">
        <v>74</v>
      </c>
      <c r="K14" s="3"/>
      <c r="L14" s="3" t="s">
        <v>75</v>
      </c>
      <c r="M14" s="3" t="str">
        <f>HYPERLINK("https://ceds.ed.gov/cedselementdetails.aspx?termid=5840")</f>
        <v>https://ceds.ed.gov/cedselementdetails.aspx?termid=5840</v>
      </c>
      <c r="N14" s="3" t="str">
        <f>HYPERLINK("https://ceds.ed.gov/elementComment.aspx?elementName=Accreditation Award Date &amp;elementID=5840", "Click here to submit comment")</f>
        <v>Click here to submit comment</v>
      </c>
    </row>
    <row r="15" spans="1:14" ht="30">
      <c r="A15" s="3" t="s">
        <v>76</v>
      </c>
      <c r="B15" s="3" t="s">
        <v>77</v>
      </c>
      <c r="C15" s="3" t="s">
        <v>13</v>
      </c>
      <c r="D15" s="3" t="s">
        <v>64</v>
      </c>
      <c r="E15" s="3" t="s">
        <v>65</v>
      </c>
      <c r="F15" s="3"/>
      <c r="G15" s="3" t="s">
        <v>73</v>
      </c>
      <c r="H15" s="3"/>
      <c r="I15" s="3"/>
      <c r="J15" s="3" t="s">
        <v>78</v>
      </c>
      <c r="K15" s="3"/>
      <c r="L15" s="3" t="s">
        <v>79</v>
      </c>
      <c r="M15" s="3" t="str">
        <f>HYPERLINK("https://ceds.ed.gov/cedselementdetails.aspx?termid=5841")</f>
        <v>https://ceds.ed.gov/cedselementdetails.aspx?termid=5841</v>
      </c>
      <c r="N15" s="3" t="str">
        <f>HYPERLINK("https://ceds.ed.gov/elementComment.aspx?elementName=Accreditation Expiration Date &amp;elementID=5841", "Click here to submit comment")</f>
        <v>Click here to submit comment</v>
      </c>
    </row>
    <row r="16" spans="1:14" ht="75">
      <c r="A16" s="3" t="s">
        <v>86</v>
      </c>
      <c r="B16" s="3" t="s">
        <v>87</v>
      </c>
      <c r="C16" s="3" t="s">
        <v>13</v>
      </c>
      <c r="D16" s="3" t="s">
        <v>5969</v>
      </c>
      <c r="E16" s="3"/>
      <c r="F16" s="3"/>
      <c r="G16" s="3" t="s">
        <v>88</v>
      </c>
      <c r="H16" s="3"/>
      <c r="I16" s="3"/>
      <c r="J16" s="3" t="s">
        <v>89</v>
      </c>
      <c r="K16" s="3"/>
      <c r="L16" s="3" t="s">
        <v>90</v>
      </c>
      <c r="M16" s="3" t="str">
        <f>HYPERLINK("https://ceds.ed.gov/cedselementdetails.aspx?termid=5898")</f>
        <v>https://ceds.ed.gov/cedselementdetails.aspx?termid=5898</v>
      </c>
      <c r="N16" s="3" t="str">
        <f>HYPERLINK("https://ceds.ed.gov/elementComment.aspx?elementName=Achievement Award Issuer Name &amp;elementID=5898", "Click here to submit comment")</f>
        <v>Click here to submit comment</v>
      </c>
    </row>
    <row r="17" spans="1:14" ht="75">
      <c r="A17" s="3" t="s">
        <v>91</v>
      </c>
      <c r="B17" s="3" t="s">
        <v>92</v>
      </c>
      <c r="C17" s="3" t="s">
        <v>13</v>
      </c>
      <c r="D17" s="3" t="s">
        <v>5969</v>
      </c>
      <c r="E17" s="3"/>
      <c r="F17" s="3" t="s">
        <v>66</v>
      </c>
      <c r="G17" s="3" t="s">
        <v>93</v>
      </c>
      <c r="H17" s="3" t="s">
        <v>94</v>
      </c>
      <c r="I17" s="3" t="s">
        <v>95</v>
      </c>
      <c r="J17" s="3" t="s">
        <v>96</v>
      </c>
      <c r="K17" s="3"/>
      <c r="L17" s="3" t="s">
        <v>97</v>
      </c>
      <c r="M17" s="3" t="str">
        <f>HYPERLINK("https://ceds.ed.gov/cedselementdetails.aspx?termid=5900")</f>
        <v>https://ceds.ed.gov/cedselementdetails.aspx?termid=5900</v>
      </c>
      <c r="N17" s="3" t="str">
        <f>HYPERLINK("https://ceds.ed.gov/elementComment.aspx?elementName=Achievement Award Issuer Origin URL &amp;elementID=5900", "Click here to submit comment")</f>
        <v>Click here to submit comment</v>
      </c>
    </row>
    <row r="18" spans="1:14" ht="75">
      <c r="A18" s="3" t="s">
        <v>98</v>
      </c>
      <c r="B18" s="3" t="s">
        <v>99</v>
      </c>
      <c r="C18" s="3" t="s">
        <v>13</v>
      </c>
      <c r="D18" s="3" t="s">
        <v>5969</v>
      </c>
      <c r="E18" s="3"/>
      <c r="F18" s="3"/>
      <c r="G18" s="3" t="s">
        <v>100</v>
      </c>
      <c r="H18" s="3"/>
      <c r="I18" s="3" t="s">
        <v>101</v>
      </c>
      <c r="J18" s="3" t="s">
        <v>102</v>
      </c>
      <c r="K18" s="3"/>
      <c r="L18" s="3" t="s">
        <v>103</v>
      </c>
      <c r="M18" s="3" t="str">
        <f>HYPERLINK("https://ceds.ed.gov/cedselementdetails.aspx?termid=6211")</f>
        <v>https://ceds.ed.gov/cedselementdetails.aspx?termid=6211</v>
      </c>
      <c r="N18" s="3" t="str">
        <f>HYPERLINK("https://ceds.ed.gov/elementComment.aspx?elementName=Achievement Category System &amp;elementID=6211", "Click here to submit comment")</f>
        <v>Click here to submit comment</v>
      </c>
    </row>
    <row r="19" spans="1:14" ht="270">
      <c r="A19" s="3" t="s">
        <v>104</v>
      </c>
      <c r="B19" s="3" t="s">
        <v>105</v>
      </c>
      <c r="C19" s="3" t="s">
        <v>13</v>
      </c>
      <c r="D19" s="3" t="s">
        <v>5969</v>
      </c>
      <c r="E19" s="3"/>
      <c r="F19" s="3"/>
      <c r="G19" s="3" t="s">
        <v>106</v>
      </c>
      <c r="H19" s="3"/>
      <c r="I19" s="3" t="s">
        <v>107</v>
      </c>
      <c r="J19" s="3" t="s">
        <v>108</v>
      </c>
      <c r="K19" s="3"/>
      <c r="L19" s="3" t="s">
        <v>109</v>
      </c>
      <c r="M19" s="3" t="str">
        <f>HYPERLINK("https://ceds.ed.gov/cedselementdetails.aspx?termid=5892")</f>
        <v>https://ceds.ed.gov/cedselementdetails.aspx?termid=5892</v>
      </c>
      <c r="N19" s="3" t="str">
        <f>HYPERLINK("https://ceds.ed.gov/elementComment.aspx?elementName=Achievement Category Type &amp;elementID=5892", "Click here to submit comment")</f>
        <v>Click here to submit comment</v>
      </c>
    </row>
    <row r="20" spans="1:14" ht="75">
      <c r="A20" s="3" t="s">
        <v>110</v>
      </c>
      <c r="B20" s="3" t="s">
        <v>111</v>
      </c>
      <c r="C20" s="3" t="s">
        <v>13</v>
      </c>
      <c r="D20" s="3" t="s">
        <v>5969</v>
      </c>
      <c r="E20" s="3"/>
      <c r="F20" s="3"/>
      <c r="G20" s="3" t="s">
        <v>93</v>
      </c>
      <c r="H20" s="3"/>
      <c r="I20" s="3"/>
      <c r="J20" s="3" t="s">
        <v>112</v>
      </c>
      <c r="K20" s="3"/>
      <c r="L20" s="3" t="s">
        <v>113</v>
      </c>
      <c r="M20" s="3" t="str">
        <f>HYPERLINK("https://ceds.ed.gov/cedselementdetails.aspx?termid=5896")</f>
        <v>https://ceds.ed.gov/cedselementdetails.aspx?termid=5896</v>
      </c>
      <c r="N20" s="3" t="str">
        <f>HYPERLINK("https://ceds.ed.gov/elementComment.aspx?elementName=Achievement Criteria &amp;elementID=5896", "Click here to submit comment")</f>
        <v>Click here to submit comment</v>
      </c>
    </row>
    <row r="21" spans="1:14" ht="75">
      <c r="A21" s="3" t="s">
        <v>114</v>
      </c>
      <c r="B21" s="3" t="s">
        <v>115</v>
      </c>
      <c r="C21" s="3" t="s">
        <v>13</v>
      </c>
      <c r="D21" s="3" t="s">
        <v>5969</v>
      </c>
      <c r="E21" s="3"/>
      <c r="F21" s="3"/>
      <c r="G21" s="3" t="s">
        <v>93</v>
      </c>
      <c r="H21" s="3"/>
      <c r="I21" s="3"/>
      <c r="J21" s="3" t="s">
        <v>116</v>
      </c>
      <c r="K21" s="3"/>
      <c r="L21" s="3" t="s">
        <v>117</v>
      </c>
      <c r="M21" s="3" t="str">
        <f>HYPERLINK("https://ceds.ed.gov/cedselementdetails.aspx?termid=6113")</f>
        <v>https://ceds.ed.gov/cedselementdetails.aspx?termid=6113</v>
      </c>
      <c r="N21" s="3" t="str">
        <f>HYPERLINK("https://ceds.ed.gov/elementComment.aspx?elementName=Achievement Criteria URL &amp;elementID=6113", "Click here to submit comment")</f>
        <v>Click here to submit comment</v>
      </c>
    </row>
    <row r="22" spans="1:14" ht="75">
      <c r="A22" s="3" t="s">
        <v>122</v>
      </c>
      <c r="B22" s="3" t="s">
        <v>123</v>
      </c>
      <c r="C22" s="3" t="s">
        <v>13</v>
      </c>
      <c r="D22" s="3" t="s">
        <v>5969</v>
      </c>
      <c r="E22" s="3"/>
      <c r="F22" s="3"/>
      <c r="G22" s="3" t="s">
        <v>93</v>
      </c>
      <c r="H22" s="3"/>
      <c r="I22" s="3"/>
      <c r="J22" s="3" t="s">
        <v>124</v>
      </c>
      <c r="K22" s="3"/>
      <c r="L22" s="3" t="s">
        <v>125</v>
      </c>
      <c r="M22" s="3" t="str">
        <f>HYPERLINK("https://ceds.ed.gov/cedselementdetails.aspx?termid=5895")</f>
        <v>https://ceds.ed.gov/cedselementdetails.aspx?termid=5895</v>
      </c>
      <c r="N22" s="3" t="str">
        <f>HYPERLINK("https://ceds.ed.gov/elementComment.aspx?elementName=Achievement Description &amp;elementID=5895", "Click here to submit comment")</f>
        <v>Click here to submit comment</v>
      </c>
    </row>
    <row r="23" spans="1:14" ht="75">
      <c r="A23" s="3" t="s">
        <v>126</v>
      </c>
      <c r="B23" s="3" t="s">
        <v>127</v>
      </c>
      <c r="C23" s="3" t="s">
        <v>13</v>
      </c>
      <c r="D23" s="3" t="s">
        <v>5969</v>
      </c>
      <c r="E23" s="3"/>
      <c r="F23" s="3"/>
      <c r="G23" s="3" t="s">
        <v>73</v>
      </c>
      <c r="H23" s="3"/>
      <c r="I23" s="3"/>
      <c r="J23" s="3" t="s">
        <v>128</v>
      </c>
      <c r="K23" s="3"/>
      <c r="L23" s="3" t="s">
        <v>129</v>
      </c>
      <c r="M23" s="3" t="str">
        <f>HYPERLINK("https://ceds.ed.gov/cedselementdetails.aspx?termid=6121")</f>
        <v>https://ceds.ed.gov/cedselementdetails.aspx?termid=6121</v>
      </c>
      <c r="N23" s="3" t="str">
        <f>HYPERLINK("https://ceds.ed.gov/elementComment.aspx?elementName=Achievement End Date &amp;elementID=6121", "Click here to submit comment")</f>
        <v>Click here to submit comment</v>
      </c>
    </row>
    <row r="24" spans="1:14" ht="75">
      <c r="A24" s="3" t="s">
        <v>130</v>
      </c>
      <c r="B24" s="3" t="s">
        <v>131</v>
      </c>
      <c r="C24" s="3" t="s">
        <v>13</v>
      </c>
      <c r="D24" s="3" t="s">
        <v>5969</v>
      </c>
      <c r="E24" s="3"/>
      <c r="F24" s="3"/>
      <c r="G24" s="3" t="s">
        <v>93</v>
      </c>
      <c r="H24" s="3"/>
      <c r="I24" s="3"/>
      <c r="J24" s="3" t="s">
        <v>132</v>
      </c>
      <c r="K24" s="3"/>
      <c r="L24" s="3" t="s">
        <v>133</v>
      </c>
      <c r="M24" s="3" t="str">
        <f>HYPERLINK("https://ceds.ed.gov/cedselementdetails.aspx?termid=5901")</f>
        <v>https://ceds.ed.gov/cedselementdetails.aspx?termid=5901</v>
      </c>
      <c r="N24" s="3" t="str">
        <f>HYPERLINK("https://ceds.ed.gov/elementComment.aspx?elementName=Achievement Evidence Statement &amp;elementID=5901", "Click here to submit comment")</f>
        <v>Click here to submit comment</v>
      </c>
    </row>
    <row r="25" spans="1:14" ht="75">
      <c r="A25" s="3" t="s">
        <v>134</v>
      </c>
      <c r="B25" s="3" t="s">
        <v>135</v>
      </c>
      <c r="C25" s="3" t="s">
        <v>13</v>
      </c>
      <c r="D25" s="3" t="s">
        <v>5969</v>
      </c>
      <c r="E25" s="3"/>
      <c r="F25" s="3"/>
      <c r="G25" s="3" t="s">
        <v>93</v>
      </c>
      <c r="H25" s="3"/>
      <c r="I25" s="3" t="s">
        <v>136</v>
      </c>
      <c r="J25" s="3" t="s">
        <v>137</v>
      </c>
      <c r="K25" s="3"/>
      <c r="L25" s="3" t="s">
        <v>138</v>
      </c>
      <c r="M25" s="3" t="str">
        <f>HYPERLINK("https://ceds.ed.gov/cedselementdetails.aspx?termid=5894")</f>
        <v>https://ceds.ed.gov/cedselementdetails.aspx?termid=5894</v>
      </c>
      <c r="N25" s="3" t="str">
        <f>HYPERLINK("https://ceds.ed.gov/elementComment.aspx?elementName=Achievement Image URL &amp;elementID=5894", "Click here to submit comment")</f>
        <v>Click here to submit comment</v>
      </c>
    </row>
    <row r="26" spans="1:14" ht="75">
      <c r="A26" s="3" t="s">
        <v>139</v>
      </c>
      <c r="B26" s="3" t="s">
        <v>140</v>
      </c>
      <c r="C26" s="3" t="s">
        <v>13</v>
      </c>
      <c r="D26" s="3" t="s">
        <v>5969</v>
      </c>
      <c r="E26" s="3"/>
      <c r="F26" s="3"/>
      <c r="G26" s="3" t="s">
        <v>73</v>
      </c>
      <c r="H26" s="3"/>
      <c r="I26" s="3"/>
      <c r="J26" s="3" t="s">
        <v>141</v>
      </c>
      <c r="K26" s="3"/>
      <c r="L26" s="3" t="s">
        <v>142</v>
      </c>
      <c r="M26" s="3" t="str">
        <f>HYPERLINK("https://ceds.ed.gov/cedselementdetails.aspx?termid=6120")</f>
        <v>https://ceds.ed.gov/cedselementdetails.aspx?termid=6120</v>
      </c>
      <c r="N26" s="3" t="str">
        <f>HYPERLINK("https://ceds.ed.gov/elementComment.aspx?elementName=Achievement Start Date &amp;elementID=6120", "Click here to submit comment")</f>
        <v>Click here to submit comment</v>
      </c>
    </row>
    <row r="27" spans="1:14" ht="75">
      <c r="A27" s="3" t="s">
        <v>143</v>
      </c>
      <c r="B27" s="3" t="s">
        <v>144</v>
      </c>
      <c r="C27" s="3" t="s">
        <v>13</v>
      </c>
      <c r="D27" s="3" t="s">
        <v>5969</v>
      </c>
      <c r="E27" s="3"/>
      <c r="F27" s="3"/>
      <c r="G27" s="3" t="s">
        <v>93</v>
      </c>
      <c r="H27" s="3"/>
      <c r="I27" s="3"/>
      <c r="J27" s="3" t="s">
        <v>145</v>
      </c>
      <c r="K27" s="3"/>
      <c r="L27" s="3" t="s">
        <v>146</v>
      </c>
      <c r="M27" s="3" t="str">
        <f>HYPERLINK("https://ceds.ed.gov/cedselementdetails.aspx?termid=5893")</f>
        <v>https://ceds.ed.gov/cedselementdetails.aspx?termid=5893</v>
      </c>
      <c r="N27" s="3" t="str">
        <f>HYPERLINK("https://ceds.ed.gov/elementComment.aspx?elementName=Achievement Title &amp;elementID=5893", "Click here to submit comment")</f>
        <v>Click here to submit comment</v>
      </c>
    </row>
    <row r="28" spans="1:14" ht="90">
      <c r="A28" s="3" t="s">
        <v>147</v>
      </c>
      <c r="B28" s="3" t="s">
        <v>148</v>
      </c>
      <c r="C28" s="3" t="s">
        <v>13</v>
      </c>
      <c r="D28" s="3" t="s">
        <v>5970</v>
      </c>
      <c r="E28" s="3" t="s">
        <v>5968</v>
      </c>
      <c r="F28" s="3"/>
      <c r="G28" s="3" t="s">
        <v>149</v>
      </c>
      <c r="H28" s="3"/>
      <c r="I28" s="3"/>
      <c r="J28" s="3" t="s">
        <v>150</v>
      </c>
      <c r="K28" s="3"/>
      <c r="L28" s="3" t="s">
        <v>151</v>
      </c>
      <c r="M28" s="3" t="str">
        <f>HYPERLINK("https://ceds.ed.gov/cedselementdetails.aspx?termid=5006")</f>
        <v>https://ceds.ed.gov/cedselementdetails.aspx?termid=5006</v>
      </c>
      <c r="N28" s="3" t="str">
        <f>HYPERLINK("https://ceds.ed.gov/elementComment.aspx?elementName=Activity Identifier &amp;elementID=5006", "Click here to submit comment")</f>
        <v>Click here to submit comment</v>
      </c>
    </row>
    <row r="29" spans="1:14" ht="90">
      <c r="A29" s="3" t="s">
        <v>152</v>
      </c>
      <c r="B29" s="3" t="s">
        <v>153</v>
      </c>
      <c r="C29" s="3" t="s">
        <v>13</v>
      </c>
      <c r="D29" s="3" t="s">
        <v>154</v>
      </c>
      <c r="E29" s="3" t="s">
        <v>5968</v>
      </c>
      <c r="F29" s="3"/>
      <c r="G29" s="3" t="s">
        <v>73</v>
      </c>
      <c r="H29" s="3"/>
      <c r="I29" s="3"/>
      <c r="J29" s="3" t="s">
        <v>155</v>
      </c>
      <c r="K29" s="3"/>
      <c r="L29" s="3" t="s">
        <v>156</v>
      </c>
      <c r="M29" s="3" t="str">
        <f>HYPERLINK("https://ceds.ed.gov/cedselementdetails.aspx?termid=5007")</f>
        <v>https://ceds.ed.gov/cedselementdetails.aspx?termid=5007</v>
      </c>
      <c r="N29" s="3" t="str">
        <f>HYPERLINK("https://ceds.ed.gov/elementComment.aspx?elementName=Activity Involvement Begin Date &amp;elementID=5007", "Click here to submit comment")</f>
        <v>Click here to submit comment</v>
      </c>
    </row>
    <row r="30" spans="1:14" ht="90">
      <c r="A30" s="3" t="s">
        <v>157</v>
      </c>
      <c r="B30" s="3" t="s">
        <v>158</v>
      </c>
      <c r="C30" s="3" t="s">
        <v>13</v>
      </c>
      <c r="D30" s="3" t="s">
        <v>154</v>
      </c>
      <c r="E30" s="3" t="s">
        <v>5968</v>
      </c>
      <c r="F30" s="3"/>
      <c r="G30" s="3" t="s">
        <v>73</v>
      </c>
      <c r="H30" s="3"/>
      <c r="I30" s="3"/>
      <c r="J30" s="3" t="s">
        <v>159</v>
      </c>
      <c r="K30" s="3"/>
      <c r="L30" s="3" t="s">
        <v>160</v>
      </c>
      <c r="M30" s="3" t="str">
        <f>HYPERLINK("https://ceds.ed.gov/cedselementdetails.aspx?termid=5008")</f>
        <v>https://ceds.ed.gov/cedselementdetails.aspx?termid=5008</v>
      </c>
      <c r="N30" s="3" t="str">
        <f>HYPERLINK("https://ceds.ed.gov/elementComment.aspx?elementName=Activity Involvement End Date &amp;elementID=5008", "Click here to submit comment")</f>
        <v>Click here to submit comment</v>
      </c>
    </row>
    <row r="31" spans="1:14" ht="90">
      <c r="A31" s="3" t="s">
        <v>161</v>
      </c>
      <c r="B31" s="3" t="s">
        <v>162</v>
      </c>
      <c r="C31" s="3" t="s">
        <v>13</v>
      </c>
      <c r="D31" s="3" t="s">
        <v>5970</v>
      </c>
      <c r="E31" s="3" t="s">
        <v>5968</v>
      </c>
      <c r="F31" s="3"/>
      <c r="G31" s="3" t="s">
        <v>106</v>
      </c>
      <c r="H31" s="3"/>
      <c r="I31" s="3"/>
      <c r="J31" s="3" t="s">
        <v>163</v>
      </c>
      <c r="K31" s="3"/>
      <c r="L31" s="3" t="s">
        <v>164</v>
      </c>
      <c r="M31" s="3" t="str">
        <f>HYPERLINK("https://ceds.ed.gov/cedselementdetails.aspx?termid=5009")</f>
        <v>https://ceds.ed.gov/cedselementdetails.aspx?termid=5009</v>
      </c>
      <c r="N31" s="3" t="str">
        <f>HYPERLINK("https://ceds.ed.gov/elementComment.aspx?elementName=Activity Title &amp;elementID=5009", "Click here to submit comment")</f>
        <v>Click here to submit comment</v>
      </c>
    </row>
    <row r="32" spans="1:14" ht="255">
      <c r="A32" s="3" t="s">
        <v>165</v>
      </c>
      <c r="B32" s="3" t="s">
        <v>166</v>
      </c>
      <c r="C32" s="4" t="s">
        <v>6352</v>
      </c>
      <c r="D32" s="3" t="s">
        <v>5971</v>
      </c>
      <c r="E32" s="3"/>
      <c r="F32" s="3" t="s">
        <v>66</v>
      </c>
      <c r="G32" s="3"/>
      <c r="H32" s="3" t="s">
        <v>167</v>
      </c>
      <c r="I32" s="3"/>
      <c r="J32" s="3" t="s">
        <v>168</v>
      </c>
      <c r="K32" s="3"/>
      <c r="L32" s="3" t="s">
        <v>169</v>
      </c>
      <c r="M32" s="3" t="str">
        <f>HYPERLINK("https://ceds.ed.gov/cedselementdetails.aspx?termid=5589")</f>
        <v>https://ceds.ed.gov/cedselementdetails.aspx?termid=5589</v>
      </c>
      <c r="N32" s="3" t="str">
        <f>HYPERLINK("https://ceds.ed.gov/elementComment.aspx?elementName=Additional Credit Type &amp;elementID=5589", "Click here to submit comment")</f>
        <v>Click here to submit comment</v>
      </c>
    </row>
    <row r="33" spans="1:14" ht="409.5">
      <c r="A33" s="3" t="s">
        <v>170</v>
      </c>
      <c r="B33" s="3" t="s">
        <v>171</v>
      </c>
      <c r="C33" s="3" t="s">
        <v>13</v>
      </c>
      <c r="D33" s="3" t="s">
        <v>5972</v>
      </c>
      <c r="E33" s="3" t="s">
        <v>5973</v>
      </c>
      <c r="F33" s="3" t="s">
        <v>3</v>
      </c>
      <c r="G33" s="3" t="s">
        <v>100</v>
      </c>
      <c r="H33" s="3"/>
      <c r="I33" s="3"/>
      <c r="J33" s="3" t="s">
        <v>172</v>
      </c>
      <c r="K33" s="3"/>
      <c r="L33" s="3" t="s">
        <v>173</v>
      </c>
      <c r="M33" s="3" t="str">
        <f>HYPERLINK("https://ceds.ed.gov/cedselementdetails.aspx?termid=5019")</f>
        <v>https://ceds.ed.gov/cedselementdetails.aspx?termid=5019</v>
      </c>
      <c r="N33" s="3" t="str">
        <f>HYPERLINK("https://ceds.ed.gov/elementComment.aspx?elementName=Address Apartment Room or Suite Number &amp;elementID=5019", "Click here to submit comment")</f>
        <v>Click here to submit comment</v>
      </c>
    </row>
    <row r="34" spans="1:14" ht="409.5">
      <c r="A34" s="3" t="s">
        <v>174</v>
      </c>
      <c r="B34" s="3" t="s">
        <v>175</v>
      </c>
      <c r="C34" s="3" t="s">
        <v>13</v>
      </c>
      <c r="D34" s="3" t="s">
        <v>5972</v>
      </c>
      <c r="E34" s="3" t="s">
        <v>5973</v>
      </c>
      <c r="F34" s="3" t="s">
        <v>3</v>
      </c>
      <c r="G34" s="3" t="s">
        <v>100</v>
      </c>
      <c r="H34" s="3"/>
      <c r="I34" s="3"/>
      <c r="J34" s="3" t="s">
        <v>176</v>
      </c>
      <c r="K34" s="3"/>
      <c r="L34" s="3" t="s">
        <v>177</v>
      </c>
      <c r="M34" s="3" t="str">
        <f>HYPERLINK("https://ceds.ed.gov/cedselementdetails.aspx?termid=5040")</f>
        <v>https://ceds.ed.gov/cedselementdetails.aspx?termid=5040</v>
      </c>
      <c r="N34" s="3" t="str">
        <f>HYPERLINK("https://ceds.ed.gov/elementComment.aspx?elementName=Address City &amp;elementID=5040", "Click here to submit comment")</f>
        <v>Click here to submit comment</v>
      </c>
    </row>
    <row r="35" spans="1:14" ht="409.5">
      <c r="A35" s="3" t="s">
        <v>178</v>
      </c>
      <c r="B35" s="3" t="s">
        <v>179</v>
      </c>
      <c r="C35" s="3" t="s">
        <v>13</v>
      </c>
      <c r="D35" s="3" t="s">
        <v>5974</v>
      </c>
      <c r="E35" s="3" t="s">
        <v>5973</v>
      </c>
      <c r="F35" s="3" t="s">
        <v>3</v>
      </c>
      <c r="G35" s="3" t="s">
        <v>100</v>
      </c>
      <c r="H35" s="3"/>
      <c r="I35" s="3"/>
      <c r="J35" s="3" t="s">
        <v>180</v>
      </c>
      <c r="K35" s="3"/>
      <c r="L35" s="3" t="s">
        <v>181</v>
      </c>
      <c r="M35" s="3" t="str">
        <f>HYPERLINK("https://ceds.ed.gov/cedselementdetails.aspx?termid=5190")</f>
        <v>https://ceds.ed.gov/cedselementdetails.aspx?termid=5190</v>
      </c>
      <c r="N35" s="3" t="str">
        <f>HYPERLINK("https://ceds.ed.gov/elementComment.aspx?elementName=Address County Name &amp;elementID=5190", "Click here to submit comment")</f>
        <v>Click here to submit comment</v>
      </c>
    </row>
    <row r="36" spans="1:14" ht="409.5">
      <c r="A36" s="3" t="s">
        <v>182</v>
      </c>
      <c r="B36" s="3" t="s">
        <v>183</v>
      </c>
      <c r="C36" s="3" t="s">
        <v>13</v>
      </c>
      <c r="D36" s="3" t="s">
        <v>5972</v>
      </c>
      <c r="E36" s="3" t="s">
        <v>5973</v>
      </c>
      <c r="F36" s="3" t="s">
        <v>3</v>
      </c>
      <c r="G36" s="3" t="s">
        <v>184</v>
      </c>
      <c r="H36" s="3"/>
      <c r="I36" s="3"/>
      <c r="J36" s="3" t="s">
        <v>185</v>
      </c>
      <c r="K36" s="3"/>
      <c r="L36" s="3" t="s">
        <v>186</v>
      </c>
      <c r="M36" s="3" t="str">
        <f>HYPERLINK("https://ceds.ed.gov/cedselementdetails.aspx?termid=5214")</f>
        <v>https://ceds.ed.gov/cedselementdetails.aspx?termid=5214</v>
      </c>
      <c r="N36" s="3" t="str">
        <f>HYPERLINK("https://ceds.ed.gov/elementComment.aspx?elementName=Address Postal Code &amp;elementID=5214", "Click here to submit comment")</f>
        <v>Click here to submit comment</v>
      </c>
    </row>
    <row r="37" spans="1:14" ht="409.5">
      <c r="A37" s="3" t="s">
        <v>187</v>
      </c>
      <c r="B37" s="3" t="s">
        <v>188</v>
      </c>
      <c r="C37" s="3" t="s">
        <v>13</v>
      </c>
      <c r="D37" s="3" t="s">
        <v>5972</v>
      </c>
      <c r="E37" s="3" t="s">
        <v>5973</v>
      </c>
      <c r="F37" s="3" t="s">
        <v>3</v>
      </c>
      <c r="G37" s="3" t="s">
        <v>149</v>
      </c>
      <c r="H37" s="3"/>
      <c r="I37" s="3"/>
      <c r="J37" s="3" t="s">
        <v>189</v>
      </c>
      <c r="K37" s="3"/>
      <c r="L37" s="3" t="s">
        <v>190</v>
      </c>
      <c r="M37" s="3" t="str">
        <f>HYPERLINK("https://ceds.ed.gov/cedselementdetails.aspx?termid=5269")</f>
        <v>https://ceds.ed.gov/cedselementdetails.aspx?termid=5269</v>
      </c>
      <c r="N37" s="3" t="str">
        <f>HYPERLINK("https://ceds.ed.gov/elementComment.aspx?elementName=Address Street Number and Name &amp;elementID=5269", "Click here to submit comment")</f>
        <v>Click here to submit comment</v>
      </c>
    </row>
    <row r="38" spans="1:14" ht="345">
      <c r="A38" s="3" t="s">
        <v>191</v>
      </c>
      <c r="B38" s="3" t="s">
        <v>192</v>
      </c>
      <c r="C38" s="4" t="s">
        <v>6353</v>
      </c>
      <c r="D38" s="3" t="s">
        <v>5975</v>
      </c>
      <c r="E38" s="3" t="s">
        <v>5976</v>
      </c>
      <c r="F38" s="3" t="s">
        <v>66</v>
      </c>
      <c r="G38" s="3" t="s">
        <v>100</v>
      </c>
      <c r="H38" s="3" t="s">
        <v>193</v>
      </c>
      <c r="I38" s="3"/>
      <c r="J38" s="3" t="s">
        <v>194</v>
      </c>
      <c r="K38" s="3"/>
      <c r="L38" s="3" t="s">
        <v>195</v>
      </c>
      <c r="M38" s="3" t="str">
        <f>HYPERLINK("https://ceds.ed.gov/cedselementdetails.aspx?termid=5358")</f>
        <v>https://ceds.ed.gov/cedselementdetails.aspx?termid=5358</v>
      </c>
      <c r="N38" s="3" t="str">
        <f>HYPERLINK("https://ceds.ed.gov/elementComment.aspx?elementName=Address Type for Learner or Family &amp;elementID=5358", "Click here to submit comment")</f>
        <v>Click here to submit comment</v>
      </c>
    </row>
    <row r="39" spans="1:14" ht="255">
      <c r="A39" s="3" t="s">
        <v>196</v>
      </c>
      <c r="B39" s="3" t="s">
        <v>197</v>
      </c>
      <c r="C39" s="4" t="s">
        <v>6354</v>
      </c>
      <c r="D39" s="3" t="s">
        <v>5977</v>
      </c>
      <c r="E39" s="3" t="s">
        <v>5968</v>
      </c>
      <c r="F39" s="3" t="s">
        <v>3</v>
      </c>
      <c r="G39" s="3" t="s">
        <v>100</v>
      </c>
      <c r="H39" s="3"/>
      <c r="I39" s="3"/>
      <c r="J39" s="3" t="s">
        <v>198</v>
      </c>
      <c r="K39" s="3"/>
      <c r="L39" s="3" t="s">
        <v>199</v>
      </c>
      <c r="M39" s="3" t="str">
        <f>HYPERLINK("https://ceds.ed.gov/cedselementdetails.aspx?termid=5644")</f>
        <v>https://ceds.ed.gov/cedselementdetails.aspx?termid=5644</v>
      </c>
      <c r="N39" s="3" t="str">
        <f>HYPERLINK("https://ceds.ed.gov/elementComment.aspx?elementName=Address Type for Organization &amp;elementID=5644", "Click here to submit comment")</f>
        <v>Click here to submit comment</v>
      </c>
    </row>
    <row r="40" spans="1:14" ht="300">
      <c r="A40" s="3" t="s">
        <v>200</v>
      </c>
      <c r="B40" s="3" t="s">
        <v>201</v>
      </c>
      <c r="C40" s="4" t="s">
        <v>6355</v>
      </c>
      <c r="D40" s="3" t="s">
        <v>5978</v>
      </c>
      <c r="E40" s="3" t="s">
        <v>202</v>
      </c>
      <c r="F40" s="3" t="s">
        <v>3</v>
      </c>
      <c r="G40" s="3" t="s">
        <v>100</v>
      </c>
      <c r="H40" s="3"/>
      <c r="I40" s="3"/>
      <c r="J40" s="3" t="s">
        <v>203</v>
      </c>
      <c r="K40" s="3"/>
      <c r="L40" s="3" t="s">
        <v>204</v>
      </c>
      <c r="M40" s="3" t="str">
        <f>HYPERLINK("https://ceds.ed.gov/cedselementdetails.aspx?termid=5698")</f>
        <v>https://ceds.ed.gov/cedselementdetails.aspx?termid=5698</v>
      </c>
      <c r="N40" s="3" t="str">
        <f>HYPERLINK("https://ceds.ed.gov/elementComment.aspx?elementName=Address Type for Staff &amp;elementID=5698", "Click here to submit comment")</f>
        <v>Click here to submit comment</v>
      </c>
    </row>
    <row r="41" spans="1:14" ht="45">
      <c r="A41" s="3" t="s">
        <v>205</v>
      </c>
      <c r="B41" s="3" t="s">
        <v>206</v>
      </c>
      <c r="C41" s="3" t="s">
        <v>5963</v>
      </c>
      <c r="D41" s="3" t="s">
        <v>5979</v>
      </c>
      <c r="E41" s="3" t="s">
        <v>207</v>
      </c>
      <c r="F41" s="3"/>
      <c r="G41" s="3"/>
      <c r="H41" s="3"/>
      <c r="I41" s="3"/>
      <c r="J41" s="3" t="s">
        <v>208</v>
      </c>
      <c r="K41" s="3" t="s">
        <v>209</v>
      </c>
      <c r="L41" s="3" t="s">
        <v>210</v>
      </c>
      <c r="M41" s="3" t="str">
        <f>HYPERLINK("https://ceds.ed.gov/cedselementdetails.aspx?termid=5433")</f>
        <v>https://ceds.ed.gov/cedselementdetails.aspx?termid=5433</v>
      </c>
      <c r="N41" s="3" t="str">
        <f>HYPERLINK("https://ceds.ed.gov/elementComment.aspx?elementName=Adequate Yearly Progress Appeal Changed Designation &amp;elementID=5433", "Click here to submit comment")</f>
        <v>Click here to submit comment</v>
      </c>
    </row>
    <row r="42" spans="1:14" ht="45">
      <c r="A42" s="3" t="s">
        <v>211</v>
      </c>
      <c r="B42" s="3" t="s">
        <v>212</v>
      </c>
      <c r="C42" s="3" t="s">
        <v>13</v>
      </c>
      <c r="D42" s="3" t="s">
        <v>5979</v>
      </c>
      <c r="E42" s="3" t="s">
        <v>207</v>
      </c>
      <c r="F42" s="3"/>
      <c r="G42" s="3" t="s">
        <v>73</v>
      </c>
      <c r="H42" s="3"/>
      <c r="I42" s="3"/>
      <c r="J42" s="3" t="s">
        <v>213</v>
      </c>
      <c r="K42" s="3" t="s">
        <v>214</v>
      </c>
      <c r="L42" s="3" t="s">
        <v>215</v>
      </c>
      <c r="M42" s="3" t="str">
        <f>HYPERLINK("https://ceds.ed.gov/cedselementdetails.aspx?termid=5434")</f>
        <v>https://ceds.ed.gov/cedselementdetails.aspx?termid=5434</v>
      </c>
      <c r="N42" s="3" t="str">
        <f>HYPERLINK("https://ceds.ed.gov/elementComment.aspx?elementName=Adequate Yearly Progress Appeal Process Date &amp;elementID=5434", "Click here to submit comment")</f>
        <v>Click here to submit comment</v>
      </c>
    </row>
    <row r="43" spans="1:14" ht="75">
      <c r="A43" s="3" t="s">
        <v>216</v>
      </c>
      <c r="B43" s="3" t="s">
        <v>217</v>
      </c>
      <c r="C43" s="4" t="s">
        <v>6356</v>
      </c>
      <c r="D43" s="3" t="s">
        <v>5980</v>
      </c>
      <c r="E43" s="3" t="s">
        <v>218</v>
      </c>
      <c r="F43" s="3"/>
      <c r="G43" s="3"/>
      <c r="H43" s="3"/>
      <c r="I43" s="3"/>
      <c r="J43" s="3" t="s">
        <v>219</v>
      </c>
      <c r="K43" s="3" t="s">
        <v>220</v>
      </c>
      <c r="L43" s="3" t="s">
        <v>221</v>
      </c>
      <c r="M43" s="3" t="str">
        <f>HYPERLINK("https://ceds.ed.gov/cedselementdetails.aspx?termid=5011")</f>
        <v>https://ceds.ed.gov/cedselementdetails.aspx?termid=5011</v>
      </c>
      <c r="N43" s="3" t="str">
        <f>HYPERLINK("https://ceds.ed.gov/elementComment.aspx?elementName=Adequate Yearly Progress Status &amp;elementID=5011", "Click here to submit comment")</f>
        <v>Click here to submit comment</v>
      </c>
    </row>
    <row r="44" spans="1:14" ht="60">
      <c r="A44" s="3" t="s">
        <v>222</v>
      </c>
      <c r="B44" s="3" t="s">
        <v>223</v>
      </c>
      <c r="C44" s="4" t="s">
        <v>6357</v>
      </c>
      <c r="D44" s="3" t="s">
        <v>224</v>
      </c>
      <c r="E44" s="3"/>
      <c r="F44" s="3"/>
      <c r="G44" s="3"/>
      <c r="H44" s="3"/>
      <c r="I44" s="3"/>
      <c r="J44" s="3" t="s">
        <v>225</v>
      </c>
      <c r="K44" s="3"/>
      <c r="L44" s="3" t="s">
        <v>226</v>
      </c>
      <c r="M44" s="3" t="str">
        <f>HYPERLINK("https://ceds.ed.gov/cedselementdetails.aspx?termid=5012")</f>
        <v>https://ceds.ed.gov/cedselementdetails.aspx?termid=5012</v>
      </c>
      <c r="N44" s="3" t="str">
        <f>HYPERLINK("https://ceds.ed.gov/elementComment.aspx?elementName=Administrative Funding Control &amp;elementID=5012", "Click here to submit comment")</f>
        <v>Click here to submit comment</v>
      </c>
    </row>
    <row r="45" spans="1:14" ht="120">
      <c r="A45" s="3" t="s">
        <v>227</v>
      </c>
      <c r="B45" s="3" t="s">
        <v>228</v>
      </c>
      <c r="C45" s="4" t="s">
        <v>6358</v>
      </c>
      <c r="D45" s="3" t="s">
        <v>229</v>
      </c>
      <c r="E45" s="3" t="s">
        <v>65</v>
      </c>
      <c r="F45" s="3" t="s">
        <v>66</v>
      </c>
      <c r="G45" s="3"/>
      <c r="H45" s="3" t="s">
        <v>230</v>
      </c>
      <c r="I45" s="3" t="s">
        <v>231</v>
      </c>
      <c r="J45" s="3" t="s">
        <v>232</v>
      </c>
      <c r="K45" s="3"/>
      <c r="L45" s="3" t="s">
        <v>233</v>
      </c>
      <c r="M45" s="3" t="str">
        <f>HYPERLINK("https://ceds.ed.gov/cedselementdetails.aspx?termid=5984")</f>
        <v>https://ceds.ed.gov/cedselementdetails.aspx?termid=5984</v>
      </c>
      <c r="N45" s="3" t="str">
        <f>HYPERLINK("https://ceds.ed.gov/elementComment.aspx?elementName=Administrative Policy Type &amp;elementID=5984", "Click here to submit comment")</f>
        <v>Click here to submit comment</v>
      </c>
    </row>
    <row r="46" spans="1:14" ht="135">
      <c r="A46" s="3" t="s">
        <v>234</v>
      </c>
      <c r="B46" s="3" t="s">
        <v>235</v>
      </c>
      <c r="C46" s="4" t="s">
        <v>6359</v>
      </c>
      <c r="D46" s="3" t="s">
        <v>236</v>
      </c>
      <c r="E46" s="3" t="s">
        <v>237</v>
      </c>
      <c r="F46" s="3"/>
      <c r="G46" s="3"/>
      <c r="H46" s="3"/>
      <c r="I46" s="3" t="s">
        <v>238</v>
      </c>
      <c r="J46" s="3" t="s">
        <v>239</v>
      </c>
      <c r="K46" s="3"/>
      <c r="L46" s="3" t="s">
        <v>240</v>
      </c>
      <c r="M46" s="3" t="str">
        <f>HYPERLINK("https://ceds.ed.gov/cedselementdetails.aspx?termid=5736")</f>
        <v>https://ceds.ed.gov/cedselementdetails.aspx?termid=5736</v>
      </c>
      <c r="N46" s="3" t="str">
        <f>HYPERLINK("https://ceds.ed.gov/elementComment.aspx?elementName=Admitted Student &amp;elementID=5736", "Click here to submit comment")</f>
        <v>Click here to submit comment</v>
      </c>
    </row>
    <row r="47" spans="1:14" ht="150">
      <c r="A47" s="3" t="s">
        <v>241</v>
      </c>
      <c r="B47" s="3" t="s">
        <v>242</v>
      </c>
      <c r="C47" s="4" t="s">
        <v>6360</v>
      </c>
      <c r="D47" s="3" t="s">
        <v>243</v>
      </c>
      <c r="E47" s="3"/>
      <c r="F47" s="3"/>
      <c r="G47" s="3"/>
      <c r="H47" s="3"/>
      <c r="I47" s="3"/>
      <c r="J47" s="3" t="s">
        <v>244</v>
      </c>
      <c r="K47" s="3"/>
      <c r="L47" s="3" t="s">
        <v>245</v>
      </c>
      <c r="M47" s="3" t="str">
        <f>HYPERLINK("https://ceds.ed.gov/cedselementdetails.aspx?termid=5775")</f>
        <v>https://ceds.ed.gov/cedselementdetails.aspx?termid=5775</v>
      </c>
      <c r="N47" s="3" t="str">
        <f>HYPERLINK("https://ceds.ed.gov/elementComment.aspx?elementName=Adult Education Certification Type &amp;elementID=5775", "Click here to submit comment")</f>
        <v>Click here to submit comment</v>
      </c>
    </row>
    <row r="48" spans="1:14" ht="75">
      <c r="A48" s="3" t="s">
        <v>246</v>
      </c>
      <c r="B48" s="3" t="s">
        <v>247</v>
      </c>
      <c r="C48" s="4" t="s">
        <v>6361</v>
      </c>
      <c r="D48" s="3" t="s">
        <v>248</v>
      </c>
      <c r="E48" s="3"/>
      <c r="F48" s="3" t="s">
        <v>66</v>
      </c>
      <c r="G48" s="3"/>
      <c r="H48" s="3" t="s">
        <v>193</v>
      </c>
      <c r="I48" s="3"/>
      <c r="J48" s="3" t="s">
        <v>249</v>
      </c>
      <c r="K48" s="3"/>
      <c r="L48" s="3" t="s">
        <v>250</v>
      </c>
      <c r="M48" s="3" t="str">
        <f>HYPERLINK("https://ceds.ed.gov/cedselementdetails.aspx?termid=5765")</f>
        <v>https://ceds.ed.gov/cedselementdetails.aspx?termid=5765</v>
      </c>
      <c r="N48" s="3" t="str">
        <f>HYPERLINK("https://ceds.ed.gov/elementComment.aspx?elementName=Adult Education Instructional Program Type &amp;elementID=5765", "Click here to submit comment")</f>
        <v>Click here to submit comment</v>
      </c>
    </row>
    <row r="49" spans="1:14" ht="120">
      <c r="A49" s="3" t="s">
        <v>251</v>
      </c>
      <c r="B49" s="3" t="s">
        <v>252</v>
      </c>
      <c r="C49" s="4" t="s">
        <v>6362</v>
      </c>
      <c r="D49" s="3" t="s">
        <v>248</v>
      </c>
      <c r="E49" s="3"/>
      <c r="F49" s="3"/>
      <c r="G49" s="3"/>
      <c r="H49" s="3"/>
      <c r="I49" s="3"/>
      <c r="J49" s="3" t="s">
        <v>253</v>
      </c>
      <c r="K49" s="3"/>
      <c r="L49" s="3" t="s">
        <v>254</v>
      </c>
      <c r="M49" s="3" t="str">
        <f>HYPERLINK("https://ceds.ed.gov/cedselementdetails.aspx?termid=5768")</f>
        <v>https://ceds.ed.gov/cedselementdetails.aspx?termid=5768</v>
      </c>
      <c r="N49" s="3" t="str">
        <f>HYPERLINK("https://ceds.ed.gov/elementComment.aspx?elementName=Adult Education Postsecondary Transition Action &amp;elementID=5768", "Click here to submit comment")</f>
        <v>Click here to submit comment</v>
      </c>
    </row>
    <row r="50" spans="1:14" ht="75">
      <c r="A50" s="3" t="s">
        <v>255</v>
      </c>
      <c r="B50" s="3" t="s">
        <v>256</v>
      </c>
      <c r="C50" s="3" t="s">
        <v>13</v>
      </c>
      <c r="D50" s="3" t="s">
        <v>248</v>
      </c>
      <c r="E50" s="3"/>
      <c r="F50" s="3"/>
      <c r="G50" s="3" t="s">
        <v>73</v>
      </c>
      <c r="H50" s="3"/>
      <c r="I50" s="3"/>
      <c r="J50" s="3" t="s">
        <v>257</v>
      </c>
      <c r="K50" s="3"/>
      <c r="L50" s="3" t="s">
        <v>258</v>
      </c>
      <c r="M50" s="3" t="str">
        <f>HYPERLINK("https://ceds.ed.gov/cedselementdetails.aspx?termid=5769")</f>
        <v>https://ceds.ed.gov/cedselementdetails.aspx?termid=5769</v>
      </c>
      <c r="N50" s="3" t="str">
        <f>HYPERLINK("https://ceds.ed.gov/elementComment.aspx?elementName=Adult Education Postsecondary Transition Date &amp;elementID=5769", "Click here to submit comment")</f>
        <v>Click here to submit comment</v>
      </c>
    </row>
    <row r="51" spans="1:14" ht="195">
      <c r="A51" s="3" t="s">
        <v>259</v>
      </c>
      <c r="B51" s="3" t="s">
        <v>260</v>
      </c>
      <c r="C51" s="4" t="s">
        <v>6363</v>
      </c>
      <c r="D51" s="3" t="s">
        <v>261</v>
      </c>
      <c r="E51" s="3"/>
      <c r="F51" s="3" t="s">
        <v>66</v>
      </c>
      <c r="G51" s="3"/>
      <c r="H51" s="3" t="s">
        <v>193</v>
      </c>
      <c r="I51" s="3"/>
      <c r="J51" s="3" t="s">
        <v>262</v>
      </c>
      <c r="K51" s="3"/>
      <c r="L51" s="3" t="s">
        <v>263</v>
      </c>
      <c r="M51" s="3" t="str">
        <f>HYPERLINK("https://ceds.ed.gov/cedselementdetails.aspx?termid=5779")</f>
        <v>https://ceds.ed.gov/cedselementdetails.aspx?termid=5779</v>
      </c>
      <c r="N51" s="3" t="str">
        <f>HYPERLINK("https://ceds.ed.gov/elementComment.aspx?elementName=Adult Education Provider Type &amp;elementID=5779", "Click here to submit comment")</f>
        <v>Click here to submit comment</v>
      </c>
    </row>
    <row r="52" spans="1:14" ht="240">
      <c r="A52" s="3" t="s">
        <v>264</v>
      </c>
      <c r="B52" s="3" t="s">
        <v>265</v>
      </c>
      <c r="C52" s="4" t="s">
        <v>6364</v>
      </c>
      <c r="D52" s="3" t="s">
        <v>5981</v>
      </c>
      <c r="E52" s="3"/>
      <c r="F52" s="3" t="s">
        <v>3</v>
      </c>
      <c r="G52" s="3"/>
      <c r="H52" s="3"/>
      <c r="I52" s="3"/>
      <c r="J52" s="3" t="s">
        <v>266</v>
      </c>
      <c r="K52" s="3"/>
      <c r="L52" s="3" t="s">
        <v>267</v>
      </c>
      <c r="M52" s="3" t="str">
        <f>HYPERLINK("https://ceds.ed.gov/cedselementdetails.aspx?termid=5778")</f>
        <v>https://ceds.ed.gov/cedselementdetails.aspx?termid=5778</v>
      </c>
      <c r="N52" s="3" t="str">
        <f>HYPERLINK("https://ceds.ed.gov/elementComment.aspx?elementName=Adult Education Service Provider Identification System &amp;elementID=5778", "Click here to submit comment")</f>
        <v>Click here to submit comment</v>
      </c>
    </row>
    <row r="53" spans="1:14" ht="60">
      <c r="A53" s="3" t="s">
        <v>268</v>
      </c>
      <c r="B53" s="3" t="s">
        <v>269</v>
      </c>
      <c r="C53" s="3" t="s">
        <v>13</v>
      </c>
      <c r="D53" s="3" t="s">
        <v>5981</v>
      </c>
      <c r="E53" s="3"/>
      <c r="F53" s="3" t="s">
        <v>3</v>
      </c>
      <c r="G53" s="3" t="s">
        <v>100</v>
      </c>
      <c r="H53" s="3"/>
      <c r="I53" s="3"/>
      <c r="J53" s="3" t="s">
        <v>270</v>
      </c>
      <c r="K53" s="3"/>
      <c r="L53" s="3" t="s">
        <v>271</v>
      </c>
      <c r="M53" s="3" t="str">
        <f>HYPERLINK("https://ceds.ed.gov/cedselementdetails.aspx?termid=5777")</f>
        <v>https://ceds.ed.gov/cedselementdetails.aspx?termid=5777</v>
      </c>
      <c r="N53" s="3" t="str">
        <f>HYPERLINK("https://ceds.ed.gov/elementComment.aspx?elementName=Adult Education Service Provider Identifier &amp;elementID=5777", "Click here to submit comment")</f>
        <v>Click here to submit comment</v>
      </c>
    </row>
    <row r="54" spans="1:14" ht="165">
      <c r="A54" s="3" t="s">
        <v>272</v>
      </c>
      <c r="B54" s="3" t="s">
        <v>273</v>
      </c>
      <c r="C54" s="4" t="s">
        <v>6365</v>
      </c>
      <c r="D54" s="3" t="s">
        <v>248</v>
      </c>
      <c r="E54" s="3"/>
      <c r="F54" s="3" t="s">
        <v>66</v>
      </c>
      <c r="G54" s="3"/>
      <c r="H54" s="3" t="s">
        <v>274</v>
      </c>
      <c r="I54" s="3" t="s">
        <v>275</v>
      </c>
      <c r="J54" s="3" t="s">
        <v>276</v>
      </c>
      <c r="K54" s="3"/>
      <c r="L54" s="3" t="s">
        <v>277</v>
      </c>
      <c r="M54" s="3" t="str">
        <f>HYPERLINK("https://ceds.ed.gov/cedselementdetails.aspx?termid=5766")</f>
        <v>https://ceds.ed.gov/cedselementdetails.aspx?termid=5766</v>
      </c>
      <c r="N54" s="3" t="str">
        <f>HYPERLINK("https://ceds.ed.gov/elementComment.aspx?elementName=Adult Education Special Program Type &amp;elementID=5766", "Click here to submit comment")</f>
        <v>Click here to submit comment</v>
      </c>
    </row>
    <row r="55" spans="1:14" ht="240">
      <c r="A55" s="3" t="s">
        <v>278</v>
      </c>
      <c r="B55" s="3" t="s">
        <v>279</v>
      </c>
      <c r="C55" s="4" t="s">
        <v>6366</v>
      </c>
      <c r="D55" s="3" t="s">
        <v>280</v>
      </c>
      <c r="E55" s="3"/>
      <c r="F55" s="3" t="s">
        <v>66</v>
      </c>
      <c r="G55" s="3"/>
      <c r="H55" s="3" t="s">
        <v>281</v>
      </c>
      <c r="I55" s="3"/>
      <c r="J55" s="3" t="s">
        <v>282</v>
      </c>
      <c r="K55" s="3"/>
      <c r="L55" s="3" t="s">
        <v>283</v>
      </c>
      <c r="M55" s="3" t="str">
        <f>HYPERLINK("https://ceds.ed.gov/cedselementdetails.aspx?termid=5770")</f>
        <v>https://ceds.ed.gov/cedselementdetails.aspx?termid=5770</v>
      </c>
      <c r="N55" s="3" t="str">
        <f>HYPERLINK("https://ceds.ed.gov/elementComment.aspx?elementName=Adult Education Staff Classification &amp;elementID=5770", "Click here to submit comment")</f>
        <v>Click here to submit comment</v>
      </c>
    </row>
    <row r="56" spans="1:14" ht="105">
      <c r="A56" s="3" t="s">
        <v>284</v>
      </c>
      <c r="B56" s="3" t="s">
        <v>285</v>
      </c>
      <c r="C56" s="4" t="s">
        <v>6367</v>
      </c>
      <c r="D56" s="3" t="s">
        <v>280</v>
      </c>
      <c r="E56" s="3"/>
      <c r="F56" s="3"/>
      <c r="G56" s="3"/>
      <c r="H56" s="3"/>
      <c r="I56" s="3"/>
      <c r="J56" s="3" t="s">
        <v>286</v>
      </c>
      <c r="K56" s="3"/>
      <c r="L56" s="3" t="s">
        <v>287</v>
      </c>
      <c r="M56" s="3" t="str">
        <f>HYPERLINK("https://ceds.ed.gov/cedselementdetails.aspx?termid=5771")</f>
        <v>https://ceds.ed.gov/cedselementdetails.aspx?termid=5771</v>
      </c>
      <c r="N56" s="3" t="str">
        <f>HYPERLINK("https://ceds.ed.gov/elementComment.aspx?elementName=Adult Education Staff Employment Status &amp;elementID=5771", "Click here to submit comment")</f>
        <v>Click here to submit comment</v>
      </c>
    </row>
    <row r="57" spans="1:14" ht="270">
      <c r="A57" s="3" t="s">
        <v>288</v>
      </c>
      <c r="B57" s="3" t="s">
        <v>289</v>
      </c>
      <c r="C57" s="4" t="s">
        <v>6368</v>
      </c>
      <c r="D57" s="3" t="s">
        <v>248</v>
      </c>
      <c r="E57" s="3"/>
      <c r="F57" s="3"/>
      <c r="G57" s="3"/>
      <c r="H57" s="3"/>
      <c r="I57" s="3"/>
      <c r="J57" s="3" t="s">
        <v>290</v>
      </c>
      <c r="K57" s="3"/>
      <c r="L57" s="3" t="s">
        <v>291</v>
      </c>
      <c r="M57" s="3" t="str">
        <f>HYPERLINK("https://ceds.ed.gov/cedselementdetails.aspx?termid=5763")</f>
        <v>https://ceds.ed.gov/cedselementdetails.aspx?termid=5763</v>
      </c>
      <c r="N57" s="3" t="str">
        <f>HYPERLINK("https://ceds.ed.gov/elementComment.aspx?elementName=Adult Educational Functioning Level at Intake &amp;elementID=5763", "Click here to submit comment")</f>
        <v>Click here to submit comment</v>
      </c>
    </row>
    <row r="58" spans="1:14" ht="270">
      <c r="A58" s="3" t="s">
        <v>292</v>
      </c>
      <c r="B58" s="3" t="s">
        <v>293</v>
      </c>
      <c r="C58" s="4" t="s">
        <v>6368</v>
      </c>
      <c r="D58" s="3" t="s">
        <v>248</v>
      </c>
      <c r="E58" s="3"/>
      <c r="F58" s="3"/>
      <c r="G58" s="3"/>
      <c r="H58" s="3"/>
      <c r="I58" s="3"/>
      <c r="J58" s="3" t="s">
        <v>294</v>
      </c>
      <c r="K58" s="3"/>
      <c r="L58" s="3" t="s">
        <v>295</v>
      </c>
      <c r="M58" s="3" t="str">
        <f>HYPERLINK("https://ceds.ed.gov/cedselementdetails.aspx?termid=5764")</f>
        <v>https://ceds.ed.gov/cedselementdetails.aspx?termid=5764</v>
      </c>
      <c r="N58" s="3" t="str">
        <f>HYPERLINK("https://ceds.ed.gov/elementComment.aspx?elementName=Adult Educational Functioning Level at Posttest &amp;elementID=5764", "Click here to submit comment")</f>
        <v>Click here to submit comment</v>
      </c>
    </row>
    <row r="59" spans="1:14" ht="409.5">
      <c r="A59" s="3" t="s">
        <v>296</v>
      </c>
      <c r="B59" s="3" t="s">
        <v>297</v>
      </c>
      <c r="C59" s="4" t="s">
        <v>6369</v>
      </c>
      <c r="D59" s="3" t="s">
        <v>5982</v>
      </c>
      <c r="E59" s="3"/>
      <c r="F59" s="3" t="s">
        <v>54</v>
      </c>
      <c r="G59" s="3" t="s">
        <v>106</v>
      </c>
      <c r="H59" s="3"/>
      <c r="I59" s="3"/>
      <c r="J59" s="3" t="s">
        <v>298</v>
      </c>
      <c r="K59" s="3" t="s">
        <v>299</v>
      </c>
      <c r="L59" s="3" t="s">
        <v>300</v>
      </c>
      <c r="M59" s="3" t="str">
        <f>HYPERLINK("https://ceds.ed.gov/cedselementdetails.aspx?termid=6244")</f>
        <v>https://ceds.ed.gov/cedselementdetails.aspx?termid=6244</v>
      </c>
      <c r="N59" s="3" t="str">
        <f>HYPERLINK("https://ceds.ed.gov/elementComment.aspx?elementName=Advanced Placement Course Code &amp;elementID=6244", "Click here to submit comment")</f>
        <v>Click here to submit comment</v>
      </c>
    </row>
    <row r="60" spans="1:14" ht="60">
      <c r="A60" s="3" t="s">
        <v>301</v>
      </c>
      <c r="B60" s="3" t="s">
        <v>302</v>
      </c>
      <c r="C60" s="3" t="s">
        <v>5963</v>
      </c>
      <c r="D60" s="3" t="s">
        <v>224</v>
      </c>
      <c r="E60" s="3" t="s">
        <v>2</v>
      </c>
      <c r="F60" s="3"/>
      <c r="G60" s="3"/>
      <c r="H60" s="3"/>
      <c r="I60" s="3"/>
      <c r="J60" s="3" t="s">
        <v>303</v>
      </c>
      <c r="K60" s="3" t="s">
        <v>304</v>
      </c>
      <c r="L60" s="3" t="s">
        <v>305</v>
      </c>
      <c r="M60" s="3" t="str">
        <f>HYPERLINK("https://ceds.ed.gov/cedselementdetails.aspx?termid=5017")</f>
        <v>https://ceds.ed.gov/cedselementdetails.aspx?termid=5017</v>
      </c>
      <c r="N60" s="3" t="str">
        <f>HYPERLINK("https://ceds.ed.gov/elementComment.aspx?elementName=Advanced Placement Course Self Selection &amp;elementID=5017", "Click here to submit comment")</f>
        <v>Click here to submit comment</v>
      </c>
    </row>
    <row r="61" spans="1:14" ht="90">
      <c r="A61" s="3" t="s">
        <v>306</v>
      </c>
      <c r="B61" s="3" t="s">
        <v>307</v>
      </c>
      <c r="C61" s="3" t="s">
        <v>13</v>
      </c>
      <c r="D61" s="3" t="s">
        <v>14</v>
      </c>
      <c r="E61" s="3" t="s">
        <v>24</v>
      </c>
      <c r="F61" s="3"/>
      <c r="G61" s="3" t="s">
        <v>308</v>
      </c>
      <c r="H61" s="3"/>
      <c r="I61" s="3"/>
      <c r="J61" s="3" t="s">
        <v>309</v>
      </c>
      <c r="K61" s="3" t="s">
        <v>310</v>
      </c>
      <c r="L61" s="3" t="s">
        <v>311</v>
      </c>
      <c r="M61" s="3" t="str">
        <f>HYPERLINK("https://ceds.ed.gov/cedselementdetails.aspx?termid=5018")</f>
        <v>https://ceds.ed.gov/cedselementdetails.aspx?termid=5018</v>
      </c>
      <c r="N61" s="3" t="str">
        <f>HYPERLINK("https://ceds.ed.gov/elementComment.aspx?elementName=Advanced Placement Credits Awarded &amp;elementID=5018", "Click here to submit comment")</f>
        <v>Click here to submit comment</v>
      </c>
    </row>
    <row r="62" spans="1:14" ht="60">
      <c r="A62" s="3" t="s">
        <v>312</v>
      </c>
      <c r="B62" s="3" t="s">
        <v>313</v>
      </c>
      <c r="C62" s="3" t="s">
        <v>13</v>
      </c>
      <c r="D62" s="3" t="s">
        <v>314</v>
      </c>
      <c r="E62" s="3"/>
      <c r="F62" s="3" t="s">
        <v>54</v>
      </c>
      <c r="G62" s="3" t="s">
        <v>100</v>
      </c>
      <c r="H62" s="3"/>
      <c r="I62" s="3"/>
      <c r="J62" s="3" t="s">
        <v>315</v>
      </c>
      <c r="K62" s="3"/>
      <c r="L62" s="3" t="s">
        <v>316</v>
      </c>
      <c r="M62" s="3" t="str">
        <f>HYPERLINK("https://ceds.ed.gov/cedselementdetails.aspx?termid=6246")</f>
        <v>https://ceds.ed.gov/cedselementdetails.aspx?termid=6246</v>
      </c>
      <c r="N62" s="3" t="str">
        <f>HYPERLINK("https://ceds.ed.gov/elementComment.aspx?elementName=Agency Course Identifier &amp;elementID=6246", "Click here to submit comment")</f>
        <v>Click here to submit comment</v>
      </c>
    </row>
    <row r="63" spans="1:14" ht="60">
      <c r="A63" s="3" t="s">
        <v>317</v>
      </c>
      <c r="B63" s="3" t="s">
        <v>318</v>
      </c>
      <c r="C63" s="3" t="s">
        <v>13</v>
      </c>
      <c r="D63" s="3" t="s">
        <v>5983</v>
      </c>
      <c r="E63" s="3"/>
      <c r="F63" s="3" t="s">
        <v>54</v>
      </c>
      <c r="G63" s="3" t="s">
        <v>319</v>
      </c>
      <c r="H63" s="3"/>
      <c r="I63" s="3"/>
      <c r="J63" s="3" t="s">
        <v>320</v>
      </c>
      <c r="K63" s="3"/>
      <c r="L63" s="3" t="s">
        <v>321</v>
      </c>
      <c r="M63" s="3" t="str">
        <f>HYPERLINK("https://ceds.ed.gov/cedselementdetails.aspx?termid=6247")</f>
        <v>https://ceds.ed.gov/cedselementdetails.aspx?termid=6247</v>
      </c>
      <c r="N63" s="3" t="str">
        <f>HYPERLINK("https://ceds.ed.gov/elementComment.aspx?elementName=Allergy Reaction Description &amp;elementID=6247", "Click here to submit comment")</f>
        <v>Click here to submit comment</v>
      </c>
    </row>
    <row r="64" spans="1:14" ht="60">
      <c r="A64" s="3" t="s">
        <v>322</v>
      </c>
      <c r="B64" s="3" t="s">
        <v>323</v>
      </c>
      <c r="C64" s="3" t="s">
        <v>5984</v>
      </c>
      <c r="D64" s="3" t="s">
        <v>5983</v>
      </c>
      <c r="E64" s="3"/>
      <c r="F64" s="3" t="s">
        <v>54</v>
      </c>
      <c r="G64" s="3"/>
      <c r="H64" s="3"/>
      <c r="I64" s="3"/>
      <c r="J64" s="3" t="s">
        <v>324</v>
      </c>
      <c r="K64" s="3"/>
      <c r="L64" s="3" t="s">
        <v>325</v>
      </c>
      <c r="M64" s="3" t="str">
        <f>HYPERLINK("https://ceds.ed.gov/cedselementdetails.aspx?termid=6248")</f>
        <v>https://ceds.ed.gov/cedselementdetails.aspx?termid=6248</v>
      </c>
      <c r="N64" s="3" t="str">
        <f>HYPERLINK("https://ceds.ed.gov/elementComment.aspx?elementName=Allergy Severity &amp;elementID=6248", "Click here to submit comment")</f>
        <v>Click here to submit comment</v>
      </c>
    </row>
    <row r="65" spans="1:14" ht="409.5">
      <c r="A65" s="3" t="s">
        <v>326</v>
      </c>
      <c r="B65" s="3" t="s">
        <v>327</v>
      </c>
      <c r="C65" s="4" t="s">
        <v>6370</v>
      </c>
      <c r="D65" s="3" t="s">
        <v>5983</v>
      </c>
      <c r="E65" s="3"/>
      <c r="F65" s="3" t="s">
        <v>54</v>
      </c>
      <c r="G65" s="3"/>
      <c r="H65" s="3"/>
      <c r="I65" s="3" t="s">
        <v>328</v>
      </c>
      <c r="J65" s="3" t="s">
        <v>329</v>
      </c>
      <c r="K65" s="3"/>
      <c r="L65" s="3" t="s">
        <v>330</v>
      </c>
      <c r="M65" s="3" t="str">
        <f>HYPERLINK("https://ceds.ed.gov/cedselementdetails.aspx?termid=6249")</f>
        <v>https://ceds.ed.gov/cedselementdetails.aspx?termid=6249</v>
      </c>
      <c r="N65" s="3" t="str">
        <f>HYPERLINK("https://ceds.ed.gov/elementComment.aspx?elementName=Allergy Type &amp;elementID=6249", "Click here to submit comment")</f>
        <v>Click here to submit comment</v>
      </c>
    </row>
    <row r="66" spans="1:14" ht="60">
      <c r="A66" s="3" t="s">
        <v>331</v>
      </c>
      <c r="B66" s="3" t="s">
        <v>332</v>
      </c>
      <c r="C66" s="3" t="s">
        <v>5963</v>
      </c>
      <c r="D66" s="3" t="s">
        <v>5979</v>
      </c>
      <c r="E66" s="3" t="s">
        <v>218</v>
      </c>
      <c r="F66" s="3"/>
      <c r="G66" s="3"/>
      <c r="H66" s="3"/>
      <c r="I66" s="3"/>
      <c r="J66" s="3" t="s">
        <v>333</v>
      </c>
      <c r="K66" s="3" t="s">
        <v>334</v>
      </c>
      <c r="L66" s="3" t="s">
        <v>335</v>
      </c>
      <c r="M66" s="3" t="str">
        <f>HYPERLINK("https://ceds.ed.gov/cedselementdetails.aspx?termid=5014")</f>
        <v>https://ceds.ed.gov/cedselementdetails.aspx?termid=5014</v>
      </c>
      <c r="N66" s="3" t="str">
        <f>HYPERLINK("https://ceds.ed.gov/elementComment.aspx?elementName=Alternate Adequate Yearly Progress Approach Indicator &amp;elementID=5014", "Click here to submit comment")</f>
        <v>Click here to submit comment</v>
      </c>
    </row>
    <row r="67" spans="1:14" ht="45">
      <c r="A67" s="3" t="s">
        <v>336</v>
      </c>
      <c r="B67" s="3" t="s">
        <v>337</v>
      </c>
      <c r="C67" s="3" t="s">
        <v>13</v>
      </c>
      <c r="D67" s="3" t="s">
        <v>338</v>
      </c>
      <c r="E67" s="3"/>
      <c r="F67" s="3"/>
      <c r="G67" s="3" t="s">
        <v>100</v>
      </c>
      <c r="H67" s="3"/>
      <c r="I67" s="3"/>
      <c r="J67" s="3" t="s">
        <v>339</v>
      </c>
      <c r="K67" s="3"/>
      <c r="L67" s="3" t="s">
        <v>340</v>
      </c>
      <c r="M67" s="3" t="str">
        <f>HYPERLINK("https://ceds.ed.gov/cedselementdetails.aspx?termid=5591")</f>
        <v>https://ceds.ed.gov/cedselementdetails.aspx?termid=5591</v>
      </c>
      <c r="N67" s="3" t="str">
        <f>HYPERLINK("https://ceds.ed.gov/elementComment.aspx?elementName=Alternate Day Name &amp;elementID=5591", "Click here to submit comment")</f>
        <v>Click here to submit comment</v>
      </c>
    </row>
    <row r="68" spans="1:14" ht="60">
      <c r="A68" s="3" t="s">
        <v>341</v>
      </c>
      <c r="B68" s="3" t="s">
        <v>342</v>
      </c>
      <c r="C68" s="4" t="s">
        <v>6371</v>
      </c>
      <c r="D68" s="3" t="s">
        <v>343</v>
      </c>
      <c r="E68" s="3" t="s">
        <v>344</v>
      </c>
      <c r="F68" s="3"/>
      <c r="G68" s="3"/>
      <c r="H68" s="3"/>
      <c r="I68" s="3"/>
      <c r="J68" s="3" t="s">
        <v>345</v>
      </c>
      <c r="K68" s="3"/>
      <c r="L68" s="3" t="s">
        <v>346</v>
      </c>
      <c r="M68" s="3" t="str">
        <f>HYPERLINK("https://ceds.ed.gov/cedselementdetails.aspx?termid=5751")</f>
        <v>https://ceds.ed.gov/cedselementdetails.aspx?termid=5751</v>
      </c>
      <c r="N68" s="3" t="str">
        <f>HYPERLINK("https://ceds.ed.gov/elementComment.aspx?elementName=Alternative Route to Certification or Licensure &amp;elementID=5751", "Click here to submit comment")</f>
        <v>Click here to submit comment</v>
      </c>
    </row>
    <row r="69" spans="1:14" ht="120">
      <c r="A69" s="3" t="s">
        <v>347</v>
      </c>
      <c r="B69" s="3" t="s">
        <v>348</v>
      </c>
      <c r="C69" s="4" t="s">
        <v>6372</v>
      </c>
      <c r="D69" s="3" t="s">
        <v>224</v>
      </c>
      <c r="E69" s="3" t="s">
        <v>2</v>
      </c>
      <c r="F69" s="3"/>
      <c r="G69" s="3"/>
      <c r="H69" s="3"/>
      <c r="I69" s="3"/>
      <c r="J69" s="3" t="s">
        <v>349</v>
      </c>
      <c r="K69" s="3"/>
      <c r="L69" s="3" t="s">
        <v>350</v>
      </c>
      <c r="M69" s="3" t="str">
        <f>HYPERLINK("https://ceds.ed.gov/cedselementdetails.aspx?termid=5015")</f>
        <v>https://ceds.ed.gov/cedselementdetails.aspx?termid=5015</v>
      </c>
      <c r="N69" s="3" t="str">
        <f>HYPERLINK("https://ceds.ed.gov/elementComment.aspx?elementName=Alternative School Focus Type &amp;elementID=5015", "Click here to submit comment")</f>
        <v>Click here to submit comment</v>
      </c>
    </row>
    <row r="70" spans="1:14" ht="315">
      <c r="A70" s="3" t="s">
        <v>351</v>
      </c>
      <c r="B70" s="3" t="s">
        <v>352</v>
      </c>
      <c r="C70" s="4" t="s">
        <v>6373</v>
      </c>
      <c r="D70" s="3" t="s">
        <v>5985</v>
      </c>
      <c r="E70" s="3" t="s">
        <v>5986</v>
      </c>
      <c r="F70" s="3"/>
      <c r="G70" s="3"/>
      <c r="H70" s="3"/>
      <c r="I70" s="3" t="s">
        <v>353</v>
      </c>
      <c r="J70" s="3" t="s">
        <v>354</v>
      </c>
      <c r="K70" s="3"/>
      <c r="L70" s="3" t="s">
        <v>355</v>
      </c>
      <c r="M70" s="3" t="str">
        <f>HYPERLINK("https://ceds.ed.gov/cedselementdetails.aspx?termid=5655")</f>
        <v>https://ceds.ed.gov/cedselementdetails.aspx?termid=5655</v>
      </c>
      <c r="N70" s="3" t="str">
        <f>HYPERLINK("https://ceds.ed.gov/elementComment.aspx?elementName=American Indian or Alaska Native &amp;elementID=5655", "Click here to submit comment")</f>
        <v>Click here to submit comment</v>
      </c>
    </row>
    <row r="71" spans="1:14" ht="30">
      <c r="A71" s="3" t="s">
        <v>356</v>
      </c>
      <c r="B71" s="3" t="s">
        <v>357</v>
      </c>
      <c r="C71" s="3" t="s">
        <v>13</v>
      </c>
      <c r="D71" s="3" t="s">
        <v>35</v>
      </c>
      <c r="E71" s="3" t="s">
        <v>36</v>
      </c>
      <c r="F71" s="3"/>
      <c r="G71" s="3" t="s">
        <v>308</v>
      </c>
      <c r="H71" s="3"/>
      <c r="I71" s="3" t="s">
        <v>358</v>
      </c>
      <c r="J71" s="3" t="s">
        <v>359</v>
      </c>
      <c r="K71" s="3"/>
      <c r="L71" s="3" t="s">
        <v>360</v>
      </c>
      <c r="M71" s="3" t="str">
        <f>HYPERLINK("https://ceds.ed.gov/cedselementdetails.aspx?termid=5722")</f>
        <v>https://ceds.ed.gov/cedselementdetails.aspx?termid=5722</v>
      </c>
      <c r="N71" s="3" t="str">
        <f>HYPERLINK("https://ceds.ed.gov/elementComment.aspx?elementName=Annual Base Contractual Salary &amp;elementID=5722", "Click here to submit comment")</f>
        <v>Click here to submit comment</v>
      </c>
    </row>
    <row r="72" spans="1:14" ht="90">
      <c r="A72" s="3" t="s">
        <v>361</v>
      </c>
      <c r="B72" s="3" t="s">
        <v>362</v>
      </c>
      <c r="C72" s="4" t="s">
        <v>6374</v>
      </c>
      <c r="D72" s="3" t="s">
        <v>5987</v>
      </c>
      <c r="E72" s="3" t="s">
        <v>218</v>
      </c>
      <c r="F72" s="3"/>
      <c r="G72" s="3"/>
      <c r="H72" s="3"/>
      <c r="I72" s="3"/>
      <c r="J72" s="3" t="s">
        <v>363</v>
      </c>
      <c r="K72" s="3" t="s">
        <v>364</v>
      </c>
      <c r="L72" s="3" t="s">
        <v>365</v>
      </c>
      <c r="M72" s="3" t="str">
        <f>HYPERLINK("https://ceds.ed.gov/cedselementdetails.aspx?termid=5572")</f>
        <v>https://ceds.ed.gov/cedselementdetails.aspx?termid=5572</v>
      </c>
      <c r="N72" s="3" t="str">
        <f>HYPERLINK("https://ceds.ed.gov/elementComment.aspx?elementName=Annual Measurable Achievement Objective AYP Progress Attainment Status for LEP Students &amp;elementID=5572", "Click here to submit comment")</f>
        <v>Click here to submit comment</v>
      </c>
    </row>
    <row r="73" spans="1:14" ht="105">
      <c r="A73" s="3" t="s">
        <v>366</v>
      </c>
      <c r="B73" s="3" t="s">
        <v>367</v>
      </c>
      <c r="C73" s="4" t="s">
        <v>6374</v>
      </c>
      <c r="D73" s="3" t="s">
        <v>5980</v>
      </c>
      <c r="E73" s="3" t="s">
        <v>218</v>
      </c>
      <c r="F73" s="3"/>
      <c r="G73" s="3"/>
      <c r="H73" s="3"/>
      <c r="I73" s="3"/>
      <c r="J73" s="3" t="s">
        <v>368</v>
      </c>
      <c r="K73" s="3" t="s">
        <v>369</v>
      </c>
      <c r="L73" s="3" t="s">
        <v>370</v>
      </c>
      <c r="M73" s="3" t="str">
        <f>HYPERLINK("https://ceds.ed.gov/cedselementdetails.aspx?termid=5535")</f>
        <v>https://ceds.ed.gov/cedselementdetails.aspx?termid=5535</v>
      </c>
      <c r="N73" s="3" t="str">
        <f>HYPERLINK("https://ceds.ed.gov/elementComment.aspx?elementName=Annual Measurable Achievement Objective Proficiency Attainment Status for LEP Students &amp;elementID=5535", "Click here to submit comment")</f>
        <v>Click here to submit comment</v>
      </c>
    </row>
    <row r="74" spans="1:14" ht="105">
      <c r="A74" s="3" t="s">
        <v>371</v>
      </c>
      <c r="B74" s="3" t="s">
        <v>372</v>
      </c>
      <c r="C74" s="4" t="s">
        <v>6374</v>
      </c>
      <c r="D74" s="3" t="s">
        <v>5980</v>
      </c>
      <c r="E74" s="3" t="s">
        <v>218</v>
      </c>
      <c r="F74" s="3"/>
      <c r="G74" s="3"/>
      <c r="H74" s="3"/>
      <c r="I74" s="3"/>
      <c r="J74" s="3" t="s">
        <v>373</v>
      </c>
      <c r="K74" s="3" t="s">
        <v>374</v>
      </c>
      <c r="L74" s="3" t="s">
        <v>375</v>
      </c>
      <c r="M74" s="3" t="str">
        <f>HYPERLINK("https://ceds.ed.gov/cedselementdetails.aspx?termid=5545")</f>
        <v>https://ceds.ed.gov/cedselementdetails.aspx?termid=5545</v>
      </c>
      <c r="N74" s="3" t="str">
        <f>HYPERLINK("https://ceds.ed.gov/elementComment.aspx?elementName=Annual Measurable Achievement Objective Progress Attainment Status for LEP Students &amp;elementID=5545", "Click here to submit comment")</f>
        <v>Click here to submit comment</v>
      </c>
    </row>
    <row r="75" spans="1:14" ht="45">
      <c r="A75" s="3" t="s">
        <v>376</v>
      </c>
      <c r="B75" s="3" t="s">
        <v>377</v>
      </c>
      <c r="C75" s="3" t="s">
        <v>5963</v>
      </c>
      <c r="D75" s="3" t="s">
        <v>5979</v>
      </c>
      <c r="E75" s="3" t="s">
        <v>207</v>
      </c>
      <c r="F75" s="3"/>
      <c r="G75" s="3"/>
      <c r="H75" s="3"/>
      <c r="I75" s="3"/>
      <c r="J75" s="3" t="s">
        <v>378</v>
      </c>
      <c r="K75" s="3" t="s">
        <v>379</v>
      </c>
      <c r="L75" s="3" t="s">
        <v>380</v>
      </c>
      <c r="M75" s="3" t="str">
        <f>HYPERLINK("https://ceds.ed.gov/cedselementdetails.aspx?termid=5432")</f>
        <v>https://ceds.ed.gov/cedselementdetails.aspx?termid=5432</v>
      </c>
      <c r="N75" s="3" t="str">
        <f>HYPERLINK("https://ceds.ed.gov/elementComment.aspx?elementName=Appealed Adequate Yearly Progress Designation &amp;elementID=5432", "Click here to submit comment")</f>
        <v>Click here to submit comment</v>
      </c>
    </row>
    <row r="76" spans="1:14" ht="45">
      <c r="A76" s="3" t="s">
        <v>381</v>
      </c>
      <c r="B76" s="3" t="s">
        <v>382</v>
      </c>
      <c r="C76" s="3" t="s">
        <v>13</v>
      </c>
      <c r="D76" s="3" t="s">
        <v>383</v>
      </c>
      <c r="E76" s="3" t="s">
        <v>5988</v>
      </c>
      <c r="F76" s="3"/>
      <c r="G76" s="3" t="s">
        <v>73</v>
      </c>
      <c r="H76" s="3"/>
      <c r="I76" s="3"/>
      <c r="J76" s="3" t="s">
        <v>384</v>
      </c>
      <c r="K76" s="3"/>
      <c r="L76" s="3" t="s">
        <v>385</v>
      </c>
      <c r="M76" s="3" t="str">
        <f>HYPERLINK("https://ceds.ed.gov/cedselementdetails.aspx?termid=5323")</f>
        <v>https://ceds.ed.gov/cedselementdetails.aspx?termid=5323</v>
      </c>
      <c r="N76" s="3" t="str">
        <f>HYPERLINK("https://ceds.ed.gov/elementComment.aspx?elementName=Application Date &amp;elementID=5323", "Click here to submit comment")</f>
        <v>Click here to submit comment</v>
      </c>
    </row>
    <row r="77" spans="1:14" ht="45">
      <c r="A77" s="3" t="s">
        <v>386</v>
      </c>
      <c r="B77" s="3" t="s">
        <v>387</v>
      </c>
      <c r="C77" s="3" t="s">
        <v>13</v>
      </c>
      <c r="D77" s="3" t="s">
        <v>388</v>
      </c>
      <c r="E77" s="3" t="s">
        <v>202</v>
      </c>
      <c r="F77" s="3"/>
      <c r="G77" s="3" t="s">
        <v>389</v>
      </c>
      <c r="H77" s="3"/>
      <c r="I77" s="3"/>
      <c r="J77" s="3" t="s">
        <v>390</v>
      </c>
      <c r="K77" s="3"/>
      <c r="L77" s="3" t="s">
        <v>391</v>
      </c>
      <c r="M77" s="3" t="str">
        <f>HYPERLINK("https://ceds.ed.gov/cedselementdetails.aspx?termid=5790")</f>
        <v>https://ceds.ed.gov/cedselementdetails.aspx?termid=5790</v>
      </c>
      <c r="N77" s="3" t="str">
        <f>HYPERLINK("https://ceds.ed.gov/elementComment.aspx?elementName=Approved Early Childhood Credits Earned By a Non-ECE Degree Holder &amp;elementID=5790", "Click here to submit comment")</f>
        <v>Click here to submit comment</v>
      </c>
    </row>
    <row r="78" spans="1:14" ht="315">
      <c r="A78" s="3" t="s">
        <v>392</v>
      </c>
      <c r="B78" s="3" t="s">
        <v>393</v>
      </c>
      <c r="C78" s="4" t="s">
        <v>6373</v>
      </c>
      <c r="D78" s="3" t="s">
        <v>5985</v>
      </c>
      <c r="E78" s="3" t="s">
        <v>5986</v>
      </c>
      <c r="F78" s="3"/>
      <c r="G78" s="3"/>
      <c r="H78" s="3"/>
      <c r="I78" s="3" t="s">
        <v>353</v>
      </c>
      <c r="J78" s="3" t="s">
        <v>394</v>
      </c>
      <c r="K78" s="3"/>
      <c r="L78" s="3" t="s">
        <v>392</v>
      </c>
      <c r="M78" s="3" t="str">
        <f>HYPERLINK("https://ceds.ed.gov/cedselementdetails.aspx?termid=5656")</f>
        <v>https://ceds.ed.gov/cedselementdetails.aspx?termid=5656</v>
      </c>
      <c r="N78" s="3" t="str">
        <f>HYPERLINK("https://ceds.ed.gov/elementComment.aspx?elementName=Asian &amp;elementID=5656", "Click here to submit comment")</f>
        <v>Click here to submit comment</v>
      </c>
    </row>
    <row r="79" spans="1:14" ht="409.5">
      <c r="A79" s="3" t="s">
        <v>395</v>
      </c>
      <c r="B79" s="3" t="s">
        <v>396</v>
      </c>
      <c r="C79" s="4" t="s">
        <v>6375</v>
      </c>
      <c r="D79" s="3" t="s">
        <v>5989</v>
      </c>
      <c r="E79" s="3" t="s">
        <v>5990</v>
      </c>
      <c r="F79" s="3"/>
      <c r="G79" s="3"/>
      <c r="H79" s="3"/>
      <c r="I79" s="3"/>
      <c r="J79" s="3" t="s">
        <v>397</v>
      </c>
      <c r="K79" s="3"/>
      <c r="L79" s="3" t="s">
        <v>398</v>
      </c>
      <c r="M79" s="3" t="str">
        <f>HYPERLINK("https://ceds.ed.gov/cedselementdetails.aspx?termid=5021")</f>
        <v>https://ceds.ed.gov/cedselementdetails.aspx?termid=5021</v>
      </c>
      <c r="N79" s="3" t="str">
        <f>HYPERLINK("https://ceds.ed.gov/elementComment.aspx?elementName=Assessment Academic Subject &amp;elementID=5021", "Click here to submit comment")</f>
        <v>Click here to submit comment</v>
      </c>
    </row>
    <row r="80" spans="1:14" ht="300">
      <c r="A80" s="3" t="s">
        <v>399</v>
      </c>
      <c r="B80" s="3" t="s">
        <v>400</v>
      </c>
      <c r="C80" s="4" t="s">
        <v>6376</v>
      </c>
      <c r="D80" s="3" t="s">
        <v>5991</v>
      </c>
      <c r="E80" s="3" t="s">
        <v>5992</v>
      </c>
      <c r="F80" s="3" t="s">
        <v>3</v>
      </c>
      <c r="G80" s="3"/>
      <c r="H80" s="3"/>
      <c r="I80" s="3"/>
      <c r="J80" s="3" t="s">
        <v>401</v>
      </c>
      <c r="K80" s="3"/>
      <c r="L80" s="3" t="s">
        <v>402</v>
      </c>
      <c r="M80" s="3" t="str">
        <f>HYPERLINK("https://ceds.ed.gov/cedselementdetails.aspx?termid=5374")</f>
        <v>https://ceds.ed.gov/cedselementdetails.aspx?termid=5374</v>
      </c>
      <c r="N80" s="3" t="str">
        <f>HYPERLINK("https://ceds.ed.gov/elementComment.aspx?elementName=Assessment Accommodation Category &amp;elementID=5374", "Click here to submit comment")</f>
        <v>Click here to submit comment</v>
      </c>
    </row>
    <row r="81" spans="1:14" ht="165">
      <c r="A81" s="3" t="s">
        <v>403</v>
      </c>
      <c r="B81" s="3" t="s">
        <v>404</v>
      </c>
      <c r="C81" s="3" t="s">
        <v>13</v>
      </c>
      <c r="D81" s="3" t="s">
        <v>5993</v>
      </c>
      <c r="E81" s="3"/>
      <c r="F81" s="3"/>
      <c r="G81" s="3" t="s">
        <v>100</v>
      </c>
      <c r="H81" s="3"/>
      <c r="I81" s="3"/>
      <c r="J81" s="3" t="s">
        <v>405</v>
      </c>
      <c r="K81" s="3"/>
      <c r="L81" s="3" t="s">
        <v>406</v>
      </c>
      <c r="M81" s="3" t="str">
        <f>HYPERLINK("https://ceds.ed.gov/cedselementdetails.aspx?termid=6116")</f>
        <v>https://ceds.ed.gov/cedselementdetails.aspx?termid=6116</v>
      </c>
      <c r="N81" s="3" t="str">
        <f>HYPERLINK("https://ceds.ed.gov/elementComment.aspx?elementName=Assessment Accommodation Other Description &amp;elementID=6116", "Click here to submit comment")</f>
        <v>Click here to submit comment</v>
      </c>
    </row>
    <row r="82" spans="1:14" ht="409.5">
      <c r="A82" s="3" t="s">
        <v>407</v>
      </c>
      <c r="B82" s="3" t="s">
        <v>408</v>
      </c>
      <c r="C82" s="4" t="s">
        <v>6377</v>
      </c>
      <c r="D82" s="3" t="s">
        <v>5994</v>
      </c>
      <c r="E82" s="3" t="s">
        <v>5992</v>
      </c>
      <c r="F82" s="3"/>
      <c r="G82" s="3"/>
      <c r="H82" s="3"/>
      <c r="I82" s="3"/>
      <c r="J82" s="3" t="s">
        <v>409</v>
      </c>
      <c r="K82" s="3"/>
      <c r="L82" s="3" t="s">
        <v>410</v>
      </c>
      <c r="M82" s="3" t="str">
        <f>HYPERLINK("https://ceds.ed.gov/cedselementdetails.aspx?termid=5376")</f>
        <v>https://ceds.ed.gov/cedselementdetails.aspx?termid=5376</v>
      </c>
      <c r="N82" s="3" t="str">
        <f>HYPERLINK("https://ceds.ed.gov/elementComment.aspx?elementName=Assessment Accommodation Type &amp;elementID=5376", "Click here to submit comment")</f>
        <v>Click here to submit comment</v>
      </c>
    </row>
    <row r="83" spans="1:14" ht="75">
      <c r="A83" s="3" t="s">
        <v>411</v>
      </c>
      <c r="B83" s="3" t="s">
        <v>412</v>
      </c>
      <c r="C83" s="3" t="s">
        <v>13</v>
      </c>
      <c r="D83" s="3" t="s">
        <v>5995</v>
      </c>
      <c r="E83" s="3"/>
      <c r="F83" s="3"/>
      <c r="G83" s="3" t="s">
        <v>106</v>
      </c>
      <c r="H83" s="3"/>
      <c r="I83" s="3" t="s">
        <v>413</v>
      </c>
      <c r="J83" s="3" t="s">
        <v>414</v>
      </c>
      <c r="K83" s="3"/>
      <c r="L83" s="3" t="s">
        <v>415</v>
      </c>
      <c r="M83" s="3" t="str">
        <f>HYPERLINK("https://ceds.ed.gov/cedselementdetails.aspx?termid=5968")</f>
        <v>https://ceds.ed.gov/cedselementdetails.aspx?termid=5968</v>
      </c>
      <c r="N83" s="3" t="str">
        <f>HYPERLINK("https://ceds.ed.gov/elementComment.aspx?elementName=Assessment Administration Assessment Family &amp;elementID=5968", "Click here to submit comment")</f>
        <v>Click here to submit comment</v>
      </c>
    </row>
    <row r="84" spans="1:14" ht="75">
      <c r="A84" s="3" t="s">
        <v>416</v>
      </c>
      <c r="B84" s="3" t="s">
        <v>417</v>
      </c>
      <c r="C84" s="3" t="s">
        <v>13</v>
      </c>
      <c r="D84" s="3" t="s">
        <v>5995</v>
      </c>
      <c r="E84" s="3"/>
      <c r="F84" s="3"/>
      <c r="G84" s="3" t="s">
        <v>100</v>
      </c>
      <c r="H84" s="3"/>
      <c r="I84" s="3"/>
      <c r="J84" s="3" t="s">
        <v>418</v>
      </c>
      <c r="K84" s="3"/>
      <c r="L84" s="3" t="s">
        <v>419</v>
      </c>
      <c r="M84" s="3" t="str">
        <f>HYPERLINK("https://ceds.ed.gov/cedselementdetails.aspx?termid=5962")</f>
        <v>https://ceds.ed.gov/cedselementdetails.aspx?termid=5962</v>
      </c>
      <c r="N84" s="3" t="str">
        <f>HYPERLINK("https://ceds.ed.gov/elementComment.aspx?elementName=Assessment Administration Code &amp;elementID=5962", "Click here to submit comment")</f>
        <v>Click here to submit comment</v>
      </c>
    </row>
    <row r="85" spans="1:14" ht="120">
      <c r="A85" s="3" t="s">
        <v>420</v>
      </c>
      <c r="B85" s="3" t="s">
        <v>421</v>
      </c>
      <c r="C85" s="3" t="s">
        <v>13</v>
      </c>
      <c r="D85" s="3" t="s">
        <v>5996</v>
      </c>
      <c r="E85" s="3"/>
      <c r="F85" s="3"/>
      <c r="G85" s="3" t="s">
        <v>73</v>
      </c>
      <c r="H85" s="3"/>
      <c r="I85" s="3"/>
      <c r="J85" s="3" t="s">
        <v>422</v>
      </c>
      <c r="K85" s="3"/>
      <c r="L85" s="3" t="s">
        <v>423</v>
      </c>
      <c r="M85" s="3" t="str">
        <f>HYPERLINK("https://ceds.ed.gov/cedselementdetails.aspx?termid=5965")</f>
        <v>https://ceds.ed.gov/cedselementdetails.aspx?termid=5965</v>
      </c>
      <c r="N85" s="3" t="str">
        <f>HYPERLINK("https://ceds.ed.gov/elementComment.aspx?elementName=Assessment Administration Finish Date &amp;elementID=5965", "Click here to submit comment")</f>
        <v>Click here to submit comment</v>
      </c>
    </row>
    <row r="86" spans="1:14" ht="165">
      <c r="A86" s="3" t="s">
        <v>424</v>
      </c>
      <c r="B86" s="3" t="s">
        <v>425</v>
      </c>
      <c r="C86" s="3" t="s">
        <v>13</v>
      </c>
      <c r="D86" s="3" t="s">
        <v>5997</v>
      </c>
      <c r="E86" s="3"/>
      <c r="F86" s="3"/>
      <c r="G86" s="3" t="s">
        <v>426</v>
      </c>
      <c r="H86" s="3"/>
      <c r="I86" s="3"/>
      <c r="J86" s="3" t="s">
        <v>427</v>
      </c>
      <c r="K86" s="3"/>
      <c r="L86" s="3" t="s">
        <v>428</v>
      </c>
      <c r="M86" s="3" t="str">
        <f>HYPERLINK("https://ceds.ed.gov/cedselementdetails.aspx?termid=5966")</f>
        <v>https://ceds.ed.gov/cedselementdetails.aspx?termid=5966</v>
      </c>
      <c r="N86" s="3" t="str">
        <f>HYPERLINK("https://ceds.ed.gov/elementComment.aspx?elementName=Assessment Administration Finish Time &amp;elementID=5966", "Click here to submit comment")</f>
        <v>Click here to submit comment</v>
      </c>
    </row>
    <row r="87" spans="1:14" ht="75">
      <c r="A87" s="3" t="s">
        <v>429</v>
      </c>
      <c r="B87" s="3" t="s">
        <v>430</v>
      </c>
      <c r="C87" s="3" t="s">
        <v>13</v>
      </c>
      <c r="D87" s="3" t="s">
        <v>5995</v>
      </c>
      <c r="E87" s="3"/>
      <c r="F87" s="3"/>
      <c r="G87" s="3" t="s">
        <v>100</v>
      </c>
      <c r="H87" s="3"/>
      <c r="I87" s="3"/>
      <c r="J87" s="3" t="s">
        <v>431</v>
      </c>
      <c r="K87" s="3"/>
      <c r="L87" s="3" t="s">
        <v>432</v>
      </c>
      <c r="M87" s="3" t="str">
        <f>HYPERLINK("https://ceds.ed.gov/cedselementdetails.aspx?termid=5978")</f>
        <v>https://ceds.ed.gov/cedselementdetails.aspx?termid=5978</v>
      </c>
      <c r="N87" s="3" t="str">
        <f>HYPERLINK("https://ceds.ed.gov/elementComment.aspx?elementName=Assessment Administration Name &amp;elementID=5978", "Click here to submit comment")</f>
        <v>Click here to submit comment</v>
      </c>
    </row>
    <row r="88" spans="1:14" ht="75">
      <c r="A88" s="3" t="s">
        <v>433</v>
      </c>
      <c r="B88" s="3" t="s">
        <v>434</v>
      </c>
      <c r="C88" s="3" t="s">
        <v>13</v>
      </c>
      <c r="D88" s="3" t="s">
        <v>5995</v>
      </c>
      <c r="E88" s="3"/>
      <c r="F88" s="3"/>
      <c r="G88" s="3" t="s">
        <v>106</v>
      </c>
      <c r="H88" s="3"/>
      <c r="I88" s="3"/>
      <c r="J88" s="3" t="s">
        <v>435</v>
      </c>
      <c r="K88" s="3"/>
      <c r="L88" s="3" t="s">
        <v>436</v>
      </c>
      <c r="M88" s="3" t="str">
        <f>HYPERLINK("https://ceds.ed.gov/cedselementdetails.aspx?termid=5967")</f>
        <v>https://ceds.ed.gov/cedselementdetails.aspx?termid=5967</v>
      </c>
      <c r="N88" s="3" t="str">
        <f>HYPERLINK("https://ceds.ed.gov/elementComment.aspx?elementName=Assessment Administration Organization Name &amp;elementID=5967", "Click here to submit comment")</f>
        <v>Click here to submit comment</v>
      </c>
    </row>
    <row r="89" spans="1:14" ht="120">
      <c r="A89" s="3" t="s">
        <v>437</v>
      </c>
      <c r="B89" s="3" t="s">
        <v>438</v>
      </c>
      <c r="C89" s="3" t="s">
        <v>13</v>
      </c>
      <c r="D89" s="3" t="s">
        <v>5996</v>
      </c>
      <c r="E89" s="3"/>
      <c r="F89" s="3"/>
      <c r="G89" s="3" t="s">
        <v>73</v>
      </c>
      <c r="H89" s="3"/>
      <c r="I89" s="3"/>
      <c r="J89" s="3" t="s">
        <v>439</v>
      </c>
      <c r="K89" s="3"/>
      <c r="L89" s="3" t="s">
        <v>440</v>
      </c>
      <c r="M89" s="3" t="str">
        <f>HYPERLINK("https://ceds.ed.gov/cedselementdetails.aspx?termid=5963")</f>
        <v>https://ceds.ed.gov/cedselementdetails.aspx?termid=5963</v>
      </c>
      <c r="N89" s="3" t="str">
        <f>HYPERLINK("https://ceds.ed.gov/elementComment.aspx?elementName=Assessment Administration Start Date &amp;elementID=5963", "Click here to submit comment")</f>
        <v>Click here to submit comment</v>
      </c>
    </row>
    <row r="90" spans="1:14" ht="165">
      <c r="A90" s="3" t="s">
        <v>441</v>
      </c>
      <c r="B90" s="3" t="s">
        <v>442</v>
      </c>
      <c r="C90" s="3" t="s">
        <v>13</v>
      </c>
      <c r="D90" s="3" t="s">
        <v>5997</v>
      </c>
      <c r="E90" s="3"/>
      <c r="F90" s="3"/>
      <c r="G90" s="3" t="s">
        <v>426</v>
      </c>
      <c r="H90" s="3"/>
      <c r="I90" s="3"/>
      <c r="J90" s="3" t="s">
        <v>443</v>
      </c>
      <c r="K90" s="3"/>
      <c r="L90" s="3" t="s">
        <v>444</v>
      </c>
      <c r="M90" s="3" t="str">
        <f>HYPERLINK("https://ceds.ed.gov/cedselementdetails.aspx?termid=5964")</f>
        <v>https://ceds.ed.gov/cedselementdetails.aspx?termid=5964</v>
      </c>
      <c r="N90" s="3" t="str">
        <f>HYPERLINK("https://ceds.ed.gov/elementComment.aspx?elementName=Assessment Administration Start Time &amp;elementID=5964", "Click here to submit comment")</f>
        <v>Click here to submit comment</v>
      </c>
    </row>
    <row r="91" spans="1:14" ht="60">
      <c r="A91" s="3" t="s">
        <v>445</v>
      </c>
      <c r="B91" s="3" t="s">
        <v>446</v>
      </c>
      <c r="C91" s="3" t="s">
        <v>13</v>
      </c>
      <c r="D91" s="3" t="s">
        <v>5998</v>
      </c>
      <c r="E91" s="3"/>
      <c r="F91" s="3"/>
      <c r="G91" s="3" t="s">
        <v>319</v>
      </c>
      <c r="H91" s="3"/>
      <c r="I91" s="3"/>
      <c r="J91" s="3" t="s">
        <v>447</v>
      </c>
      <c r="K91" s="3"/>
      <c r="L91" s="3" t="s">
        <v>448</v>
      </c>
      <c r="M91" s="3" t="str">
        <f>HYPERLINK("https://ceds.ed.gov/cedselementdetails.aspx?termid=6154")</f>
        <v>https://ceds.ed.gov/cedselementdetails.aspx?termid=6154</v>
      </c>
      <c r="N91" s="3" t="str">
        <f>HYPERLINK("https://ceds.ed.gov/elementComment.aspx?elementName=Assessment Asset Content Mime Type &amp;elementID=6154", "Click here to submit comment")</f>
        <v>Click here to submit comment</v>
      </c>
    </row>
    <row r="92" spans="1:14" ht="60">
      <c r="A92" s="3" t="s">
        <v>449</v>
      </c>
      <c r="B92" s="3" t="s">
        <v>450</v>
      </c>
      <c r="C92" s="3" t="s">
        <v>13</v>
      </c>
      <c r="D92" s="3" t="s">
        <v>5998</v>
      </c>
      <c r="E92" s="3"/>
      <c r="F92" s="3"/>
      <c r="G92" s="3" t="s">
        <v>93</v>
      </c>
      <c r="H92" s="3"/>
      <c r="I92" s="3"/>
      <c r="J92" s="3" t="s">
        <v>451</v>
      </c>
      <c r="K92" s="3"/>
      <c r="L92" s="3" t="s">
        <v>452</v>
      </c>
      <c r="M92" s="3" t="str">
        <f>HYPERLINK("https://ceds.ed.gov/cedselementdetails.aspx?termid=6155")</f>
        <v>https://ceds.ed.gov/cedselementdetails.aspx?termid=6155</v>
      </c>
      <c r="N92" s="3" t="str">
        <f>HYPERLINK("https://ceds.ed.gov/elementComment.aspx?elementName=Assessment Asset Content URL &amp;elementID=6155", "Click here to submit comment")</f>
        <v>Click here to submit comment</v>
      </c>
    </row>
    <row r="93" spans="1:14" ht="60">
      <c r="A93" s="3" t="s">
        <v>453</v>
      </c>
      <c r="B93" s="3" t="s">
        <v>454</v>
      </c>
      <c r="C93" s="3" t="s">
        <v>13</v>
      </c>
      <c r="D93" s="3" t="s">
        <v>5998</v>
      </c>
      <c r="E93" s="3"/>
      <c r="F93" s="3"/>
      <c r="G93" s="3" t="s">
        <v>319</v>
      </c>
      <c r="H93" s="3"/>
      <c r="I93" s="3"/>
      <c r="J93" s="3" t="s">
        <v>455</v>
      </c>
      <c r="K93" s="3"/>
      <c r="L93" s="3" t="s">
        <v>456</v>
      </c>
      <c r="M93" s="3" t="str">
        <f>HYPERLINK("https://ceds.ed.gov/cedselementdetails.aspx?termid=6153")</f>
        <v>https://ceds.ed.gov/cedselementdetails.aspx?termid=6153</v>
      </c>
      <c r="N93" s="3" t="str">
        <f>HYPERLINK("https://ceds.ed.gov/elementComment.aspx?elementName=Assessment Asset Content XML &amp;elementID=6153", "Click here to submit comment")</f>
        <v>Click here to submit comment</v>
      </c>
    </row>
    <row r="94" spans="1:14" ht="60">
      <c r="A94" s="3" t="s">
        <v>457</v>
      </c>
      <c r="B94" s="3" t="s">
        <v>458</v>
      </c>
      <c r="C94" s="3" t="s">
        <v>13</v>
      </c>
      <c r="D94" s="3" t="s">
        <v>5998</v>
      </c>
      <c r="E94" s="3"/>
      <c r="F94" s="3"/>
      <c r="G94" s="3" t="s">
        <v>100</v>
      </c>
      <c r="H94" s="3"/>
      <c r="I94" s="3"/>
      <c r="J94" s="3" t="s">
        <v>459</v>
      </c>
      <c r="K94" s="3"/>
      <c r="L94" s="3" t="s">
        <v>460</v>
      </c>
      <c r="M94" s="3" t="str">
        <f>HYPERLINK("https://ceds.ed.gov/cedselementdetails.aspx?termid=6149")</f>
        <v>https://ceds.ed.gov/cedselementdetails.aspx?termid=6149</v>
      </c>
      <c r="N94" s="3" t="str">
        <f>HYPERLINK("https://ceds.ed.gov/elementComment.aspx?elementName=Assessment Asset Identifier &amp;elementID=6149", "Click here to submit comment")</f>
        <v>Click here to submit comment</v>
      </c>
    </row>
    <row r="95" spans="1:14" ht="105">
      <c r="A95" s="3" t="s">
        <v>461</v>
      </c>
      <c r="B95" s="3" t="s">
        <v>462</v>
      </c>
      <c r="C95" s="4" t="s">
        <v>6378</v>
      </c>
      <c r="D95" s="3" t="s">
        <v>5998</v>
      </c>
      <c r="E95" s="3"/>
      <c r="F95" s="3"/>
      <c r="G95" s="3"/>
      <c r="H95" s="3"/>
      <c r="I95" s="3"/>
      <c r="J95" s="3" t="s">
        <v>463</v>
      </c>
      <c r="K95" s="3"/>
      <c r="L95" s="3" t="s">
        <v>464</v>
      </c>
      <c r="M95" s="3" t="str">
        <f>HYPERLINK("https://ceds.ed.gov/cedselementdetails.aspx?termid=6150")</f>
        <v>https://ceds.ed.gov/cedselementdetails.aspx?termid=6150</v>
      </c>
      <c r="N95" s="3" t="str">
        <f>HYPERLINK("https://ceds.ed.gov/elementComment.aspx?elementName=Assessment Asset Identifier Type &amp;elementID=6150", "Click here to submit comment")</f>
        <v>Click here to submit comment</v>
      </c>
    </row>
    <row r="96" spans="1:14" ht="60">
      <c r="A96" s="3" t="s">
        <v>465</v>
      </c>
      <c r="B96" s="3" t="s">
        <v>466</v>
      </c>
      <c r="C96" s="3" t="s">
        <v>13</v>
      </c>
      <c r="D96" s="3" t="s">
        <v>5998</v>
      </c>
      <c r="E96" s="3"/>
      <c r="F96" s="3"/>
      <c r="G96" s="3" t="s">
        <v>106</v>
      </c>
      <c r="H96" s="3"/>
      <c r="I96" s="3"/>
      <c r="J96" s="3" t="s">
        <v>467</v>
      </c>
      <c r="K96" s="3"/>
      <c r="L96" s="3" t="s">
        <v>468</v>
      </c>
      <c r="M96" s="3" t="str">
        <f>HYPERLINK("https://ceds.ed.gov/cedselementdetails.aspx?termid=6151")</f>
        <v>https://ceds.ed.gov/cedselementdetails.aspx?termid=6151</v>
      </c>
      <c r="N96" s="3" t="str">
        <f>HYPERLINK("https://ceds.ed.gov/elementComment.aspx?elementName=Assessment Asset Name &amp;elementID=6151", "Click here to submit comment")</f>
        <v>Click here to submit comment</v>
      </c>
    </row>
    <row r="97" spans="1:14" ht="60">
      <c r="A97" s="3" t="s">
        <v>469</v>
      </c>
      <c r="B97" s="3" t="s">
        <v>470</v>
      </c>
      <c r="C97" s="3" t="s">
        <v>13</v>
      </c>
      <c r="D97" s="3" t="s">
        <v>5998</v>
      </c>
      <c r="E97" s="3"/>
      <c r="F97" s="3"/>
      <c r="G97" s="3" t="s">
        <v>106</v>
      </c>
      <c r="H97" s="3"/>
      <c r="I97" s="3"/>
      <c r="J97" s="3" t="s">
        <v>471</v>
      </c>
      <c r="K97" s="3"/>
      <c r="L97" s="3" t="s">
        <v>472</v>
      </c>
      <c r="M97" s="3" t="str">
        <f>HYPERLINK("https://ceds.ed.gov/cedselementdetails.aspx?termid=6152")</f>
        <v>https://ceds.ed.gov/cedselementdetails.aspx?termid=6152</v>
      </c>
      <c r="N97" s="3" t="str">
        <f>HYPERLINK("https://ceds.ed.gov/elementComment.aspx?elementName=Assessment Asset Owner &amp;elementID=6152", "Click here to submit comment")</f>
        <v>Click here to submit comment</v>
      </c>
    </row>
    <row r="98" spans="1:14" ht="60">
      <c r="A98" s="3" t="s">
        <v>473</v>
      </c>
      <c r="B98" s="3" t="s">
        <v>474</v>
      </c>
      <c r="C98" s="3" t="s">
        <v>13</v>
      </c>
      <c r="D98" s="3" t="s">
        <v>5998</v>
      </c>
      <c r="E98" s="3"/>
      <c r="F98" s="3"/>
      <c r="G98" s="3" t="s">
        <v>73</v>
      </c>
      <c r="H98" s="3"/>
      <c r="I98" s="3"/>
      <c r="J98" s="3" t="s">
        <v>475</v>
      </c>
      <c r="K98" s="3"/>
      <c r="L98" s="3" t="s">
        <v>476</v>
      </c>
      <c r="M98" s="3" t="str">
        <f>HYPERLINK("https://ceds.ed.gov/cedselementdetails.aspx?termid=6148")</f>
        <v>https://ceds.ed.gov/cedselementdetails.aspx?termid=6148</v>
      </c>
      <c r="N98" s="3" t="str">
        <f>HYPERLINK("https://ceds.ed.gov/elementComment.aspx?elementName=Assessment Asset Published Date &amp;elementID=6148", "Click here to submit comment")</f>
        <v>Click here to submit comment</v>
      </c>
    </row>
    <row r="99" spans="1:14" ht="409.5">
      <c r="A99" s="3" t="s">
        <v>477</v>
      </c>
      <c r="B99" s="3" t="s">
        <v>478</v>
      </c>
      <c r="C99" s="4" t="s">
        <v>6379</v>
      </c>
      <c r="D99" s="3" t="s">
        <v>5998</v>
      </c>
      <c r="E99" s="3"/>
      <c r="F99" s="3"/>
      <c r="G99" s="3"/>
      <c r="H99" s="3"/>
      <c r="I99" s="3" t="s">
        <v>479</v>
      </c>
      <c r="J99" s="3" t="s">
        <v>480</v>
      </c>
      <c r="K99" s="3"/>
      <c r="L99" s="3" t="s">
        <v>481</v>
      </c>
      <c r="M99" s="3" t="str">
        <f>HYPERLINK("https://ceds.ed.gov/cedselementdetails.aspx?termid=6147")</f>
        <v>https://ceds.ed.gov/cedselementdetails.aspx?termid=6147</v>
      </c>
      <c r="N99" s="3" t="str">
        <f>HYPERLINK("https://ceds.ed.gov/elementComment.aspx?elementName=Assessment Asset Type &amp;elementID=6147", "Click here to submit comment")</f>
        <v>Click here to submit comment</v>
      </c>
    </row>
    <row r="100" spans="1:14" ht="150">
      <c r="A100" s="3" t="s">
        <v>482</v>
      </c>
      <c r="B100" s="3" t="s">
        <v>483</v>
      </c>
      <c r="C100" s="3" t="s">
        <v>13</v>
      </c>
      <c r="D100" s="3" t="s">
        <v>5998</v>
      </c>
      <c r="E100" s="3"/>
      <c r="F100" s="3"/>
      <c r="G100" s="3" t="s">
        <v>100</v>
      </c>
      <c r="H100" s="3"/>
      <c r="I100" s="3" t="s">
        <v>484</v>
      </c>
      <c r="J100" s="3" t="s">
        <v>485</v>
      </c>
      <c r="K100" s="3"/>
      <c r="L100" s="3" t="s">
        <v>486</v>
      </c>
      <c r="M100" s="3" t="str">
        <f>HYPERLINK("https://ceds.ed.gov/cedselementdetails.aspx?termid=6146")</f>
        <v>https://ceds.ed.gov/cedselementdetails.aspx?termid=6146</v>
      </c>
      <c r="N100" s="3" t="str">
        <f>HYPERLINK("https://ceds.ed.gov/elementComment.aspx?elementName=Assessment Asset Version &amp;elementID=6146", "Click here to submit comment")</f>
        <v>Click here to submit comment</v>
      </c>
    </row>
    <row r="101" spans="1:14" ht="165">
      <c r="A101" s="3" t="s">
        <v>487</v>
      </c>
      <c r="B101" s="3" t="s">
        <v>488</v>
      </c>
      <c r="C101" s="4" t="s">
        <v>6380</v>
      </c>
      <c r="D101" s="3" t="s">
        <v>5999</v>
      </c>
      <c r="E101" s="3" t="s">
        <v>6000</v>
      </c>
      <c r="F101" s="3"/>
      <c r="G101" s="3"/>
      <c r="H101" s="3"/>
      <c r="I101" s="3"/>
      <c r="J101" s="3" t="s">
        <v>489</v>
      </c>
      <c r="K101" s="3"/>
      <c r="L101" s="3" t="s">
        <v>490</v>
      </c>
      <c r="M101" s="3" t="str">
        <f>HYPERLINK("https://ceds.ed.gov/cedselementdetails.aspx?termid=5598")</f>
        <v>https://ceds.ed.gov/cedselementdetails.aspx?termid=5598</v>
      </c>
      <c r="N101" s="3" t="str">
        <f>HYPERLINK("https://ceds.ed.gov/elementComment.aspx?elementName=Assessment Content Standard Type &amp;elementID=5598", "Click here to submit comment")</f>
        <v>Click here to submit comment</v>
      </c>
    </row>
    <row r="102" spans="1:14" ht="165">
      <c r="A102" s="3" t="s">
        <v>491</v>
      </c>
      <c r="B102" s="3" t="s">
        <v>492</v>
      </c>
      <c r="C102" s="4" t="s">
        <v>6381</v>
      </c>
      <c r="D102" s="3" t="s">
        <v>6001</v>
      </c>
      <c r="E102" s="3" t="s">
        <v>493</v>
      </c>
      <c r="F102" s="3"/>
      <c r="G102" s="3"/>
      <c r="H102" s="3"/>
      <c r="I102" s="3"/>
      <c r="J102" s="3" t="s">
        <v>494</v>
      </c>
      <c r="K102" s="3"/>
      <c r="L102" s="3" t="s">
        <v>495</v>
      </c>
      <c r="M102" s="3" t="str">
        <f>HYPERLINK("https://ceds.ed.gov/cedselementdetails.aspx?termid=6003")</f>
        <v>https://ceds.ed.gov/cedselementdetails.aspx?termid=6003</v>
      </c>
      <c r="N102" s="3" t="str">
        <f>HYPERLINK("https://ceds.ed.gov/elementComment.aspx?elementName=Assessment Early Learning Developmental Domain &amp;elementID=6003", "Click here to submit comment")</f>
        <v>Click here to submit comment</v>
      </c>
    </row>
    <row r="103" spans="1:14" ht="60">
      <c r="A103" s="3" t="s">
        <v>496</v>
      </c>
      <c r="B103" s="3" t="s">
        <v>497</v>
      </c>
      <c r="C103" s="3" t="s">
        <v>13</v>
      </c>
      <c r="D103" s="3" t="s">
        <v>6002</v>
      </c>
      <c r="E103" s="3"/>
      <c r="F103" s="3"/>
      <c r="G103" s="3" t="s">
        <v>100</v>
      </c>
      <c r="H103" s="3"/>
      <c r="I103" s="3" t="s">
        <v>498</v>
      </c>
      <c r="J103" s="3" t="s">
        <v>499</v>
      </c>
      <c r="K103" s="3"/>
      <c r="L103" s="3" t="s">
        <v>500</v>
      </c>
      <c r="M103" s="3" t="str">
        <f>HYPERLINK("https://ceds.ed.gov/cedselementdetails.aspx?termid=5934")</f>
        <v>https://ceds.ed.gov/cedselementdetails.aspx?termid=5934</v>
      </c>
      <c r="N103" s="3" t="str">
        <f>HYPERLINK("https://ceds.ed.gov/elementComment.aspx?elementName=Assessment Family Short Name &amp;elementID=5934", "Click here to submit comment")</f>
        <v>Click here to submit comment</v>
      </c>
    </row>
    <row r="104" spans="1:14" ht="90">
      <c r="A104" s="3" t="s">
        <v>501</v>
      </c>
      <c r="B104" s="3" t="s">
        <v>502</v>
      </c>
      <c r="C104" s="3" t="s">
        <v>13</v>
      </c>
      <c r="D104" s="3" t="s">
        <v>6002</v>
      </c>
      <c r="E104" s="3"/>
      <c r="F104" s="3"/>
      <c r="G104" s="3" t="s">
        <v>106</v>
      </c>
      <c r="H104" s="3"/>
      <c r="I104" s="3"/>
      <c r="J104" s="3" t="s">
        <v>503</v>
      </c>
      <c r="K104" s="3"/>
      <c r="L104" s="3" t="s">
        <v>504</v>
      </c>
      <c r="M104" s="3" t="str">
        <f>HYPERLINK("https://ceds.ed.gov/cedselementdetails.aspx?termid=5933")</f>
        <v>https://ceds.ed.gov/cedselementdetails.aspx?termid=5933</v>
      </c>
      <c r="N104" s="3" t="str">
        <f>HYPERLINK("https://ceds.ed.gov/elementComment.aspx?elementName=Assessment Family Title &amp;elementID=5933", "Click here to submit comment")</f>
        <v>Click here to submit comment</v>
      </c>
    </row>
    <row r="105" spans="1:14" ht="105">
      <c r="A105" s="3" t="s">
        <v>505</v>
      </c>
      <c r="B105" s="3" t="s">
        <v>506</v>
      </c>
      <c r="C105" s="3" t="s">
        <v>13</v>
      </c>
      <c r="D105" s="3" t="s">
        <v>6003</v>
      </c>
      <c r="E105" s="3"/>
      <c r="F105" s="3"/>
      <c r="G105" s="3" t="s">
        <v>319</v>
      </c>
      <c r="H105" s="3"/>
      <c r="I105" s="3"/>
      <c r="J105" s="3" t="s">
        <v>507</v>
      </c>
      <c r="K105" s="3"/>
      <c r="L105" s="3" t="s">
        <v>508</v>
      </c>
      <c r="M105" s="3" t="str">
        <f>HYPERLINK("https://ceds.ed.gov/cedselementdetails.aspx?termid=6136")</f>
        <v>https://ceds.ed.gov/cedselementdetails.aspx?termid=6136</v>
      </c>
      <c r="N105" s="3" t="str">
        <f>HYPERLINK("https://ceds.ed.gov/elementComment.aspx?elementName=Assessment Form Accommodation List &amp;elementID=6136", "Click here to submit comment")</f>
        <v>Click here to submit comment</v>
      </c>
    </row>
    <row r="106" spans="1:14" ht="75">
      <c r="A106" s="3" t="s">
        <v>509</v>
      </c>
      <c r="B106" s="3" t="s">
        <v>510</v>
      </c>
      <c r="C106" s="3" t="s">
        <v>13</v>
      </c>
      <c r="D106" s="3" t="s">
        <v>6004</v>
      </c>
      <c r="E106" s="3"/>
      <c r="F106" s="3" t="s">
        <v>66</v>
      </c>
      <c r="G106" s="3" t="s">
        <v>73</v>
      </c>
      <c r="H106" s="3" t="s">
        <v>511</v>
      </c>
      <c r="I106" s="3"/>
      <c r="J106" s="3" t="s">
        <v>512</v>
      </c>
      <c r="K106" s="3"/>
      <c r="L106" s="3" t="s">
        <v>513</v>
      </c>
      <c r="M106" s="3" t="str">
        <f>HYPERLINK("https://ceds.ed.gov/cedselementdetails.aspx?termid=6138")</f>
        <v>https://ceds.ed.gov/cedselementdetails.aspx?termid=6138</v>
      </c>
      <c r="N106" s="3" t="str">
        <f>HYPERLINK("https://ceds.ed.gov/elementComment.aspx?elementName=Assessment Form Intended Administration End Date &amp;elementID=6138", "Click here to submit comment")</f>
        <v>Click here to submit comment</v>
      </c>
    </row>
    <row r="107" spans="1:14" ht="150">
      <c r="A107" s="3" t="s">
        <v>514</v>
      </c>
      <c r="B107" s="3" t="s">
        <v>515</v>
      </c>
      <c r="C107" s="3" t="s">
        <v>13</v>
      </c>
      <c r="D107" s="3" t="s">
        <v>6005</v>
      </c>
      <c r="E107" s="3" t="s">
        <v>6006</v>
      </c>
      <c r="F107" s="3"/>
      <c r="G107" s="3" t="s">
        <v>149</v>
      </c>
      <c r="H107" s="3"/>
      <c r="I107" s="3"/>
      <c r="J107" s="3" t="s">
        <v>516</v>
      </c>
      <c r="K107" s="3"/>
      <c r="L107" s="3" t="s">
        <v>517</v>
      </c>
      <c r="M107" s="3" t="str">
        <f>HYPERLINK("https://ceds.ed.gov/cedselementdetails.aspx?termid=5024")</f>
        <v>https://ceds.ed.gov/cedselementdetails.aspx?termid=5024</v>
      </c>
      <c r="N107" s="3" t="str">
        <f>HYPERLINK("https://ceds.ed.gov/elementComment.aspx?elementName=Assessment Form Name &amp;elementID=5024", "Click here to submit comment")</f>
        <v>Click here to submit comment</v>
      </c>
    </row>
    <row r="108" spans="1:14" ht="105">
      <c r="A108" s="3" t="s">
        <v>518</v>
      </c>
      <c r="B108" s="3" t="s">
        <v>519</v>
      </c>
      <c r="C108" s="3" t="s">
        <v>13</v>
      </c>
      <c r="D108" s="3" t="s">
        <v>6003</v>
      </c>
      <c r="E108" s="3" t="s">
        <v>5992</v>
      </c>
      <c r="F108" s="3"/>
      <c r="G108" s="3" t="s">
        <v>100</v>
      </c>
      <c r="H108" s="3"/>
      <c r="I108" s="3"/>
      <c r="J108" s="3" t="s">
        <v>520</v>
      </c>
      <c r="K108" s="3"/>
      <c r="L108" s="3" t="s">
        <v>521</v>
      </c>
      <c r="M108" s="3" t="str">
        <f>HYPERLINK("https://ceds.ed.gov/cedselementdetails.aspx?termid=5365")</f>
        <v>https://ceds.ed.gov/cedselementdetails.aspx?termid=5365</v>
      </c>
      <c r="N108" s="3" t="str">
        <f>HYPERLINK("https://ceds.ed.gov/elementComment.aspx?elementName=Assessment Form Number &amp;elementID=5365", "Click here to submit comment")</f>
        <v>Click here to submit comment</v>
      </c>
    </row>
    <row r="109" spans="1:14" ht="150">
      <c r="A109" s="3" t="s">
        <v>522</v>
      </c>
      <c r="B109" s="3" t="s">
        <v>523</v>
      </c>
      <c r="C109" s="3" t="s">
        <v>13</v>
      </c>
      <c r="D109" s="3" t="s">
        <v>6007</v>
      </c>
      <c r="E109" s="3"/>
      <c r="F109" s="3"/>
      <c r="G109" s="3" t="s">
        <v>319</v>
      </c>
      <c r="H109" s="3"/>
      <c r="I109" s="3"/>
      <c r="J109" s="3" t="s">
        <v>524</v>
      </c>
      <c r="K109" s="3"/>
      <c r="L109" s="3" t="s">
        <v>525</v>
      </c>
      <c r="M109" s="3" t="str">
        <f>HYPERLINK("https://ceds.ed.gov/cedselementdetails.aspx?termid=6139")</f>
        <v>https://ceds.ed.gov/cedselementdetails.aspx?termid=6139</v>
      </c>
      <c r="N109" s="3" t="str">
        <f>HYPERLINK("https://ceds.ed.gov/elementComment.aspx?elementName=Assessment Form Platforms Supported &amp;elementID=6139", "Click here to submit comment")</f>
        <v>Click here to submit comment</v>
      </c>
    </row>
    <row r="110" spans="1:14" ht="75">
      <c r="A110" s="3" t="s">
        <v>526</v>
      </c>
      <c r="B110" s="3" t="s">
        <v>527</v>
      </c>
      <c r="C110" s="3" t="s">
        <v>13</v>
      </c>
      <c r="D110" s="3" t="s">
        <v>6008</v>
      </c>
      <c r="E110" s="3"/>
      <c r="F110" s="3"/>
      <c r="G110" s="3" t="s">
        <v>528</v>
      </c>
      <c r="H110" s="3"/>
      <c r="I110" s="3"/>
      <c r="J110" s="3" t="s">
        <v>529</v>
      </c>
      <c r="K110" s="3"/>
      <c r="L110" s="3" t="s">
        <v>530</v>
      </c>
      <c r="M110" s="3" t="str">
        <f>HYPERLINK("https://ceds.ed.gov/cedselementdetails.aspx?termid=5981")</f>
        <v>https://ceds.ed.gov/cedselementdetails.aspx?termid=5981</v>
      </c>
      <c r="N110" s="3" t="str">
        <f>HYPERLINK("https://ceds.ed.gov/elementComment.aspx?elementName=Assessment Form Section GUID &amp;elementID=5981", "Click here to submit comment")</f>
        <v>Click here to submit comment</v>
      </c>
    </row>
    <row r="111" spans="1:14" ht="75">
      <c r="A111" s="3" t="s">
        <v>531</v>
      </c>
      <c r="B111" s="3" t="s">
        <v>532</v>
      </c>
      <c r="C111" s="3" t="s">
        <v>13</v>
      </c>
      <c r="D111" s="3" t="s">
        <v>6008</v>
      </c>
      <c r="E111" s="3"/>
      <c r="F111" s="3"/>
      <c r="G111" s="3" t="s">
        <v>100</v>
      </c>
      <c r="H111" s="3"/>
      <c r="I111" s="3"/>
      <c r="J111" s="3" t="s">
        <v>533</v>
      </c>
      <c r="K111" s="3"/>
      <c r="L111" s="3" t="s">
        <v>534</v>
      </c>
      <c r="M111" s="3" t="str">
        <f>HYPERLINK("https://ceds.ed.gov/cedselementdetails.aspx?termid=6142")</f>
        <v>https://ceds.ed.gov/cedselementdetails.aspx?termid=6142</v>
      </c>
      <c r="N111" s="3" t="str">
        <f>HYPERLINK("https://ceds.ed.gov/elementComment.aspx?elementName=Assessment Form Section Identifier &amp;elementID=6142", "Click here to submit comment")</f>
        <v>Click here to submit comment</v>
      </c>
    </row>
    <row r="112" spans="1:14" ht="150">
      <c r="A112" s="3" t="s">
        <v>535</v>
      </c>
      <c r="B112" s="3" t="s">
        <v>536</v>
      </c>
      <c r="C112" s="3" t="s">
        <v>5963</v>
      </c>
      <c r="D112" s="3" t="s">
        <v>6008</v>
      </c>
      <c r="E112" s="3"/>
      <c r="F112" s="3"/>
      <c r="G112" s="3"/>
      <c r="H112" s="3"/>
      <c r="I112" s="3"/>
      <c r="J112" s="3" t="s">
        <v>537</v>
      </c>
      <c r="K112" s="3"/>
      <c r="L112" s="3" t="s">
        <v>538</v>
      </c>
      <c r="M112" s="3" t="str">
        <f>HYPERLINK("https://ceds.ed.gov/cedselementdetails.aspx?termid=6145")</f>
        <v>https://ceds.ed.gov/cedselementdetails.aspx?termid=6145</v>
      </c>
      <c r="N112" s="3" t="str">
        <f>HYPERLINK("https://ceds.ed.gov/elementComment.aspx?elementName=Assessment Form Section Reentry &amp;elementID=6145", "Click here to submit comment")</f>
        <v>Click here to submit comment</v>
      </c>
    </row>
    <row r="113" spans="1:14" ht="75">
      <c r="A113" s="3" t="s">
        <v>539</v>
      </c>
      <c r="B113" s="3" t="s">
        <v>540</v>
      </c>
      <c r="C113" s="3" t="s">
        <v>5963</v>
      </c>
      <c r="D113" s="3" t="s">
        <v>6008</v>
      </c>
      <c r="E113" s="3"/>
      <c r="F113" s="3"/>
      <c r="G113" s="3"/>
      <c r="H113" s="3"/>
      <c r="I113" s="3"/>
      <c r="J113" s="3" t="s">
        <v>541</v>
      </c>
      <c r="K113" s="3"/>
      <c r="L113" s="3" t="s">
        <v>542</v>
      </c>
      <c r="M113" s="3" t="str">
        <f>HYPERLINK("https://ceds.ed.gov/cedselementdetails.aspx?termid=6144")</f>
        <v>https://ceds.ed.gov/cedselementdetails.aspx?termid=6144</v>
      </c>
      <c r="N113" s="3" t="str">
        <f>HYPERLINK("https://ceds.ed.gov/elementComment.aspx?elementName=Assessment Form Section Sealed &amp;elementID=6144", "Click here to submit comment")</f>
        <v>Click here to submit comment</v>
      </c>
    </row>
    <row r="114" spans="1:14" ht="75">
      <c r="A114" s="3" t="s">
        <v>543</v>
      </c>
      <c r="B114" s="3" t="s">
        <v>544</v>
      </c>
      <c r="C114" s="3" t="s">
        <v>13</v>
      </c>
      <c r="D114" s="3" t="s">
        <v>6008</v>
      </c>
      <c r="E114" s="3"/>
      <c r="F114" s="3"/>
      <c r="G114" s="3" t="s">
        <v>545</v>
      </c>
      <c r="H114" s="3"/>
      <c r="I114" s="3"/>
      <c r="J114" s="3" t="s">
        <v>546</v>
      </c>
      <c r="K114" s="3"/>
      <c r="L114" s="3" t="s">
        <v>547</v>
      </c>
      <c r="M114" s="3" t="str">
        <f>HYPERLINK("https://ceds.ed.gov/cedselementdetails.aspx?termid=5980")</f>
        <v>https://ceds.ed.gov/cedselementdetails.aspx?termid=5980</v>
      </c>
      <c r="N114" s="3" t="str">
        <f>HYPERLINK("https://ceds.ed.gov/elementComment.aspx?elementName=Assessment Form Section Sequence Number &amp;elementID=5980", "Click here to submit comment")</f>
        <v>Click here to submit comment</v>
      </c>
    </row>
    <row r="115" spans="1:14" ht="75">
      <c r="A115" s="3" t="s">
        <v>548</v>
      </c>
      <c r="B115" s="3" t="s">
        <v>549</v>
      </c>
      <c r="C115" s="3" t="s">
        <v>13</v>
      </c>
      <c r="D115" s="3" t="s">
        <v>6008</v>
      </c>
      <c r="E115" s="3"/>
      <c r="F115" s="3"/>
      <c r="G115" s="3" t="s">
        <v>426</v>
      </c>
      <c r="H115" s="3"/>
      <c r="I115" s="3"/>
      <c r="J115" s="3" t="s">
        <v>550</v>
      </c>
      <c r="K115" s="3"/>
      <c r="L115" s="3" t="s">
        <v>551</v>
      </c>
      <c r="M115" s="3" t="str">
        <f>HYPERLINK("https://ceds.ed.gov/cedselementdetails.aspx?termid=6143")</f>
        <v>https://ceds.ed.gov/cedselementdetails.aspx?termid=6143</v>
      </c>
      <c r="N115" s="3" t="str">
        <f>HYPERLINK("https://ceds.ed.gov/elementComment.aspx?elementName=Assessment Form Section Time Limit &amp;elementID=6143", "Click here to submit comment")</f>
        <v>Click here to submit comment</v>
      </c>
    </row>
    <row r="116" spans="1:14" ht="75">
      <c r="A116" s="3" t="s">
        <v>552</v>
      </c>
      <c r="B116" s="3" t="s">
        <v>553</v>
      </c>
      <c r="C116" s="3" t="s">
        <v>13</v>
      </c>
      <c r="D116" s="3" t="s">
        <v>6008</v>
      </c>
      <c r="E116" s="3"/>
      <c r="F116" s="3"/>
      <c r="G116" s="3" t="s">
        <v>100</v>
      </c>
      <c r="H116" s="3"/>
      <c r="I116" s="3"/>
      <c r="J116" s="3" t="s">
        <v>554</v>
      </c>
      <c r="K116" s="3"/>
      <c r="L116" s="3" t="s">
        <v>555</v>
      </c>
      <c r="M116" s="3" t="str">
        <f>HYPERLINK("https://ceds.ed.gov/cedselementdetails.aspx?termid=6140")</f>
        <v>https://ceds.ed.gov/cedselementdetails.aspx?termid=6140</v>
      </c>
      <c r="N116" s="3" t="str">
        <f>HYPERLINK("https://ceds.ed.gov/elementComment.aspx?elementName=Assessment Form Section Version &amp;elementID=6140", "Click here to submit comment")</f>
        <v>Click here to submit comment</v>
      </c>
    </row>
    <row r="117" spans="1:14" ht="60">
      <c r="A117" s="3" t="s">
        <v>556</v>
      </c>
      <c r="B117" s="3" t="s">
        <v>557</v>
      </c>
      <c r="C117" s="3" t="s">
        <v>5963</v>
      </c>
      <c r="D117" s="3" t="s">
        <v>6009</v>
      </c>
      <c r="E117" s="3"/>
      <c r="F117" s="3" t="s">
        <v>66</v>
      </c>
      <c r="G117" s="3"/>
      <c r="H117" s="3" t="s">
        <v>558</v>
      </c>
      <c r="I117" s="3"/>
      <c r="J117" s="3" t="s">
        <v>559</v>
      </c>
      <c r="K117" s="3"/>
      <c r="L117" s="3" t="s">
        <v>560</v>
      </c>
      <c r="M117" s="3" t="str">
        <f>HYPERLINK("https://ceds.ed.gov/cedselementdetails.aspx?termid=6181")</f>
        <v>https://ceds.ed.gov/cedselementdetails.aspx?termid=6181</v>
      </c>
      <c r="N117" s="3" t="str">
        <f>HYPERLINK("https://ceds.ed.gov/elementComment.aspx?elementName=Assessment Form Subtest Container Only &amp;elementID=6181", "Click here to submit comment")</f>
        <v>Click here to submit comment</v>
      </c>
    </row>
    <row r="118" spans="1:14" ht="150">
      <c r="A118" s="3" t="s">
        <v>561</v>
      </c>
      <c r="B118" s="3" t="s">
        <v>562</v>
      </c>
      <c r="C118" s="3" t="s">
        <v>13</v>
      </c>
      <c r="D118" s="3" t="s">
        <v>6010</v>
      </c>
      <c r="E118" s="3"/>
      <c r="F118" s="3"/>
      <c r="G118" s="3" t="s">
        <v>545</v>
      </c>
      <c r="H118" s="3"/>
      <c r="I118" s="3"/>
      <c r="J118" s="3" t="s">
        <v>563</v>
      </c>
      <c r="K118" s="3"/>
      <c r="L118" s="3" t="s">
        <v>564</v>
      </c>
      <c r="M118" s="3" t="str">
        <f>HYPERLINK("https://ceds.ed.gov/cedselementdetails.aspx?termid=6013")</f>
        <v>https://ceds.ed.gov/cedselementdetails.aspx?termid=6013</v>
      </c>
      <c r="N118" s="3" t="str">
        <f>HYPERLINK("https://ceds.ed.gov/elementComment.aspx?elementName=Assessment Form Subtest Item Weight Correct &amp;elementID=6013", "Click here to submit comment")</f>
        <v>Click here to submit comment</v>
      </c>
    </row>
    <row r="119" spans="1:14" ht="105">
      <c r="A119" s="3" t="s">
        <v>565</v>
      </c>
      <c r="B119" s="3" t="s">
        <v>566</v>
      </c>
      <c r="C119" s="3" t="s">
        <v>13</v>
      </c>
      <c r="D119" s="3" t="s">
        <v>6010</v>
      </c>
      <c r="E119" s="3"/>
      <c r="F119" s="3"/>
      <c r="G119" s="3" t="s">
        <v>545</v>
      </c>
      <c r="H119" s="3"/>
      <c r="I119" s="3"/>
      <c r="J119" s="3" t="s">
        <v>567</v>
      </c>
      <c r="K119" s="3"/>
      <c r="L119" s="3" t="s">
        <v>568</v>
      </c>
      <c r="M119" s="3" t="str">
        <f>HYPERLINK("https://ceds.ed.gov/cedselementdetails.aspx?termid=6014")</f>
        <v>https://ceds.ed.gov/cedselementdetails.aspx?termid=6014</v>
      </c>
      <c r="N119" s="3" t="str">
        <f>HYPERLINK("https://ceds.ed.gov/elementComment.aspx?elementName=Assessment Form Subtest Item Weight Incorrect &amp;elementID=6014", "Click here to submit comment")</f>
        <v>Click here to submit comment</v>
      </c>
    </row>
    <row r="120" spans="1:14" ht="105">
      <c r="A120" s="3" t="s">
        <v>569</v>
      </c>
      <c r="B120" s="3" t="s">
        <v>570</v>
      </c>
      <c r="C120" s="3" t="s">
        <v>13</v>
      </c>
      <c r="D120" s="3" t="s">
        <v>6010</v>
      </c>
      <c r="E120" s="3"/>
      <c r="F120" s="3"/>
      <c r="G120" s="3" t="s">
        <v>545</v>
      </c>
      <c r="H120" s="3"/>
      <c r="I120" s="3"/>
      <c r="J120" s="3" t="s">
        <v>571</v>
      </c>
      <c r="K120" s="3"/>
      <c r="L120" s="3" t="s">
        <v>572</v>
      </c>
      <c r="M120" s="3" t="str">
        <f>HYPERLINK("https://ceds.ed.gov/cedselementdetails.aspx?termid=6015")</f>
        <v>https://ceds.ed.gov/cedselementdetails.aspx?termid=6015</v>
      </c>
      <c r="N120" s="3" t="str">
        <f>HYPERLINK("https://ceds.ed.gov/elementComment.aspx?elementName=Assessment Form Subtest Item Weight Not Attempted &amp;elementID=6015", "Click here to submit comment")</f>
        <v>Click here to submit comment</v>
      </c>
    </row>
    <row r="121" spans="1:14" ht="60">
      <c r="A121" s="3" t="s">
        <v>573</v>
      </c>
      <c r="B121" s="3" t="s">
        <v>574</v>
      </c>
      <c r="C121" s="3" t="s">
        <v>13</v>
      </c>
      <c r="D121" s="3" t="s">
        <v>6009</v>
      </c>
      <c r="E121" s="3"/>
      <c r="F121" s="3"/>
      <c r="G121" s="3" t="s">
        <v>575</v>
      </c>
      <c r="H121" s="3"/>
      <c r="I121" s="3"/>
      <c r="J121" s="3" t="s">
        <v>576</v>
      </c>
      <c r="K121" s="3"/>
      <c r="L121" s="3" t="s">
        <v>577</v>
      </c>
      <c r="M121" s="3" t="str">
        <f>HYPERLINK("https://ceds.ed.gov/cedselementdetails.aspx?termid=6180")</f>
        <v>https://ceds.ed.gov/cedselementdetails.aspx?termid=6180</v>
      </c>
      <c r="N121" s="3" t="str">
        <f>HYPERLINK("https://ceds.ed.gov/elementComment.aspx?elementName=Assessment Form Subtest Tier &amp;elementID=6180", "Click here to submit comment")</f>
        <v>Click here to submit comment</v>
      </c>
    </row>
    <row r="122" spans="1:14" ht="60">
      <c r="A122" s="3" t="s">
        <v>578</v>
      </c>
      <c r="B122" s="3" t="s">
        <v>579</v>
      </c>
      <c r="C122" s="3" t="s">
        <v>13</v>
      </c>
      <c r="D122" s="3" t="s">
        <v>6004</v>
      </c>
      <c r="E122" s="3"/>
      <c r="F122" s="3"/>
      <c r="G122" s="3" t="s">
        <v>100</v>
      </c>
      <c r="H122" s="3"/>
      <c r="I122" s="3"/>
      <c r="J122" s="3" t="s">
        <v>580</v>
      </c>
      <c r="K122" s="3"/>
      <c r="L122" s="3" t="s">
        <v>581</v>
      </c>
      <c r="M122" s="3" t="str">
        <f>HYPERLINK("https://ceds.ed.gov/cedselementdetails.aspx?termid=6134")</f>
        <v>https://ceds.ed.gov/cedselementdetails.aspx?termid=6134</v>
      </c>
      <c r="N122" s="3" t="str">
        <f>HYPERLINK("https://ceds.ed.gov/elementComment.aspx?elementName=Assessment Form Version &amp;elementID=6134", "Click here to submit comment")</f>
        <v>Click here to submit comment</v>
      </c>
    </row>
    <row r="123" spans="1:14" ht="75">
      <c r="A123" s="3" t="s">
        <v>582</v>
      </c>
      <c r="B123" s="3" t="s">
        <v>583</v>
      </c>
      <c r="C123" s="3" t="s">
        <v>13</v>
      </c>
      <c r="D123" s="3" t="s">
        <v>6011</v>
      </c>
      <c r="E123" s="3"/>
      <c r="F123" s="3"/>
      <c r="G123" s="3" t="s">
        <v>528</v>
      </c>
      <c r="H123" s="3"/>
      <c r="I123" s="3"/>
      <c r="J123" s="3" t="s">
        <v>584</v>
      </c>
      <c r="K123" s="3"/>
      <c r="L123" s="3" t="s">
        <v>585</v>
      </c>
      <c r="M123" s="3" t="str">
        <f>HYPERLINK("https://ceds.ed.gov/cedselementdetails.aspx?termid=5982")</f>
        <v>https://ceds.ed.gov/cedselementdetails.aspx?termid=5982</v>
      </c>
      <c r="N123" s="3" t="str">
        <f>HYPERLINK("https://ceds.ed.gov/elementComment.aspx?elementName=Assessment GUID &amp;elementID=5982", "Click here to submit comment")</f>
        <v>Click here to submit comment</v>
      </c>
    </row>
    <row r="124" spans="1:14" ht="165">
      <c r="A124" s="3" t="s">
        <v>586</v>
      </c>
      <c r="B124" s="3" t="s">
        <v>587</v>
      </c>
      <c r="C124" s="4" t="s">
        <v>6382</v>
      </c>
      <c r="D124" s="3" t="s">
        <v>6012</v>
      </c>
      <c r="E124" s="3" t="s">
        <v>6013</v>
      </c>
      <c r="F124" s="3"/>
      <c r="G124" s="3"/>
      <c r="H124" s="3"/>
      <c r="I124" s="3"/>
      <c r="J124" s="3" t="s">
        <v>588</v>
      </c>
      <c r="K124" s="3"/>
      <c r="L124" s="3" t="s">
        <v>589</v>
      </c>
      <c r="M124" s="3" t="str">
        <f>HYPERLINK("https://ceds.ed.gov/cedselementdetails.aspx?termid=5158")</f>
        <v>https://ceds.ed.gov/cedselementdetails.aspx?termid=5158</v>
      </c>
      <c r="N124" s="3" t="str">
        <f>HYPERLINK("https://ceds.ed.gov/elementComment.aspx?elementName=Assessment Identification System &amp;elementID=5158", "Click here to submit comment")</f>
        <v>Click here to submit comment</v>
      </c>
    </row>
    <row r="125" spans="1:14" ht="165">
      <c r="A125" s="3" t="s">
        <v>590</v>
      </c>
      <c r="B125" s="3" t="s">
        <v>591</v>
      </c>
      <c r="C125" s="3" t="s">
        <v>13</v>
      </c>
      <c r="D125" s="3" t="s">
        <v>6014</v>
      </c>
      <c r="E125" s="3" t="s">
        <v>6015</v>
      </c>
      <c r="F125" s="3"/>
      <c r="G125" s="3" t="s">
        <v>100</v>
      </c>
      <c r="H125" s="3"/>
      <c r="I125" s="3"/>
      <c r="J125" s="3" t="s">
        <v>592</v>
      </c>
      <c r="K125" s="3"/>
      <c r="L125" s="3" t="s">
        <v>593</v>
      </c>
      <c r="M125" s="3" t="str">
        <f>HYPERLINK("https://ceds.ed.gov/cedselementdetails.aspx?termid=5152")</f>
        <v>https://ceds.ed.gov/cedselementdetails.aspx?termid=5152</v>
      </c>
      <c r="N125" s="3" t="str">
        <f>HYPERLINK("https://ceds.ed.gov/elementComment.aspx?elementName=Assessment Identifier &amp;elementID=5152", "Click here to submit comment")</f>
        <v>Click here to submit comment</v>
      </c>
    </row>
    <row r="126" spans="1:14" ht="75">
      <c r="A126" s="3" t="s">
        <v>594</v>
      </c>
      <c r="B126" s="3" t="s">
        <v>595</v>
      </c>
      <c r="C126" s="3" t="s">
        <v>5963</v>
      </c>
      <c r="D126" s="3" t="s">
        <v>6016</v>
      </c>
      <c r="E126" s="3"/>
      <c r="F126" s="3"/>
      <c r="G126" s="3"/>
      <c r="H126" s="3"/>
      <c r="I126" s="3"/>
      <c r="J126" s="3" t="s">
        <v>596</v>
      </c>
      <c r="K126" s="3"/>
      <c r="L126" s="3" t="s">
        <v>597</v>
      </c>
      <c r="M126" s="3" t="str">
        <f>HYPERLINK("https://ceds.ed.gov/cedselementdetails.aspx?termid=6111")</f>
        <v>https://ceds.ed.gov/cedselementdetails.aspx?termid=6111</v>
      </c>
      <c r="N126" s="3" t="str">
        <f>HYPERLINK("https://ceds.ed.gov/elementComment.aspx?elementName=Assessment Item Adaptive Indicator &amp;elementID=6111", "Click here to submit comment")</f>
        <v>Click here to submit comment</v>
      </c>
    </row>
    <row r="127" spans="1:14" ht="105">
      <c r="A127" s="3" t="s">
        <v>598</v>
      </c>
      <c r="B127" s="3" t="s">
        <v>599</v>
      </c>
      <c r="C127" s="3" t="s">
        <v>13</v>
      </c>
      <c r="D127" s="3" t="s">
        <v>6017</v>
      </c>
      <c r="E127" s="3" t="s">
        <v>6018</v>
      </c>
      <c r="F127" s="3"/>
      <c r="G127" s="3" t="s">
        <v>426</v>
      </c>
      <c r="H127" s="3"/>
      <c r="I127" s="3"/>
      <c r="J127" s="3" t="s">
        <v>600</v>
      </c>
      <c r="K127" s="3"/>
      <c r="L127" s="3" t="s">
        <v>601</v>
      </c>
      <c r="M127" s="3" t="str">
        <f>HYPERLINK("https://ceds.ed.gov/cedselementdetails.aspx?termid=5395")</f>
        <v>https://ceds.ed.gov/cedselementdetails.aspx?termid=5395</v>
      </c>
      <c r="N127" s="3" t="str">
        <f>HYPERLINK("https://ceds.ed.gov/elementComment.aspx?elementName=Assessment Item Allotted Time &amp;elementID=5395", "Click here to submit comment")</f>
        <v>Click here to submit comment</v>
      </c>
    </row>
    <row r="128" spans="1:14" ht="195">
      <c r="A128" s="3" t="s">
        <v>602</v>
      </c>
      <c r="B128" s="3" t="s">
        <v>603</v>
      </c>
      <c r="C128" s="3" t="s">
        <v>13</v>
      </c>
      <c r="D128" s="3" t="s">
        <v>6016</v>
      </c>
      <c r="E128" s="3"/>
      <c r="F128" s="3"/>
      <c r="G128" s="3" t="s">
        <v>319</v>
      </c>
      <c r="H128" s="3"/>
      <c r="I128" s="3"/>
      <c r="J128" s="3" t="s">
        <v>604</v>
      </c>
      <c r="K128" s="3"/>
      <c r="L128" s="3" t="s">
        <v>605</v>
      </c>
      <c r="M128" s="3" t="str">
        <f>HYPERLINK("https://ceds.ed.gov/cedselementdetails.aspx?termid=6110")</f>
        <v>https://ceds.ed.gov/cedselementdetails.aspx?termid=6110</v>
      </c>
      <c r="N128" s="3" t="str">
        <f>HYPERLINK("https://ceds.ed.gov/elementComment.aspx?elementName=Assessment Item APIP Item Body XML &amp;elementID=6110", "Click here to submit comment")</f>
        <v>Click here to submit comment</v>
      </c>
    </row>
    <row r="129" spans="1:14" ht="150">
      <c r="A129" s="3" t="s">
        <v>606</v>
      </c>
      <c r="B129" s="3" t="s">
        <v>607</v>
      </c>
      <c r="C129" s="3" t="s">
        <v>13</v>
      </c>
      <c r="D129" s="3" t="s">
        <v>6016</v>
      </c>
      <c r="E129" s="3"/>
      <c r="F129" s="3"/>
      <c r="G129" s="3" t="s">
        <v>319</v>
      </c>
      <c r="H129" s="3"/>
      <c r="I129" s="3"/>
      <c r="J129" s="3" t="s">
        <v>608</v>
      </c>
      <c r="K129" s="3"/>
      <c r="L129" s="3" t="s">
        <v>609</v>
      </c>
      <c r="M129" s="3" t="str">
        <f>HYPERLINK("https://ceds.ed.gov/cedselementdetails.aspx?termid=6109")</f>
        <v>https://ceds.ed.gov/cedselementdetails.aspx?termid=6109</v>
      </c>
      <c r="N129" s="3" t="str">
        <f>HYPERLINK("https://ceds.ed.gov/elementComment.aspx?elementName=Assessment Item APIP Modal Feedback XML &amp;elementID=6109", "Click here to submit comment")</f>
        <v>Click here to submit comment</v>
      </c>
    </row>
    <row r="130" spans="1:14" ht="105">
      <c r="A130" s="3" t="s">
        <v>610</v>
      </c>
      <c r="B130" s="3" t="s">
        <v>611</v>
      </c>
      <c r="C130" s="3" t="s">
        <v>13</v>
      </c>
      <c r="D130" s="3" t="s">
        <v>6016</v>
      </c>
      <c r="E130" s="3"/>
      <c r="F130" s="3"/>
      <c r="G130" s="3" t="s">
        <v>319</v>
      </c>
      <c r="H130" s="3"/>
      <c r="I130" s="3"/>
      <c r="J130" s="3" t="s">
        <v>612</v>
      </c>
      <c r="K130" s="3"/>
      <c r="L130" s="3" t="s">
        <v>613</v>
      </c>
      <c r="M130" s="3" t="str">
        <f>HYPERLINK("https://ceds.ed.gov/cedselementdetails.aspx?termid=6106")</f>
        <v>https://ceds.ed.gov/cedselementdetails.aspx?termid=6106</v>
      </c>
      <c r="N130" s="3" t="str">
        <f>HYPERLINK("https://ceds.ed.gov/elementComment.aspx?elementName=Assessment Item APIP Outcome Declaration XML &amp;elementID=6106", "Click here to submit comment")</f>
        <v>Click here to submit comment</v>
      </c>
    </row>
    <row r="131" spans="1:14" ht="90">
      <c r="A131" s="3" t="s">
        <v>614</v>
      </c>
      <c r="B131" s="3" t="s">
        <v>615</v>
      </c>
      <c r="C131" s="3" t="s">
        <v>13</v>
      </c>
      <c r="D131" s="3" t="s">
        <v>6016</v>
      </c>
      <c r="E131" s="3"/>
      <c r="F131" s="3"/>
      <c r="G131" s="3" t="s">
        <v>319</v>
      </c>
      <c r="H131" s="3"/>
      <c r="I131" s="3"/>
      <c r="J131" s="3" t="s">
        <v>616</v>
      </c>
      <c r="K131" s="3"/>
      <c r="L131" s="3" t="s">
        <v>617</v>
      </c>
      <c r="M131" s="3" t="str">
        <f>HYPERLINK("https://ceds.ed.gov/cedselementdetails.aspx?termid=6105")</f>
        <v>https://ceds.ed.gov/cedselementdetails.aspx?termid=6105</v>
      </c>
      <c r="N131" s="3" t="str">
        <f>HYPERLINK("https://ceds.ed.gov/elementComment.aspx?elementName=Assessment Item APIP Response Declaration XML &amp;elementID=6105", "Click here to submit comment")</f>
        <v>Click here to submit comment</v>
      </c>
    </row>
    <row r="132" spans="1:14" ht="180">
      <c r="A132" s="3" t="s">
        <v>618</v>
      </c>
      <c r="B132" s="3" t="s">
        <v>619</v>
      </c>
      <c r="C132" s="3" t="s">
        <v>13</v>
      </c>
      <c r="D132" s="3" t="s">
        <v>6016</v>
      </c>
      <c r="E132" s="3"/>
      <c r="F132" s="3"/>
      <c r="G132" s="3" t="s">
        <v>319</v>
      </c>
      <c r="H132" s="3"/>
      <c r="I132" s="3"/>
      <c r="J132" s="3" t="s">
        <v>620</v>
      </c>
      <c r="K132" s="3"/>
      <c r="L132" s="3" t="s">
        <v>621</v>
      </c>
      <c r="M132" s="3" t="str">
        <f>HYPERLINK("https://ceds.ed.gov/cedselementdetails.aspx?termid=6103")</f>
        <v>https://ceds.ed.gov/cedselementdetails.aspx?termid=6103</v>
      </c>
      <c r="N132" s="3" t="str">
        <f>HYPERLINK("https://ceds.ed.gov/elementComment.aspx?elementName=Assessment Item APIP Response Processing Template URL &amp;elementID=6103", "Click here to submit comment")</f>
        <v>Click here to submit comment</v>
      </c>
    </row>
    <row r="133" spans="1:14" ht="180">
      <c r="A133" s="3" t="s">
        <v>622</v>
      </c>
      <c r="B133" s="3" t="s">
        <v>623</v>
      </c>
      <c r="C133" s="3" t="s">
        <v>13</v>
      </c>
      <c r="D133" s="3" t="s">
        <v>6016</v>
      </c>
      <c r="E133" s="3"/>
      <c r="F133" s="3"/>
      <c r="G133" s="3" t="s">
        <v>319</v>
      </c>
      <c r="H133" s="3"/>
      <c r="I133" s="3"/>
      <c r="J133" s="3" t="s">
        <v>624</v>
      </c>
      <c r="K133" s="3"/>
      <c r="L133" s="3" t="s">
        <v>625</v>
      </c>
      <c r="M133" s="3" t="str">
        <f>HYPERLINK("https://ceds.ed.gov/cedselementdetails.aspx?termid=6104")</f>
        <v>https://ceds.ed.gov/cedselementdetails.aspx?termid=6104</v>
      </c>
      <c r="N133" s="3" t="str">
        <f>HYPERLINK("https://ceds.ed.gov/elementComment.aspx?elementName=Assessment Item APIP Response Processing XML &amp;elementID=6104", "Click here to submit comment")</f>
        <v>Click here to submit comment</v>
      </c>
    </row>
    <row r="134" spans="1:14" ht="180">
      <c r="A134" s="3" t="s">
        <v>626</v>
      </c>
      <c r="B134" s="3" t="s">
        <v>627</v>
      </c>
      <c r="C134" s="3" t="s">
        <v>13</v>
      </c>
      <c r="D134" s="3" t="s">
        <v>6016</v>
      </c>
      <c r="E134" s="3"/>
      <c r="F134" s="3"/>
      <c r="G134" s="3" t="s">
        <v>319</v>
      </c>
      <c r="H134" s="3"/>
      <c r="I134" s="3"/>
      <c r="J134" s="3" t="s">
        <v>628</v>
      </c>
      <c r="K134" s="3"/>
      <c r="L134" s="3" t="s">
        <v>629</v>
      </c>
      <c r="M134" s="3" t="str">
        <f>HYPERLINK("https://ceds.ed.gov/cedselementdetails.aspx?termid=6107")</f>
        <v>https://ceds.ed.gov/cedselementdetails.aspx?termid=6107</v>
      </c>
      <c r="N134" s="3" t="str">
        <f>HYPERLINK("https://ceds.ed.gov/elementComment.aspx?elementName=Assessment Item APIP Template Declaration XML &amp;elementID=6107", "Click here to submit comment")</f>
        <v>Click here to submit comment</v>
      </c>
    </row>
    <row r="135" spans="1:14" ht="165">
      <c r="A135" s="3" t="s">
        <v>630</v>
      </c>
      <c r="B135" s="3" t="s">
        <v>631</v>
      </c>
      <c r="C135" s="3" t="s">
        <v>13</v>
      </c>
      <c r="D135" s="3" t="s">
        <v>6016</v>
      </c>
      <c r="E135" s="3"/>
      <c r="F135" s="3"/>
      <c r="G135" s="3" t="s">
        <v>319</v>
      </c>
      <c r="H135" s="3"/>
      <c r="I135" s="3"/>
      <c r="J135" s="3" t="s">
        <v>632</v>
      </c>
      <c r="K135" s="3"/>
      <c r="L135" s="3" t="s">
        <v>633</v>
      </c>
      <c r="M135" s="3" t="str">
        <f>HYPERLINK("https://ceds.ed.gov/cedselementdetails.aspx?termid=6108")</f>
        <v>https://ceds.ed.gov/cedselementdetails.aspx?termid=6108</v>
      </c>
      <c r="N135" s="3" t="str">
        <f>HYPERLINK("https://ceds.ed.gov/elementComment.aspx?elementName=Assessment Item APIP Template Processing XML &amp;elementID=6108", "Click here to submit comment")</f>
        <v>Click here to submit comment</v>
      </c>
    </row>
    <row r="136" spans="1:14" ht="60">
      <c r="A136" s="3" t="s">
        <v>634</v>
      </c>
      <c r="B136" s="3" t="s">
        <v>635</v>
      </c>
      <c r="C136" s="3" t="s">
        <v>13</v>
      </c>
      <c r="D136" s="3" t="s">
        <v>6019</v>
      </c>
      <c r="E136" s="3"/>
      <c r="F136" s="3"/>
      <c r="G136" s="3" t="s">
        <v>100</v>
      </c>
      <c r="H136" s="3"/>
      <c r="I136" s="3"/>
      <c r="J136" s="3" t="s">
        <v>636</v>
      </c>
      <c r="K136" s="3"/>
      <c r="L136" s="3" t="s">
        <v>637</v>
      </c>
      <c r="M136" s="3" t="str">
        <f>HYPERLINK("https://ceds.ed.gov/cedselementdetails.aspx?termid=6132")</f>
        <v>https://ceds.ed.gov/cedselementdetails.aspx?termid=6132</v>
      </c>
      <c r="N136" s="3" t="str">
        <f>HYPERLINK("https://ceds.ed.gov/elementComment.aspx?elementName=Assessment Item Bank Identifier &amp;elementID=6132", "Click here to submit comment")</f>
        <v>Click here to submit comment</v>
      </c>
    </row>
    <row r="137" spans="1:14" ht="60">
      <c r="A137" s="3" t="s">
        <v>638</v>
      </c>
      <c r="B137" s="3" t="s">
        <v>639</v>
      </c>
      <c r="C137" s="3" t="s">
        <v>13</v>
      </c>
      <c r="D137" s="3" t="s">
        <v>6019</v>
      </c>
      <c r="E137" s="3"/>
      <c r="F137" s="3"/>
      <c r="G137" s="3" t="s">
        <v>106</v>
      </c>
      <c r="H137" s="3"/>
      <c r="I137" s="3"/>
      <c r="J137" s="3" t="s">
        <v>640</v>
      </c>
      <c r="K137" s="3"/>
      <c r="L137" s="3" t="s">
        <v>641</v>
      </c>
      <c r="M137" s="3" t="str">
        <f>HYPERLINK("https://ceds.ed.gov/cedselementdetails.aspx?termid=6133")</f>
        <v>https://ceds.ed.gov/cedselementdetails.aspx?termid=6133</v>
      </c>
      <c r="N137" s="3" t="str">
        <f>HYPERLINK("https://ceds.ed.gov/elementComment.aspx?elementName=Assessment Item Bank Name &amp;elementID=6133", "Click here to submit comment")</f>
        <v>Click here to submit comment</v>
      </c>
    </row>
    <row r="138" spans="1:14" ht="90">
      <c r="A138" s="3" t="s">
        <v>642</v>
      </c>
      <c r="B138" s="3" t="s">
        <v>643</v>
      </c>
      <c r="C138" s="3" t="s">
        <v>13</v>
      </c>
      <c r="D138" s="3" t="s">
        <v>6020</v>
      </c>
      <c r="E138" s="3"/>
      <c r="F138" s="3"/>
      <c r="G138" s="3" t="s">
        <v>319</v>
      </c>
      <c r="H138" s="3"/>
      <c r="I138" s="3"/>
      <c r="J138" s="3" t="s">
        <v>644</v>
      </c>
      <c r="K138" s="3"/>
      <c r="L138" s="3" t="s">
        <v>645</v>
      </c>
      <c r="M138" s="3" t="str">
        <f>HYPERLINK("https://ceds.ed.gov/cedselementdetails.aspx?termid=6100")</f>
        <v>https://ceds.ed.gov/cedselementdetails.aspx?termid=6100</v>
      </c>
      <c r="N138" s="3" t="str">
        <f>HYPERLINK("https://ceds.ed.gov/elementComment.aspx?elementName=Assessment Item Body Associate Interaction XML &amp;elementID=6100", "Click here to submit comment")</f>
        <v>Click here to submit comment</v>
      </c>
    </row>
    <row r="139" spans="1:14" ht="120">
      <c r="A139" s="3" t="s">
        <v>646</v>
      </c>
      <c r="B139" s="3" t="s">
        <v>647</v>
      </c>
      <c r="C139" s="3" t="s">
        <v>13</v>
      </c>
      <c r="D139" s="3" t="s">
        <v>6020</v>
      </c>
      <c r="E139" s="3"/>
      <c r="F139" s="3"/>
      <c r="G139" s="3" t="s">
        <v>319</v>
      </c>
      <c r="H139" s="3"/>
      <c r="I139" s="3"/>
      <c r="J139" s="3" t="s">
        <v>648</v>
      </c>
      <c r="K139" s="3"/>
      <c r="L139" s="3" t="s">
        <v>649</v>
      </c>
      <c r="M139" s="3" t="str">
        <f>HYPERLINK("https://ceds.ed.gov/cedselementdetails.aspx?termid=6090")</f>
        <v>https://ceds.ed.gov/cedselementdetails.aspx?termid=6090</v>
      </c>
      <c r="N139" s="3" t="str">
        <f>HYPERLINK("https://ceds.ed.gov/elementComment.aspx?elementName=Assessment Item Body Choice Interaction XML &amp;elementID=6090", "Click here to submit comment")</f>
        <v>Click here to submit comment</v>
      </c>
    </row>
    <row r="140" spans="1:14" ht="105">
      <c r="A140" s="3" t="s">
        <v>650</v>
      </c>
      <c r="B140" s="3" t="s">
        <v>651</v>
      </c>
      <c r="C140" s="3" t="s">
        <v>13</v>
      </c>
      <c r="D140" s="3" t="s">
        <v>6021</v>
      </c>
      <c r="E140" s="3"/>
      <c r="F140" s="3"/>
      <c r="G140" s="3" t="s">
        <v>319</v>
      </c>
      <c r="H140" s="3"/>
      <c r="I140" s="3"/>
      <c r="J140" s="3" t="s">
        <v>652</v>
      </c>
      <c r="K140" s="3"/>
      <c r="L140" s="3" t="s">
        <v>653</v>
      </c>
      <c r="M140" s="3" t="str">
        <f>HYPERLINK("https://ceds.ed.gov/cedselementdetails.aspx?termid=6079")</f>
        <v>https://ceds.ed.gov/cedselementdetails.aspx?termid=6079</v>
      </c>
      <c r="N140" s="3" t="str">
        <f>HYPERLINK("https://ceds.ed.gov/elementComment.aspx?elementName=Assessment Item Body Custom Interaction XML &amp;elementID=6079", "Click here to submit comment")</f>
        <v>Click here to submit comment</v>
      </c>
    </row>
    <row r="141" spans="1:14" ht="150">
      <c r="A141" s="3" t="s">
        <v>654</v>
      </c>
      <c r="B141" s="3" t="s">
        <v>655</v>
      </c>
      <c r="C141" s="3" t="s">
        <v>13</v>
      </c>
      <c r="D141" s="3" t="s">
        <v>6020</v>
      </c>
      <c r="E141" s="3"/>
      <c r="F141" s="3"/>
      <c r="G141" s="3" t="s">
        <v>319</v>
      </c>
      <c r="H141" s="3"/>
      <c r="I141" s="3"/>
      <c r="J141" s="3" t="s">
        <v>656</v>
      </c>
      <c r="K141" s="3"/>
      <c r="L141" s="3" t="s">
        <v>657</v>
      </c>
      <c r="M141" s="3" t="str">
        <f>HYPERLINK("https://ceds.ed.gov/cedselementdetails.aspx?termid=6080")</f>
        <v>https://ceds.ed.gov/cedselementdetails.aspx?termid=6080</v>
      </c>
      <c r="N141" s="3" t="str">
        <f>HYPERLINK("https://ceds.ed.gov/elementComment.aspx?elementName=Assessment Item Body Drawing Interaction XML &amp;elementID=6080", "Click here to submit comment")</f>
        <v>Click here to submit comment</v>
      </c>
    </row>
    <row r="142" spans="1:14" ht="195">
      <c r="A142" s="3" t="s">
        <v>658</v>
      </c>
      <c r="B142" s="3" t="s">
        <v>659</v>
      </c>
      <c r="C142" s="3" t="s">
        <v>13</v>
      </c>
      <c r="D142" s="3" t="s">
        <v>6020</v>
      </c>
      <c r="E142" s="3"/>
      <c r="F142" s="3"/>
      <c r="G142" s="3" t="s">
        <v>319</v>
      </c>
      <c r="H142" s="3"/>
      <c r="I142" s="3"/>
      <c r="J142" s="3" t="s">
        <v>660</v>
      </c>
      <c r="K142" s="3"/>
      <c r="L142" s="3" t="s">
        <v>661</v>
      </c>
      <c r="M142" s="3" t="str">
        <f>HYPERLINK("https://ceds.ed.gov/cedselementdetails.aspx?termid=6098")</f>
        <v>https://ceds.ed.gov/cedselementdetails.aspx?termid=6098</v>
      </c>
      <c r="N142" s="3" t="str">
        <f>HYPERLINK("https://ceds.ed.gov/elementComment.aspx?elementName=Assessment Item Body End Attempt Interaction XML &amp;elementID=6098", "Click here to submit comment")</f>
        <v>Click here to submit comment</v>
      </c>
    </row>
    <row r="143" spans="1:14" ht="90">
      <c r="A143" s="3" t="s">
        <v>662</v>
      </c>
      <c r="B143" s="3" t="s">
        <v>663</v>
      </c>
      <c r="C143" s="3" t="s">
        <v>13</v>
      </c>
      <c r="D143" s="3" t="s">
        <v>6020</v>
      </c>
      <c r="E143" s="3"/>
      <c r="F143" s="3"/>
      <c r="G143" s="3" t="s">
        <v>319</v>
      </c>
      <c r="H143" s="3"/>
      <c r="I143" s="3"/>
      <c r="J143" s="3" t="s">
        <v>664</v>
      </c>
      <c r="K143" s="3"/>
      <c r="L143" s="3" t="s">
        <v>665</v>
      </c>
      <c r="M143" s="3" t="str">
        <f>HYPERLINK("https://ceds.ed.gov/cedselementdetails.aspx?termid=6097")</f>
        <v>https://ceds.ed.gov/cedselementdetails.aspx?termid=6097</v>
      </c>
      <c r="N143" s="3" t="str">
        <f>HYPERLINK("https://ceds.ed.gov/elementComment.aspx?elementName=Assessment Item Body Extended Text Interaction XML &amp;elementID=6097", "Click here to submit comment")</f>
        <v>Click here to submit comment</v>
      </c>
    </row>
    <row r="144" spans="1:14" ht="120">
      <c r="A144" s="3" t="s">
        <v>666</v>
      </c>
      <c r="B144" s="3" t="s">
        <v>667</v>
      </c>
      <c r="C144" s="3" t="s">
        <v>13</v>
      </c>
      <c r="D144" s="3" t="s">
        <v>6020</v>
      </c>
      <c r="E144" s="3"/>
      <c r="F144" s="3"/>
      <c r="G144" s="3" t="s">
        <v>319</v>
      </c>
      <c r="H144" s="3"/>
      <c r="I144" s="3"/>
      <c r="J144" s="3" t="s">
        <v>668</v>
      </c>
      <c r="K144" s="3"/>
      <c r="L144" s="3" t="s">
        <v>669</v>
      </c>
      <c r="M144" s="3" t="str">
        <f>HYPERLINK("https://ceds.ed.gov/cedselementdetails.aspx?termid=6081")</f>
        <v>https://ceds.ed.gov/cedselementdetails.aspx?termid=6081</v>
      </c>
      <c r="N144" s="3" t="str">
        <f>HYPERLINK("https://ceds.ed.gov/elementComment.aspx?elementName=Assessment Item Body Gap Match Interaction XML &amp;elementID=6081", "Click here to submit comment")</f>
        <v>Click here to submit comment</v>
      </c>
    </row>
    <row r="145" spans="1:14" ht="409.5">
      <c r="A145" s="3" t="s">
        <v>670</v>
      </c>
      <c r="B145" s="3" t="s">
        <v>671</v>
      </c>
      <c r="C145" s="3" t="s">
        <v>13</v>
      </c>
      <c r="D145" s="3" t="s">
        <v>6020</v>
      </c>
      <c r="E145" s="3"/>
      <c r="F145" s="3"/>
      <c r="G145" s="3" t="s">
        <v>319</v>
      </c>
      <c r="H145" s="3"/>
      <c r="I145" s="3"/>
      <c r="J145" s="3" t="s">
        <v>672</v>
      </c>
      <c r="K145" s="3"/>
      <c r="L145" s="3" t="s">
        <v>673</v>
      </c>
      <c r="M145" s="3" t="str">
        <f>HYPERLINK("https://ceds.ed.gov/cedselementdetails.aspx?termid=6083")</f>
        <v>https://ceds.ed.gov/cedselementdetails.aspx?termid=6083</v>
      </c>
      <c r="N145" s="3" t="str">
        <f>HYPERLINK("https://ceds.ed.gov/elementComment.aspx?elementName=Assessment Item Body Graphic Gap Match Interaction XML &amp;elementID=6083", "Click here to submit comment")</f>
        <v>Click here to submit comment</v>
      </c>
    </row>
    <row r="146" spans="1:14" ht="240">
      <c r="A146" s="3" t="s">
        <v>674</v>
      </c>
      <c r="B146" s="3" t="s">
        <v>675</v>
      </c>
      <c r="C146" s="3" t="s">
        <v>13</v>
      </c>
      <c r="D146" s="3" t="s">
        <v>6020</v>
      </c>
      <c r="E146" s="3"/>
      <c r="F146" s="3"/>
      <c r="G146" s="3" t="s">
        <v>319</v>
      </c>
      <c r="H146" s="3"/>
      <c r="I146" s="3"/>
      <c r="J146" s="3" t="s">
        <v>676</v>
      </c>
      <c r="K146" s="3"/>
      <c r="L146" s="3" t="s">
        <v>677</v>
      </c>
      <c r="M146" s="3" t="str">
        <f>HYPERLINK("https://ceds.ed.gov/cedselementdetails.aspx?termid=6085")</f>
        <v>https://ceds.ed.gov/cedselementdetails.aspx?termid=6085</v>
      </c>
      <c r="N146" s="3" t="str">
        <f>HYPERLINK("https://ceds.ed.gov/elementComment.aspx?elementName=Assessment Item Body Graphic Order Interaction XML &amp;elementID=6085", "Click here to submit comment")</f>
        <v>Click here to submit comment</v>
      </c>
    </row>
    <row r="147" spans="1:14" ht="225">
      <c r="A147" s="3" t="s">
        <v>678</v>
      </c>
      <c r="B147" s="3" t="s">
        <v>679</v>
      </c>
      <c r="C147" s="3" t="s">
        <v>13</v>
      </c>
      <c r="D147" s="3" t="s">
        <v>6020</v>
      </c>
      <c r="E147" s="3"/>
      <c r="F147" s="3"/>
      <c r="G147" s="3" t="s">
        <v>319</v>
      </c>
      <c r="H147" s="3"/>
      <c r="I147" s="3"/>
      <c r="J147" s="3" t="s">
        <v>680</v>
      </c>
      <c r="K147" s="3"/>
      <c r="L147" s="3" t="s">
        <v>681</v>
      </c>
      <c r="M147" s="3" t="str">
        <f>HYPERLINK("https://ceds.ed.gov/cedselementdetails.aspx?termid=6084")</f>
        <v>https://ceds.ed.gov/cedselementdetails.aspx?termid=6084</v>
      </c>
      <c r="N147" s="3" t="str">
        <f>HYPERLINK("https://ceds.ed.gov/elementComment.aspx?elementName=Assessment Item Body Hot Spot Interaction XML &amp;elementID=6084", "Click here to submit comment")</f>
        <v>Click here to submit comment</v>
      </c>
    </row>
    <row r="148" spans="1:14" ht="225">
      <c r="A148" s="3" t="s">
        <v>682</v>
      </c>
      <c r="B148" s="3" t="s">
        <v>683</v>
      </c>
      <c r="C148" s="3" t="s">
        <v>13</v>
      </c>
      <c r="D148" s="3" t="s">
        <v>6020</v>
      </c>
      <c r="E148" s="3"/>
      <c r="F148" s="3"/>
      <c r="G148" s="3" t="s">
        <v>319</v>
      </c>
      <c r="H148" s="3"/>
      <c r="I148" s="3"/>
      <c r="J148" s="3" t="s">
        <v>684</v>
      </c>
      <c r="K148" s="3"/>
      <c r="L148" s="3" t="s">
        <v>685</v>
      </c>
      <c r="M148" s="3" t="str">
        <f>HYPERLINK("https://ceds.ed.gov/cedselementdetails.aspx?termid=6093")</f>
        <v>https://ceds.ed.gov/cedselementdetails.aspx?termid=6093</v>
      </c>
      <c r="N148" s="3" t="str">
        <f>HYPERLINK("https://ceds.ed.gov/elementComment.aspx?elementName=Assessment Item Body Hottext Interaction XML &amp;elementID=6093", "Click here to submit comment")</f>
        <v>Click here to submit comment</v>
      </c>
    </row>
    <row r="149" spans="1:14" ht="135">
      <c r="A149" s="3" t="s">
        <v>686</v>
      </c>
      <c r="B149" s="3" t="s">
        <v>687</v>
      </c>
      <c r="C149" s="3" t="s">
        <v>13</v>
      </c>
      <c r="D149" s="3" t="s">
        <v>6020</v>
      </c>
      <c r="E149" s="3"/>
      <c r="F149" s="3"/>
      <c r="G149" s="3" t="s">
        <v>319</v>
      </c>
      <c r="H149" s="3"/>
      <c r="I149" s="3"/>
      <c r="J149" s="3" t="s">
        <v>688</v>
      </c>
      <c r="K149" s="3"/>
      <c r="L149" s="3" t="s">
        <v>689</v>
      </c>
      <c r="M149" s="3" t="str">
        <f>HYPERLINK("https://ceds.ed.gov/cedselementdetails.aspx?termid=6091")</f>
        <v>https://ceds.ed.gov/cedselementdetails.aspx?termid=6091</v>
      </c>
      <c r="N149" s="3" t="str">
        <f>HYPERLINK("https://ceds.ed.gov/elementComment.aspx?elementName=Assessment Item Body Inline Choice Interaction XML &amp;elementID=6091", "Click here to submit comment")</f>
        <v>Click here to submit comment</v>
      </c>
    </row>
    <row r="150" spans="1:14" ht="165">
      <c r="A150" s="3" t="s">
        <v>690</v>
      </c>
      <c r="B150" s="3" t="s">
        <v>691</v>
      </c>
      <c r="C150" s="3" t="s">
        <v>13</v>
      </c>
      <c r="D150" s="3" t="s">
        <v>6020</v>
      </c>
      <c r="E150" s="3"/>
      <c r="F150" s="3"/>
      <c r="G150" s="3" t="s">
        <v>319</v>
      </c>
      <c r="H150" s="3"/>
      <c r="I150" s="3"/>
      <c r="J150" s="3" t="s">
        <v>692</v>
      </c>
      <c r="K150" s="3"/>
      <c r="L150" s="3" t="s">
        <v>693</v>
      </c>
      <c r="M150" s="3" t="str">
        <f>HYPERLINK("https://ceds.ed.gov/cedselementdetails.aspx?termid=6082")</f>
        <v>https://ceds.ed.gov/cedselementdetails.aspx?termid=6082</v>
      </c>
      <c r="N150" s="3" t="str">
        <f>HYPERLINK("https://ceds.ed.gov/elementComment.aspx?elementName=Assessment Item Body Match Interaction XML &amp;elementID=6082", "Click here to submit comment")</f>
        <v>Click here to submit comment</v>
      </c>
    </row>
    <row r="151" spans="1:14" ht="165">
      <c r="A151" s="3" t="s">
        <v>694</v>
      </c>
      <c r="B151" s="3" t="s">
        <v>695</v>
      </c>
      <c r="C151" s="3" t="s">
        <v>13</v>
      </c>
      <c r="D151" s="3" t="s">
        <v>6020</v>
      </c>
      <c r="E151" s="3"/>
      <c r="F151" s="3"/>
      <c r="G151" s="3" t="s">
        <v>319</v>
      </c>
      <c r="H151" s="3"/>
      <c r="I151" s="3"/>
      <c r="J151" s="3" t="s">
        <v>696</v>
      </c>
      <c r="K151" s="3"/>
      <c r="L151" s="3" t="s">
        <v>697</v>
      </c>
      <c r="M151" s="3" t="str">
        <f>HYPERLINK("https://ceds.ed.gov/cedselementdetails.aspx?termid=6092")</f>
        <v>https://ceds.ed.gov/cedselementdetails.aspx?termid=6092</v>
      </c>
      <c r="N151" s="3" t="str">
        <f>HYPERLINK("https://ceds.ed.gov/elementComment.aspx?elementName=Assessment Item Body Media Interaction XML &amp;elementID=6092", "Click here to submit comment")</f>
        <v>Click here to submit comment</v>
      </c>
    </row>
    <row r="152" spans="1:14" ht="195">
      <c r="A152" s="3" t="s">
        <v>698</v>
      </c>
      <c r="B152" s="3" t="s">
        <v>699</v>
      </c>
      <c r="C152" s="3" t="s">
        <v>13</v>
      </c>
      <c r="D152" s="3" t="s">
        <v>6020</v>
      </c>
      <c r="E152" s="3"/>
      <c r="F152" s="3"/>
      <c r="G152" s="3" t="s">
        <v>319</v>
      </c>
      <c r="H152" s="3"/>
      <c r="I152" s="3"/>
      <c r="J152" s="3" t="s">
        <v>700</v>
      </c>
      <c r="K152" s="3"/>
      <c r="L152" s="3" t="s">
        <v>701</v>
      </c>
      <c r="M152" s="3" t="str">
        <f>HYPERLINK("https://ceds.ed.gov/cedselementdetails.aspx?termid=6094")</f>
        <v>https://ceds.ed.gov/cedselementdetails.aspx?termid=6094</v>
      </c>
      <c r="N152" s="3" t="str">
        <f>HYPERLINK("https://ceds.ed.gov/elementComment.aspx?elementName=Assessment Item Body Order Interaction XML &amp;elementID=6094", "Click here to submit comment")</f>
        <v>Click here to submit comment</v>
      </c>
    </row>
    <row r="153" spans="1:14" ht="210">
      <c r="A153" s="3" t="s">
        <v>702</v>
      </c>
      <c r="B153" s="3" t="s">
        <v>703</v>
      </c>
      <c r="C153" s="3" t="s">
        <v>13</v>
      </c>
      <c r="D153" s="3" t="s">
        <v>6020</v>
      </c>
      <c r="E153" s="3"/>
      <c r="F153" s="3"/>
      <c r="G153" s="3" t="s">
        <v>319</v>
      </c>
      <c r="H153" s="3"/>
      <c r="I153" s="3"/>
      <c r="J153" s="3" t="s">
        <v>704</v>
      </c>
      <c r="K153" s="3"/>
      <c r="L153" s="3" t="s">
        <v>705</v>
      </c>
      <c r="M153" s="3" t="str">
        <f>HYPERLINK("https://ceds.ed.gov/cedselementdetails.aspx?termid=6095")</f>
        <v>https://ceds.ed.gov/cedselementdetails.aspx?termid=6095</v>
      </c>
      <c r="N153" s="3" t="str">
        <f>HYPERLINK("https://ceds.ed.gov/elementComment.aspx?elementName=Assessment Item Body Position Object Interaction XML &amp;elementID=6095", "Click here to submit comment")</f>
        <v>Click here to submit comment</v>
      </c>
    </row>
    <row r="154" spans="1:14" ht="240">
      <c r="A154" s="3" t="s">
        <v>706</v>
      </c>
      <c r="B154" s="3" t="s">
        <v>707</v>
      </c>
      <c r="C154" s="3" t="s">
        <v>13</v>
      </c>
      <c r="D154" s="3" t="s">
        <v>6020</v>
      </c>
      <c r="E154" s="3"/>
      <c r="F154" s="3"/>
      <c r="G154" s="3" t="s">
        <v>319</v>
      </c>
      <c r="H154" s="3"/>
      <c r="I154" s="3"/>
      <c r="J154" s="3" t="s">
        <v>708</v>
      </c>
      <c r="K154" s="3"/>
      <c r="L154" s="3" t="s">
        <v>709</v>
      </c>
      <c r="M154" s="3" t="str">
        <f>HYPERLINK("https://ceds.ed.gov/cedselementdetails.aspx?termid=6088")</f>
        <v>https://ceds.ed.gov/cedselementdetails.aspx?termid=6088</v>
      </c>
      <c r="N154" s="3" t="str">
        <f>HYPERLINK("https://ceds.ed.gov/elementComment.aspx?elementName=Assessment Item Body Select Point Interaction &amp;elementID=6088", "Click here to submit comment")</f>
        <v>Click here to submit comment</v>
      </c>
    </row>
    <row r="155" spans="1:14" ht="195">
      <c r="A155" s="3" t="s">
        <v>710</v>
      </c>
      <c r="B155" s="3" t="s">
        <v>711</v>
      </c>
      <c r="C155" s="3" t="s">
        <v>13</v>
      </c>
      <c r="D155" s="3" t="s">
        <v>6020</v>
      </c>
      <c r="E155" s="3"/>
      <c r="F155" s="3"/>
      <c r="G155" s="3" t="s">
        <v>319</v>
      </c>
      <c r="H155" s="3"/>
      <c r="I155" s="3"/>
      <c r="J155" s="3" t="s">
        <v>712</v>
      </c>
      <c r="K155" s="3"/>
      <c r="L155" s="3" t="s">
        <v>713</v>
      </c>
      <c r="M155" s="3" t="str">
        <f>HYPERLINK("https://ceds.ed.gov/cedselementdetails.aspx?termid=6087")</f>
        <v>https://ceds.ed.gov/cedselementdetails.aspx?termid=6087</v>
      </c>
      <c r="N155" s="3" t="str">
        <f>HYPERLINK("https://ceds.ed.gov/elementComment.aspx?elementName=Assessment Item Body Select Point Interaction XML &amp;elementID=6087", "Click here to submit comment")</f>
        <v>Click here to submit comment</v>
      </c>
    </row>
    <row r="156" spans="1:14" ht="135">
      <c r="A156" s="3" t="s">
        <v>714</v>
      </c>
      <c r="B156" s="3" t="s">
        <v>715</v>
      </c>
      <c r="C156" s="3" t="s">
        <v>13</v>
      </c>
      <c r="D156" s="3" t="s">
        <v>6020</v>
      </c>
      <c r="E156" s="3"/>
      <c r="F156" s="3"/>
      <c r="G156" s="3" t="s">
        <v>319</v>
      </c>
      <c r="H156" s="3"/>
      <c r="I156" s="3"/>
      <c r="J156" s="3" t="s">
        <v>716</v>
      </c>
      <c r="K156" s="3"/>
      <c r="L156" s="3" t="s">
        <v>717</v>
      </c>
      <c r="M156" s="3" t="str">
        <f>HYPERLINK("https://ceds.ed.gov/cedselementdetails.aspx?termid=6089")</f>
        <v>https://ceds.ed.gov/cedselementdetails.aspx?termid=6089</v>
      </c>
      <c r="N156" s="3" t="str">
        <f>HYPERLINK("https://ceds.ed.gov/elementComment.aspx?elementName=Assessment Item Body Slider Interaction XML &amp;elementID=6089", "Click here to submit comment")</f>
        <v>Click here to submit comment</v>
      </c>
    </row>
    <row r="157" spans="1:14" ht="60">
      <c r="A157" s="3" t="s">
        <v>718</v>
      </c>
      <c r="B157" s="3" t="s">
        <v>719</v>
      </c>
      <c r="C157" s="3" t="s">
        <v>13</v>
      </c>
      <c r="D157" s="3" t="s">
        <v>6019</v>
      </c>
      <c r="E157" s="3"/>
      <c r="F157" s="3"/>
      <c r="G157" s="3" t="s">
        <v>319</v>
      </c>
      <c r="H157" s="3"/>
      <c r="I157" s="3"/>
      <c r="J157" s="3" t="s">
        <v>720</v>
      </c>
      <c r="K157" s="3"/>
      <c r="L157" s="3" t="s">
        <v>721</v>
      </c>
      <c r="M157" s="3" t="str">
        <f>HYPERLINK("https://ceds.ed.gov/cedselementdetails.aspx?termid=6233")</f>
        <v>https://ceds.ed.gov/cedselementdetails.aspx?termid=6233</v>
      </c>
      <c r="N157" s="3" t="str">
        <f>HYPERLINK("https://ceds.ed.gov/elementComment.aspx?elementName=Assessment Item Body Text &amp;elementID=6233", "Click here to submit comment")</f>
        <v>Click here to submit comment</v>
      </c>
    </row>
    <row r="158" spans="1:14" ht="135">
      <c r="A158" s="3" t="s">
        <v>722</v>
      </c>
      <c r="B158" s="3" t="s">
        <v>723</v>
      </c>
      <c r="C158" s="3" t="s">
        <v>13</v>
      </c>
      <c r="D158" s="3" t="s">
        <v>6020</v>
      </c>
      <c r="E158" s="3"/>
      <c r="F158" s="3"/>
      <c r="G158" s="3" t="s">
        <v>319</v>
      </c>
      <c r="H158" s="3"/>
      <c r="I158" s="3"/>
      <c r="J158" s="3" t="s">
        <v>724</v>
      </c>
      <c r="K158" s="3"/>
      <c r="L158" s="3" t="s">
        <v>725</v>
      </c>
      <c r="M158" s="3" t="str">
        <f>HYPERLINK("https://ceds.ed.gov/cedselementdetails.aspx?termid=6096")</f>
        <v>https://ceds.ed.gov/cedselementdetails.aspx?termid=6096</v>
      </c>
      <c r="N158" s="3" t="str">
        <f>HYPERLINK("https://ceds.ed.gov/elementComment.aspx?elementName=Assessment Item Body Text Entry Interaction XML &amp;elementID=6096", "Click here to submit comment")</f>
        <v>Click here to submit comment</v>
      </c>
    </row>
    <row r="159" spans="1:14" ht="105">
      <c r="A159" s="3" t="s">
        <v>726</v>
      </c>
      <c r="B159" s="3" t="s">
        <v>727</v>
      </c>
      <c r="C159" s="3" t="s">
        <v>13</v>
      </c>
      <c r="D159" s="3" t="s">
        <v>6020</v>
      </c>
      <c r="E159" s="3"/>
      <c r="F159" s="3"/>
      <c r="G159" s="3" t="s">
        <v>319</v>
      </c>
      <c r="H159" s="3"/>
      <c r="I159" s="3"/>
      <c r="J159" s="3" t="s">
        <v>728</v>
      </c>
      <c r="K159" s="3"/>
      <c r="L159" s="3" t="s">
        <v>729</v>
      </c>
      <c r="M159" s="3" t="str">
        <f>HYPERLINK("https://ceds.ed.gov/cedselementdetails.aspx?termid=6099")</f>
        <v>https://ceds.ed.gov/cedselementdetails.aspx?termid=6099</v>
      </c>
      <c r="N159" s="3" t="str">
        <f>HYPERLINK("https://ceds.ed.gov/elementComment.aspx?elementName=Assessment Item Body Upload Interaction XML &amp;elementID=6099", "Click here to submit comment")</f>
        <v>Click here to submit comment</v>
      </c>
    </row>
    <row r="160" spans="1:14" ht="390">
      <c r="A160" s="3" t="s">
        <v>730</v>
      </c>
      <c r="B160" s="3" t="s">
        <v>731</v>
      </c>
      <c r="C160" s="4" t="s">
        <v>6383</v>
      </c>
      <c r="D160" s="3" t="s">
        <v>6022</v>
      </c>
      <c r="E160" s="3" t="s">
        <v>6018</v>
      </c>
      <c r="F160" s="3"/>
      <c r="G160" s="3"/>
      <c r="H160" s="3"/>
      <c r="I160" s="3"/>
      <c r="J160" s="3" t="s">
        <v>732</v>
      </c>
      <c r="K160" s="3"/>
      <c r="L160" s="3" t="s">
        <v>733</v>
      </c>
      <c r="M160" s="3" t="str">
        <f>HYPERLINK("https://ceds.ed.gov/cedselementdetails.aspx?termid=5384")</f>
        <v>https://ceds.ed.gov/cedselementdetails.aspx?termid=5384</v>
      </c>
      <c r="N160" s="3" t="str">
        <f>HYPERLINK("https://ceds.ed.gov/elementComment.aspx?elementName=Assessment Item Characteristic Type &amp;elementID=5384", "Click here to submit comment")</f>
        <v>Click here to submit comment</v>
      </c>
    </row>
    <row r="161" spans="1:14" ht="120">
      <c r="A161" s="3" t="s">
        <v>734</v>
      </c>
      <c r="B161" s="3" t="s">
        <v>735</v>
      </c>
      <c r="C161" s="3" t="s">
        <v>13</v>
      </c>
      <c r="D161" s="3" t="s">
        <v>6022</v>
      </c>
      <c r="E161" s="3"/>
      <c r="F161" s="3"/>
      <c r="G161" s="3" t="s">
        <v>100</v>
      </c>
      <c r="H161" s="3"/>
      <c r="I161" s="3"/>
      <c r="J161" s="3" t="s">
        <v>736</v>
      </c>
      <c r="K161" s="3"/>
      <c r="L161" s="3" t="s">
        <v>737</v>
      </c>
      <c r="M161" s="3" t="str">
        <f>HYPERLINK("https://ceds.ed.gov/cedselementdetails.aspx?termid=5685")</f>
        <v>https://ceds.ed.gov/cedselementdetails.aspx?termid=5685</v>
      </c>
      <c r="N161" s="3" t="str">
        <f>HYPERLINK("https://ceds.ed.gov/elementComment.aspx?elementName=Assessment Item Characteristic Value &amp;elementID=5685", "Click here to submit comment")</f>
        <v>Click here to submit comment</v>
      </c>
    </row>
    <row r="162" spans="1:14" ht="105">
      <c r="A162" s="3" t="s">
        <v>738</v>
      </c>
      <c r="B162" s="3" t="s">
        <v>739</v>
      </c>
      <c r="C162" s="3" t="s">
        <v>13</v>
      </c>
      <c r="D162" s="3" t="s">
        <v>6017</v>
      </c>
      <c r="E162" s="3" t="s">
        <v>6018</v>
      </c>
      <c r="F162" s="3"/>
      <c r="G162" s="3" t="s">
        <v>740</v>
      </c>
      <c r="H162" s="3"/>
      <c r="I162" s="3"/>
      <c r="J162" s="3" t="s">
        <v>741</v>
      </c>
      <c r="K162" s="3"/>
      <c r="L162" s="3" t="s">
        <v>742</v>
      </c>
      <c r="M162" s="3" t="str">
        <f>HYPERLINK("https://ceds.ed.gov/cedselementdetails.aspx?termid=5383")</f>
        <v>https://ceds.ed.gov/cedselementdetails.aspx?termid=5383</v>
      </c>
      <c r="N162" s="3" t="str">
        <f>HYPERLINK("https://ceds.ed.gov/elementComment.aspx?elementName=Assessment Item Difficulty &amp;elementID=5383", "Click here to submit comment")</f>
        <v>Click here to submit comment</v>
      </c>
    </row>
    <row r="163" spans="1:14" ht="105">
      <c r="A163" s="3" t="s">
        <v>743</v>
      </c>
      <c r="B163" s="3" t="s">
        <v>744</v>
      </c>
      <c r="C163" s="3" t="s">
        <v>13</v>
      </c>
      <c r="D163" s="3" t="s">
        <v>6017</v>
      </c>
      <c r="E163" s="3" t="s">
        <v>6018</v>
      </c>
      <c r="F163" s="3"/>
      <c r="G163" s="3" t="s">
        <v>745</v>
      </c>
      <c r="H163" s="3"/>
      <c r="I163" s="3"/>
      <c r="J163" s="3" t="s">
        <v>746</v>
      </c>
      <c r="K163" s="3"/>
      <c r="L163" s="3" t="s">
        <v>747</v>
      </c>
      <c r="M163" s="3" t="str">
        <f>HYPERLINK("https://ceds.ed.gov/cedselementdetails.aspx?termid=5390")</f>
        <v>https://ceds.ed.gov/cedselementdetails.aspx?termid=5390</v>
      </c>
      <c r="N163" s="3" t="str">
        <f>HYPERLINK("https://ceds.ed.gov/elementComment.aspx?elementName=Assessment Item Distractor Analysis &amp;elementID=5390", "Click here to submit comment")</f>
        <v>Click here to submit comment</v>
      </c>
    </row>
    <row r="164" spans="1:14" ht="105">
      <c r="A164" s="3" t="s">
        <v>748</v>
      </c>
      <c r="B164" s="3" t="s">
        <v>749</v>
      </c>
      <c r="C164" s="3" t="s">
        <v>13</v>
      </c>
      <c r="D164" s="3" t="s">
        <v>6017</v>
      </c>
      <c r="E164" s="3" t="s">
        <v>6018</v>
      </c>
      <c r="F164" s="3"/>
      <c r="G164" s="3" t="s">
        <v>100</v>
      </c>
      <c r="H164" s="3"/>
      <c r="I164" s="3"/>
      <c r="J164" s="3" t="s">
        <v>750</v>
      </c>
      <c r="K164" s="3"/>
      <c r="L164" s="3" t="s">
        <v>751</v>
      </c>
      <c r="M164" s="3" t="str">
        <f>HYPERLINK("https://ceds.ed.gov/cedselementdetails.aspx?termid=5623")</f>
        <v>https://ceds.ed.gov/cedselementdetails.aspx?termid=5623</v>
      </c>
      <c r="N164" s="3" t="str">
        <f>HYPERLINK("https://ceds.ed.gov/elementComment.aspx?elementName=Assessment Item Identifier &amp;elementID=5623", "Click here to submit comment")</f>
        <v>Click here to submit comment</v>
      </c>
    </row>
    <row r="165" spans="1:14" ht="409.5">
      <c r="A165" s="3" t="s">
        <v>752</v>
      </c>
      <c r="B165" s="3" t="s">
        <v>753</v>
      </c>
      <c r="C165" s="4" t="s">
        <v>6384</v>
      </c>
      <c r="D165" s="3" t="s">
        <v>6020</v>
      </c>
      <c r="E165" s="3"/>
      <c r="F165" s="3"/>
      <c r="G165" s="3"/>
      <c r="H165" s="3"/>
      <c r="I165" s="3"/>
      <c r="J165" s="3" t="s">
        <v>754</v>
      </c>
      <c r="K165" s="3"/>
      <c r="L165" s="3" t="s">
        <v>755</v>
      </c>
      <c r="M165" s="3" t="str">
        <f>HYPERLINK("https://ceds.ed.gov/cedselementdetails.aspx?termid=6117")</f>
        <v>https://ceds.ed.gov/cedselementdetails.aspx?termid=6117</v>
      </c>
      <c r="N165" s="3" t="str">
        <f>HYPERLINK("https://ceds.ed.gov/elementComment.aspx?elementName=Assessment Item Interaction Type &amp;elementID=6117", "Click here to submit comment")</f>
        <v>Click here to submit comment</v>
      </c>
    </row>
    <row r="166" spans="1:14" ht="60">
      <c r="A166" s="3" t="s">
        <v>756</v>
      </c>
      <c r="B166" s="3" t="s">
        <v>757</v>
      </c>
      <c r="C166" s="3" t="s">
        <v>5963</v>
      </c>
      <c r="D166" s="3" t="s">
        <v>6019</v>
      </c>
      <c r="E166" s="3"/>
      <c r="F166" s="3"/>
      <c r="G166" s="3"/>
      <c r="H166" s="3"/>
      <c r="I166" s="3"/>
      <c r="J166" s="3" t="s">
        <v>758</v>
      </c>
      <c r="K166" s="3"/>
      <c r="L166" s="3" t="s">
        <v>759</v>
      </c>
      <c r="M166" s="3" t="str">
        <f>HYPERLINK("https://ceds.ed.gov/cedselementdetails.aspx?termid=6227")</f>
        <v>https://ceds.ed.gov/cedselementdetails.aspx?termid=6227</v>
      </c>
      <c r="N166" s="3" t="str">
        <f>HYPERLINK("https://ceds.ed.gov/elementComment.aspx?elementName=Assessment Item Linking Item Indicator &amp;elementID=6227", "Click here to submit comment")</f>
        <v>Click here to submit comment</v>
      </c>
    </row>
    <row r="167" spans="1:14" ht="105">
      <c r="A167" s="3" t="s">
        <v>760</v>
      </c>
      <c r="B167" s="3" t="s">
        <v>761</v>
      </c>
      <c r="C167" s="3" t="s">
        <v>13</v>
      </c>
      <c r="D167" s="3" t="s">
        <v>6017</v>
      </c>
      <c r="E167" s="3"/>
      <c r="F167" s="3"/>
      <c r="G167" s="3" t="s">
        <v>93</v>
      </c>
      <c r="H167" s="3"/>
      <c r="I167" s="3"/>
      <c r="J167" s="3" t="s">
        <v>762</v>
      </c>
      <c r="K167" s="3"/>
      <c r="L167" s="3" t="s">
        <v>763</v>
      </c>
      <c r="M167" s="3" t="str">
        <f>HYPERLINK("https://ceds.ed.gov/cedselementdetails.aspx?termid=5683")</f>
        <v>https://ceds.ed.gov/cedselementdetails.aspx?termid=5683</v>
      </c>
      <c r="N167" s="3" t="str">
        <f>HYPERLINK("https://ceds.ed.gov/elementComment.aspx?elementName=Assessment Item Maximum Score &amp;elementID=5683", "Click here to submit comment")</f>
        <v>Click here to submit comment</v>
      </c>
    </row>
    <row r="168" spans="1:14" ht="105">
      <c r="A168" s="3" t="s">
        <v>764</v>
      </c>
      <c r="B168" s="3" t="s">
        <v>765</v>
      </c>
      <c r="C168" s="3" t="s">
        <v>13</v>
      </c>
      <c r="D168" s="3" t="s">
        <v>6017</v>
      </c>
      <c r="E168" s="3"/>
      <c r="F168" s="3"/>
      <c r="G168" s="3" t="s">
        <v>93</v>
      </c>
      <c r="H168" s="3"/>
      <c r="I168" s="3"/>
      <c r="J168" s="3" t="s">
        <v>766</v>
      </c>
      <c r="K168" s="3"/>
      <c r="L168" s="3" t="s">
        <v>767</v>
      </c>
      <c r="M168" s="3" t="str">
        <f>HYPERLINK("https://ceds.ed.gov/cedselementdetails.aspx?termid=5684")</f>
        <v>https://ceds.ed.gov/cedselementdetails.aspx?termid=5684</v>
      </c>
      <c r="N168" s="3" t="str">
        <f>HYPERLINK("https://ceds.ed.gov/elementComment.aspx?elementName=Assessment Item Minimum Score &amp;elementID=5684", "Click here to submit comment")</f>
        <v>Click here to submit comment</v>
      </c>
    </row>
    <row r="169" spans="1:14" ht="90">
      <c r="A169" s="3" t="s">
        <v>768</v>
      </c>
      <c r="B169" s="3" t="s">
        <v>769</v>
      </c>
      <c r="C169" s="3" t="s">
        <v>5963</v>
      </c>
      <c r="D169" s="3" t="s">
        <v>6023</v>
      </c>
      <c r="E169" s="3"/>
      <c r="F169" s="3"/>
      <c r="G169" s="3"/>
      <c r="H169" s="3"/>
      <c r="I169" s="3"/>
      <c r="J169" s="3" t="s">
        <v>770</v>
      </c>
      <c r="K169" s="3"/>
      <c r="L169" s="3" t="s">
        <v>771</v>
      </c>
      <c r="M169" s="3" t="str">
        <f>HYPERLINK("https://ceds.ed.gov/cedselementdetails.aspx?termid=6183")</f>
        <v>https://ceds.ed.gov/cedselementdetails.aspx?termid=6183</v>
      </c>
      <c r="N169" s="3" t="str">
        <f>HYPERLINK("https://ceds.ed.gov/elementComment.aspx?elementName=Assessment Item Possible Response Correct Indicator &amp;elementID=6183", "Click here to submit comment")</f>
        <v>Click here to submit comment</v>
      </c>
    </row>
    <row r="170" spans="1:14" ht="120">
      <c r="A170" s="3" t="s">
        <v>772</v>
      </c>
      <c r="B170" s="3" t="s">
        <v>773</v>
      </c>
      <c r="C170" s="3" t="s">
        <v>13</v>
      </c>
      <c r="D170" s="3" t="s">
        <v>6023</v>
      </c>
      <c r="E170" s="3" t="s">
        <v>493</v>
      </c>
      <c r="F170" s="3"/>
      <c r="G170" s="3" t="s">
        <v>93</v>
      </c>
      <c r="H170" s="3"/>
      <c r="I170" s="3" t="s">
        <v>774</v>
      </c>
      <c r="J170" s="3" t="s">
        <v>775</v>
      </c>
      <c r="K170" s="3"/>
      <c r="L170" s="3" t="s">
        <v>776</v>
      </c>
      <c r="M170" s="3" t="str">
        <f>HYPERLINK("https://ceds.ed.gov/cedselementdetails.aspx?termid=5904")</f>
        <v>https://ceds.ed.gov/cedselementdetails.aspx?termid=5904</v>
      </c>
      <c r="N170" s="3" t="str">
        <f>HYPERLINK("https://ceds.ed.gov/elementComment.aspx?elementName=Assessment Item Possible Response Feedback Message &amp;elementID=5904", "Click here to submit comment")</f>
        <v>Click here to submit comment</v>
      </c>
    </row>
    <row r="171" spans="1:14" ht="90">
      <c r="A171" s="3" t="s">
        <v>777</v>
      </c>
      <c r="B171" s="3" t="s">
        <v>778</v>
      </c>
      <c r="C171" s="3" t="s">
        <v>13</v>
      </c>
      <c r="D171" s="3" t="s">
        <v>6023</v>
      </c>
      <c r="E171" s="3"/>
      <c r="F171" s="3"/>
      <c r="G171" s="3" t="s">
        <v>319</v>
      </c>
      <c r="H171" s="3"/>
      <c r="I171" s="3"/>
      <c r="J171" s="3" t="s">
        <v>779</v>
      </c>
      <c r="K171" s="3"/>
      <c r="L171" s="3" t="s">
        <v>780</v>
      </c>
      <c r="M171" s="3" t="str">
        <f>HYPERLINK("https://ceds.ed.gov/cedselementdetails.aspx?termid=6235")</f>
        <v>https://ceds.ed.gov/cedselementdetails.aspx?termid=6235</v>
      </c>
      <c r="N171" s="3" t="str">
        <f>HYPERLINK("https://ceds.ed.gov/elementComment.aspx?elementName=Assessment Item Possible Response Option &amp;elementID=6235", "Click here to submit comment")</f>
        <v>Click here to submit comment</v>
      </c>
    </row>
    <row r="172" spans="1:14" ht="90">
      <c r="A172" s="3" t="s">
        <v>781</v>
      </c>
      <c r="B172" s="3" t="s">
        <v>782</v>
      </c>
      <c r="C172" s="3" t="s">
        <v>13</v>
      </c>
      <c r="D172" s="3" t="s">
        <v>6023</v>
      </c>
      <c r="E172" s="3"/>
      <c r="F172" s="3"/>
      <c r="G172" s="3" t="s">
        <v>308</v>
      </c>
      <c r="H172" s="3"/>
      <c r="I172" s="3"/>
      <c r="J172" s="3" t="s">
        <v>783</v>
      </c>
      <c r="K172" s="3"/>
      <c r="L172" s="3" t="s">
        <v>784</v>
      </c>
      <c r="M172" s="3" t="str">
        <f>HYPERLINK("https://ceds.ed.gov/cedselementdetails.aspx?termid=5905")</f>
        <v>https://ceds.ed.gov/cedselementdetails.aspx?termid=5905</v>
      </c>
      <c r="N172" s="3" t="str">
        <f>HYPERLINK("https://ceds.ed.gov/elementComment.aspx?elementName=Assessment Item Possible Response Sequence Number &amp;elementID=5905", "Click here to submit comment")</f>
        <v>Click here to submit comment</v>
      </c>
    </row>
    <row r="173" spans="1:14" ht="90">
      <c r="A173" s="3" t="s">
        <v>785</v>
      </c>
      <c r="B173" s="3" t="s">
        <v>786</v>
      </c>
      <c r="C173" s="3" t="s">
        <v>13</v>
      </c>
      <c r="D173" s="3" t="s">
        <v>6023</v>
      </c>
      <c r="E173" s="3"/>
      <c r="F173" s="3"/>
      <c r="G173" s="3" t="s">
        <v>93</v>
      </c>
      <c r="H173" s="3"/>
      <c r="I173" s="3"/>
      <c r="J173" s="3" t="s">
        <v>787</v>
      </c>
      <c r="K173" s="3"/>
      <c r="L173" s="3" t="s">
        <v>788</v>
      </c>
      <c r="M173" s="3" t="str">
        <f>HYPERLINK("https://ceds.ed.gov/cedselementdetails.aspx?termid=5908")</f>
        <v>https://ceds.ed.gov/cedselementdetails.aspx?termid=5908</v>
      </c>
      <c r="N173" s="3" t="str">
        <f>HYPERLINK("https://ceds.ed.gov/elementComment.aspx?elementName=Assessment Item Possible Response Value &amp;elementID=5908", "Click here to submit comment")</f>
        <v>Click here to submit comment</v>
      </c>
    </row>
    <row r="174" spans="1:14" ht="60">
      <c r="A174" s="3" t="s">
        <v>789</v>
      </c>
      <c r="B174" s="3" t="s">
        <v>790</v>
      </c>
      <c r="C174" s="3" t="s">
        <v>5963</v>
      </c>
      <c r="D174" s="3" t="s">
        <v>6019</v>
      </c>
      <c r="E174" s="3"/>
      <c r="F174" s="3"/>
      <c r="G174" s="3"/>
      <c r="H174" s="3"/>
      <c r="I174" s="3"/>
      <c r="J174" s="3" t="s">
        <v>791</v>
      </c>
      <c r="K174" s="3"/>
      <c r="L174" s="3" t="s">
        <v>792</v>
      </c>
      <c r="M174" s="3" t="str">
        <f>HYPERLINK("https://ceds.ed.gov/cedselementdetails.aspx?termid=6229")</f>
        <v>https://ceds.ed.gov/cedselementdetails.aspx?termid=6229</v>
      </c>
      <c r="N174" s="3" t="str">
        <f>HYPERLINK("https://ceds.ed.gov/elementComment.aspx?elementName=Assessment Item Release Status &amp;elementID=6229", "Click here to submit comment")</f>
        <v>Click here to submit comment</v>
      </c>
    </row>
    <row r="175" spans="1:14" ht="165">
      <c r="A175" s="3" t="s">
        <v>793</v>
      </c>
      <c r="B175" s="3" t="s">
        <v>794</v>
      </c>
      <c r="C175" s="3" t="s">
        <v>13</v>
      </c>
      <c r="D175" s="3" t="s">
        <v>6024</v>
      </c>
      <c r="E175" s="3" t="s">
        <v>6018</v>
      </c>
      <c r="F175" s="3"/>
      <c r="G175" s="3" t="s">
        <v>100</v>
      </c>
      <c r="H175" s="3"/>
      <c r="I175" s="3" t="s">
        <v>795</v>
      </c>
      <c r="J175" s="3" t="s">
        <v>796</v>
      </c>
      <c r="K175" s="3"/>
      <c r="L175" s="3" t="s">
        <v>797</v>
      </c>
      <c r="M175" s="3" t="str">
        <f>HYPERLINK("https://ceds.ed.gov/cedselementdetails.aspx?termid=5397")</f>
        <v>https://ceds.ed.gov/cedselementdetails.aspx?termid=5397</v>
      </c>
      <c r="N175" s="3" t="str">
        <f>HYPERLINK("https://ceds.ed.gov/elementComment.aspx?elementName=Assessment Item Response Aid Set Used &amp;elementID=5397", "Click here to submit comment")</f>
        <v>Click here to submit comment</v>
      </c>
    </row>
    <row r="176" spans="1:14" ht="120">
      <c r="A176" s="3" t="s">
        <v>798</v>
      </c>
      <c r="B176" s="3" t="s">
        <v>799</v>
      </c>
      <c r="C176" s="3" t="s">
        <v>13</v>
      </c>
      <c r="D176" s="3" t="s">
        <v>6025</v>
      </c>
      <c r="E176" s="3" t="s">
        <v>6018</v>
      </c>
      <c r="F176" s="3"/>
      <c r="G176" s="3" t="s">
        <v>745</v>
      </c>
      <c r="H176" s="3"/>
      <c r="I176" s="3"/>
      <c r="J176" s="3" t="s">
        <v>800</v>
      </c>
      <c r="K176" s="3"/>
      <c r="L176" s="3" t="s">
        <v>801</v>
      </c>
      <c r="M176" s="3" t="str">
        <f>HYPERLINK("https://ceds.ed.gov/cedselementdetails.aspx?termid=5385")</f>
        <v>https://ceds.ed.gov/cedselementdetails.aspx?termid=5385</v>
      </c>
      <c r="N176" s="3" t="str">
        <f>HYPERLINK("https://ceds.ed.gov/elementComment.aspx?elementName=Assessment Item Response Choice Pattern &amp;elementID=5385", "Click here to submit comment")</f>
        <v>Click here to submit comment</v>
      </c>
    </row>
    <row r="177" spans="1:14" ht="120">
      <c r="A177" s="3" t="s">
        <v>802</v>
      </c>
      <c r="B177" s="3" t="s">
        <v>803</v>
      </c>
      <c r="C177" s="3" t="s">
        <v>13</v>
      </c>
      <c r="D177" s="3" t="s">
        <v>6026</v>
      </c>
      <c r="E177" s="3" t="s">
        <v>493</v>
      </c>
      <c r="F177" s="3"/>
      <c r="G177" s="3" t="s">
        <v>93</v>
      </c>
      <c r="H177" s="3"/>
      <c r="I177" s="3"/>
      <c r="J177" s="3" t="s">
        <v>804</v>
      </c>
      <c r="K177" s="3"/>
      <c r="L177" s="3" t="s">
        <v>805</v>
      </c>
      <c r="M177" s="3" t="str">
        <f>HYPERLINK("https://ceds.ed.gov/cedselementdetails.aspx?termid=5891")</f>
        <v>https://ceds.ed.gov/cedselementdetails.aspx?termid=5891</v>
      </c>
      <c r="N177" s="3" t="str">
        <f>HYPERLINK("https://ceds.ed.gov/elementComment.aspx?elementName=Assessment Item Response Descriptive Feedback &amp;elementID=5891", "Click here to submit comment")</f>
        <v>Click here to submit comment</v>
      </c>
    </row>
    <row r="178" spans="1:14" ht="120">
      <c r="A178" s="3" t="s">
        <v>806</v>
      </c>
      <c r="B178" s="3" t="s">
        <v>807</v>
      </c>
      <c r="C178" s="3" t="s">
        <v>13</v>
      </c>
      <c r="D178" s="3" t="s">
        <v>6027</v>
      </c>
      <c r="E178" s="3" t="s">
        <v>6018</v>
      </c>
      <c r="F178" s="3"/>
      <c r="G178" s="3" t="s">
        <v>808</v>
      </c>
      <c r="H178" s="3"/>
      <c r="I178" s="3"/>
      <c r="J178" s="3" t="s">
        <v>809</v>
      </c>
      <c r="K178" s="3"/>
      <c r="L178" s="3" t="s">
        <v>810</v>
      </c>
      <c r="M178" s="3" t="str">
        <f>HYPERLINK("https://ceds.ed.gov/cedselementdetails.aspx?termid=5394")</f>
        <v>https://ceds.ed.gov/cedselementdetails.aspx?termid=5394</v>
      </c>
      <c r="N178" s="3" t="str">
        <f>HYPERLINK("https://ceds.ed.gov/elementComment.aspx?elementName=Assessment Item Response Duration &amp;elementID=5394", "Click here to submit comment")</f>
        <v>Click here to submit comment</v>
      </c>
    </row>
    <row r="179" spans="1:14" ht="105">
      <c r="A179" s="3" t="s">
        <v>811</v>
      </c>
      <c r="B179" s="3" t="s">
        <v>812</v>
      </c>
      <c r="C179" s="3" t="s">
        <v>13</v>
      </c>
      <c r="D179" s="3" t="s">
        <v>6028</v>
      </c>
      <c r="E179" s="3"/>
      <c r="F179" s="3"/>
      <c r="G179" s="3" t="s">
        <v>808</v>
      </c>
      <c r="H179" s="3"/>
      <c r="I179" s="3" t="s">
        <v>813</v>
      </c>
      <c r="J179" s="3" t="s">
        <v>814</v>
      </c>
      <c r="K179" s="3"/>
      <c r="L179" s="3" t="s">
        <v>815</v>
      </c>
      <c r="M179" s="3" t="str">
        <f>HYPERLINK("https://ceds.ed.gov/cedselementdetails.aspx?termid=5958")</f>
        <v>https://ceds.ed.gov/cedselementdetails.aspx?termid=5958</v>
      </c>
      <c r="N179" s="3" t="str">
        <f>HYPERLINK("https://ceds.ed.gov/elementComment.aspx?elementName=Assessment Item Response First Attempt Duration &amp;elementID=5958", "Click here to submit comment")</f>
        <v>Click here to submit comment</v>
      </c>
    </row>
    <row r="180" spans="1:14" ht="135">
      <c r="A180" s="3" t="s">
        <v>816</v>
      </c>
      <c r="B180" s="3" t="s">
        <v>817</v>
      </c>
      <c r="C180" s="3" t="s">
        <v>13</v>
      </c>
      <c r="D180" s="3" t="s">
        <v>6028</v>
      </c>
      <c r="E180" s="3"/>
      <c r="F180" s="3"/>
      <c r="G180" s="3" t="s">
        <v>308</v>
      </c>
      <c r="H180" s="3"/>
      <c r="I180" s="3"/>
      <c r="J180" s="3" t="s">
        <v>818</v>
      </c>
      <c r="K180" s="3"/>
      <c r="L180" s="3" t="s">
        <v>819</v>
      </c>
      <c r="M180" s="3" t="str">
        <f>HYPERLINK("https://ceds.ed.gov/cedselementdetails.aspx?termid=5956")</f>
        <v>https://ceds.ed.gov/cedselementdetails.aspx?termid=5956</v>
      </c>
      <c r="N180" s="3" t="str">
        <f>HYPERLINK("https://ceds.ed.gov/elementComment.aspx?elementName=Assessment Item Response Hint Count &amp;elementID=5956", "Click here to submit comment")</f>
        <v>Click here to submit comment</v>
      </c>
    </row>
    <row r="181" spans="1:14" ht="135">
      <c r="A181" s="3" t="s">
        <v>820</v>
      </c>
      <c r="B181" s="3" t="s">
        <v>821</v>
      </c>
      <c r="C181" s="3" t="s">
        <v>5963</v>
      </c>
      <c r="D181" s="3" t="s">
        <v>6028</v>
      </c>
      <c r="E181" s="3"/>
      <c r="F181" s="3"/>
      <c r="G181" s="3"/>
      <c r="H181" s="3"/>
      <c r="I181" s="3" t="s">
        <v>822</v>
      </c>
      <c r="J181" s="3" t="s">
        <v>823</v>
      </c>
      <c r="K181" s="3"/>
      <c r="L181" s="3" t="s">
        <v>824</v>
      </c>
      <c r="M181" s="3" t="str">
        <f>HYPERLINK("https://ceds.ed.gov/cedselementdetails.aspx?termid=5957")</f>
        <v>https://ceds.ed.gov/cedselementdetails.aspx?termid=5957</v>
      </c>
      <c r="N181" s="3" t="str">
        <f>HYPERLINK("https://ceds.ed.gov/elementComment.aspx?elementName=Assessment Item Response Hint Included Answer &amp;elementID=5957", "Click here to submit comment")</f>
        <v>Click here to submit comment</v>
      </c>
    </row>
    <row r="182" spans="1:14" ht="135">
      <c r="A182" s="3" t="s">
        <v>825</v>
      </c>
      <c r="B182" s="3" t="s">
        <v>826</v>
      </c>
      <c r="C182" s="3" t="s">
        <v>5963</v>
      </c>
      <c r="D182" s="3" t="s">
        <v>6028</v>
      </c>
      <c r="E182" s="3"/>
      <c r="F182" s="3"/>
      <c r="G182" s="3"/>
      <c r="H182" s="3"/>
      <c r="I182" s="3"/>
      <c r="J182" s="3" t="s">
        <v>827</v>
      </c>
      <c r="K182" s="3"/>
      <c r="L182" s="3" t="s">
        <v>828</v>
      </c>
      <c r="M182" s="3" t="str">
        <f>HYPERLINK("https://ceds.ed.gov/cedselementdetails.aspx?termid=5955")</f>
        <v>https://ceds.ed.gov/cedselementdetails.aspx?termid=5955</v>
      </c>
      <c r="N182" s="3" t="str">
        <f>HYPERLINK("https://ceds.ed.gov/elementComment.aspx?elementName=Assessment Item Response Scaffolding Item Flag &amp;elementID=5955", "Click here to submit comment")</f>
        <v>Click here to submit comment</v>
      </c>
    </row>
    <row r="183" spans="1:14" ht="120">
      <c r="A183" s="3" t="s">
        <v>829</v>
      </c>
      <c r="B183" s="3" t="s">
        <v>830</v>
      </c>
      <c r="C183" s="3" t="s">
        <v>13</v>
      </c>
      <c r="D183" s="3" t="s">
        <v>6026</v>
      </c>
      <c r="E183" s="3" t="s">
        <v>493</v>
      </c>
      <c r="F183" s="3"/>
      <c r="G183" s="3" t="s">
        <v>106</v>
      </c>
      <c r="H183" s="3"/>
      <c r="I183" s="3"/>
      <c r="J183" s="3" t="s">
        <v>831</v>
      </c>
      <c r="K183" s="3"/>
      <c r="L183" s="3" t="s">
        <v>832</v>
      </c>
      <c r="M183" s="3" t="str">
        <f>HYPERLINK("https://ceds.ed.gov/cedselementdetails.aspx?termid=5700")</f>
        <v>https://ceds.ed.gov/cedselementdetails.aspx?termid=5700</v>
      </c>
      <c r="N183" s="3" t="str">
        <f>HYPERLINK("https://ceds.ed.gov/elementComment.aspx?elementName=Assessment Item Response Score Value &amp;elementID=5700", "Click here to submit comment")</f>
        <v>Click here to submit comment</v>
      </c>
    </row>
    <row r="184" spans="1:14" ht="150">
      <c r="A184" s="3" t="s">
        <v>833</v>
      </c>
      <c r="B184" s="3" t="s">
        <v>834</v>
      </c>
      <c r="C184" s="3" t="s">
        <v>13</v>
      </c>
      <c r="D184" s="3" t="s">
        <v>6019</v>
      </c>
      <c r="E184" s="3"/>
      <c r="F184" s="3"/>
      <c r="G184" s="3" t="s">
        <v>93</v>
      </c>
      <c r="H184" s="3"/>
      <c r="I184" s="3" t="s">
        <v>835</v>
      </c>
      <c r="J184" s="3" t="s">
        <v>836</v>
      </c>
      <c r="K184" s="3"/>
      <c r="L184" s="3" t="s">
        <v>837</v>
      </c>
      <c r="M184" s="3" t="str">
        <f>HYPERLINK("https://ceds.ed.gov/cedselementdetails.aspx?termid=5970")</f>
        <v>https://ceds.ed.gov/cedselementdetails.aspx?termid=5970</v>
      </c>
      <c r="N184" s="3" t="str">
        <f>HYPERLINK("https://ceds.ed.gov/elementComment.aspx?elementName=Assessment Item Response Security Issue &amp;elementID=5970", "Click here to submit comment")</f>
        <v>Click here to submit comment</v>
      </c>
    </row>
    <row r="185" spans="1:14" ht="120">
      <c r="A185" s="3" t="s">
        <v>838</v>
      </c>
      <c r="B185" s="3" t="s">
        <v>839</v>
      </c>
      <c r="C185" s="3" t="s">
        <v>13</v>
      </c>
      <c r="D185" s="3" t="s">
        <v>6027</v>
      </c>
      <c r="E185" s="3"/>
      <c r="F185" s="3"/>
      <c r="G185" s="3" t="s">
        <v>73</v>
      </c>
      <c r="H185" s="3"/>
      <c r="I185" s="3"/>
      <c r="J185" s="3" t="s">
        <v>840</v>
      </c>
      <c r="K185" s="3"/>
      <c r="L185" s="3" t="s">
        <v>841</v>
      </c>
      <c r="M185" s="3" t="str">
        <f>HYPERLINK("https://ceds.ed.gov/cedselementdetails.aspx?termid=5960")</f>
        <v>https://ceds.ed.gov/cedselementdetails.aspx?termid=5960</v>
      </c>
      <c r="N185" s="3" t="str">
        <f>HYPERLINK("https://ceds.ed.gov/elementComment.aspx?elementName=Assessment Item Response Start Date &amp;elementID=5960", "Click here to submit comment")</f>
        <v>Click here to submit comment</v>
      </c>
    </row>
    <row r="186" spans="1:14" ht="120">
      <c r="A186" s="3" t="s">
        <v>842</v>
      </c>
      <c r="B186" s="3" t="s">
        <v>843</v>
      </c>
      <c r="C186" s="3" t="s">
        <v>13</v>
      </c>
      <c r="D186" s="3" t="s">
        <v>6027</v>
      </c>
      <c r="E186" s="3"/>
      <c r="F186" s="3"/>
      <c r="G186" s="3" t="s">
        <v>808</v>
      </c>
      <c r="H186" s="3"/>
      <c r="I186" s="3"/>
      <c r="J186" s="3" t="s">
        <v>844</v>
      </c>
      <c r="K186" s="3"/>
      <c r="L186" s="3" t="s">
        <v>845</v>
      </c>
      <c r="M186" s="3" t="str">
        <f>HYPERLINK("https://ceds.ed.gov/cedselementdetails.aspx?termid=5959")</f>
        <v>https://ceds.ed.gov/cedselementdetails.aspx?termid=5959</v>
      </c>
      <c r="N186" s="3" t="str">
        <f>HYPERLINK("https://ceds.ed.gov/elementComment.aspx?elementName=Assessment Item Response Start Time &amp;elementID=5959", "Click here to submit comment")</f>
        <v>Click here to submit comment</v>
      </c>
    </row>
    <row r="187" spans="1:14" ht="180">
      <c r="A187" s="3" t="s">
        <v>846</v>
      </c>
      <c r="B187" s="3" t="s">
        <v>847</v>
      </c>
      <c r="C187" s="4" t="s">
        <v>6385</v>
      </c>
      <c r="D187" s="3" t="s">
        <v>6026</v>
      </c>
      <c r="E187" s="3" t="s">
        <v>6018</v>
      </c>
      <c r="F187" s="3" t="s">
        <v>66</v>
      </c>
      <c r="G187" s="3"/>
      <c r="H187" s="3" t="s">
        <v>848</v>
      </c>
      <c r="I187" s="3"/>
      <c r="J187" s="3" t="s">
        <v>849</v>
      </c>
      <c r="K187" s="3"/>
      <c r="L187" s="3" t="s">
        <v>850</v>
      </c>
      <c r="M187" s="3" t="str">
        <f>HYPERLINK("https://ceds.ed.gov/cedselementdetails.aspx?termid=5396")</f>
        <v>https://ceds.ed.gov/cedselementdetails.aspx?termid=5396</v>
      </c>
      <c r="N187" s="3" t="str">
        <f>HYPERLINK("https://ceds.ed.gov/elementComment.aspx?elementName=Assessment Item Response Status &amp;elementID=5396", "Click here to submit comment")</f>
        <v>Click here to submit comment</v>
      </c>
    </row>
    <row r="188" spans="1:14" ht="165">
      <c r="A188" s="3" t="s">
        <v>851</v>
      </c>
      <c r="B188" s="3" t="s">
        <v>852</v>
      </c>
      <c r="C188" s="3" t="s">
        <v>13</v>
      </c>
      <c r="D188" s="3" t="s">
        <v>6029</v>
      </c>
      <c r="E188" s="3"/>
      <c r="F188" s="3"/>
      <c r="G188" s="3" t="s">
        <v>545</v>
      </c>
      <c r="H188" s="3"/>
      <c r="I188" s="3"/>
      <c r="J188" s="3" t="s">
        <v>853</v>
      </c>
      <c r="K188" s="3"/>
      <c r="L188" s="3" t="s">
        <v>854</v>
      </c>
      <c r="M188" s="3" t="str">
        <f>HYPERLINK("https://ceds.ed.gov/cedselementdetails.aspx?termid=6230")</f>
        <v>https://ceds.ed.gov/cedselementdetails.aspx?termid=6230</v>
      </c>
      <c r="N188" s="3" t="str">
        <f>HYPERLINK("https://ceds.ed.gov/elementComment.aspx?elementName=Assessment Item Response Theory DIF Value &amp;elementID=6230", "Click here to submit comment")</f>
        <v>Click here to submit comment</v>
      </c>
    </row>
    <row r="189" spans="1:14" ht="90">
      <c r="A189" s="3" t="s">
        <v>855</v>
      </c>
      <c r="B189" s="3" t="s">
        <v>856</v>
      </c>
      <c r="C189" s="4" t="s">
        <v>6386</v>
      </c>
      <c r="D189" s="3" t="s">
        <v>6029</v>
      </c>
      <c r="E189" s="3"/>
      <c r="F189" s="3"/>
      <c r="G189" s="3"/>
      <c r="H189" s="3"/>
      <c r="I189" s="3"/>
      <c r="J189" s="3" t="s">
        <v>857</v>
      </c>
      <c r="K189" s="3"/>
      <c r="L189" s="3" t="s">
        <v>858</v>
      </c>
      <c r="M189" s="3" t="str">
        <f>HYPERLINK("https://ceds.ed.gov/cedselementdetails.aspx?termid=6232")</f>
        <v>https://ceds.ed.gov/cedselementdetails.aspx?termid=6232</v>
      </c>
      <c r="N189" s="3" t="str">
        <f>HYPERLINK("https://ceds.ed.gov/elementComment.aspx?elementName=Assessment Item Response Theory Kappa Algorithm &amp;elementID=6232", "Click here to submit comment")</f>
        <v>Click here to submit comment</v>
      </c>
    </row>
    <row r="190" spans="1:14" ht="90">
      <c r="A190" s="3" t="s">
        <v>859</v>
      </c>
      <c r="B190" s="3" t="s">
        <v>860</v>
      </c>
      <c r="C190" s="3" t="s">
        <v>13</v>
      </c>
      <c r="D190" s="3" t="s">
        <v>6029</v>
      </c>
      <c r="E190" s="3"/>
      <c r="F190" s="3"/>
      <c r="G190" s="3" t="s">
        <v>545</v>
      </c>
      <c r="H190" s="3"/>
      <c r="I190" s="3"/>
      <c r="J190" s="3" t="s">
        <v>861</v>
      </c>
      <c r="K190" s="3"/>
      <c r="L190" s="3" t="s">
        <v>862</v>
      </c>
      <c r="M190" s="3" t="str">
        <f>HYPERLINK("https://ceds.ed.gov/cedselementdetails.aspx?termid=6231")</f>
        <v>https://ceds.ed.gov/cedselementdetails.aspx?termid=6231</v>
      </c>
      <c r="N190" s="3" t="str">
        <f>HYPERLINK("https://ceds.ed.gov/elementComment.aspx?elementName=Assessment Item Response Theory Kappa Value &amp;elementID=6231", "Click here to submit comment")</f>
        <v>Click here to submit comment</v>
      </c>
    </row>
    <row r="191" spans="1:14" ht="120">
      <c r="A191" s="3" t="s">
        <v>863</v>
      </c>
      <c r="B191" s="3" t="s">
        <v>864</v>
      </c>
      <c r="C191" s="3" t="s">
        <v>13</v>
      </c>
      <c r="D191" s="3" t="s">
        <v>6029</v>
      </c>
      <c r="E191" s="3"/>
      <c r="F191" s="3"/>
      <c r="G191" s="3" t="s">
        <v>545</v>
      </c>
      <c r="H191" s="3"/>
      <c r="I191" s="3"/>
      <c r="J191" s="3" t="s">
        <v>865</v>
      </c>
      <c r="K191" s="3"/>
      <c r="L191" s="3" t="s">
        <v>866</v>
      </c>
      <c r="M191" s="3" t="str">
        <f>HYPERLINK("https://ceds.ed.gov/cedselementdetails.aspx?termid=6217")</f>
        <v>https://ceds.ed.gov/cedselementdetails.aspx?termid=6217</v>
      </c>
      <c r="N191" s="3" t="str">
        <f>HYPERLINK("https://ceds.ed.gov/elementComment.aspx?elementName=Assessment Item Response Theory Parameter A &amp;elementID=6217", "Click here to submit comment")</f>
        <v>Click here to submit comment</v>
      </c>
    </row>
    <row r="192" spans="1:14" ht="90">
      <c r="A192" s="3" t="s">
        <v>867</v>
      </c>
      <c r="B192" s="3" t="s">
        <v>868</v>
      </c>
      <c r="C192" s="3" t="s">
        <v>13</v>
      </c>
      <c r="D192" s="3" t="s">
        <v>6029</v>
      </c>
      <c r="E192" s="3"/>
      <c r="F192" s="3"/>
      <c r="G192" s="3" t="s">
        <v>545</v>
      </c>
      <c r="H192" s="3"/>
      <c r="I192" s="3"/>
      <c r="J192" s="3" t="s">
        <v>869</v>
      </c>
      <c r="K192" s="3"/>
      <c r="L192" s="3" t="s">
        <v>870</v>
      </c>
      <c r="M192" s="3" t="str">
        <f>HYPERLINK("https://ceds.ed.gov/cedselementdetails.aspx?termid=6218")</f>
        <v>https://ceds.ed.gov/cedselementdetails.aspx?termid=6218</v>
      </c>
      <c r="N192" s="3" t="str">
        <f>HYPERLINK("https://ceds.ed.gov/elementComment.aspx?elementName=Assessment Item Response Theory Parameter B &amp;elementID=6218", "Click here to submit comment")</f>
        <v>Click here to submit comment</v>
      </c>
    </row>
    <row r="193" spans="1:14" ht="120">
      <c r="A193" s="3" t="s">
        <v>871</v>
      </c>
      <c r="B193" s="3" t="s">
        <v>872</v>
      </c>
      <c r="C193" s="3" t="s">
        <v>13</v>
      </c>
      <c r="D193" s="3" t="s">
        <v>6029</v>
      </c>
      <c r="E193" s="3"/>
      <c r="F193" s="3"/>
      <c r="G193" s="3" t="s">
        <v>545</v>
      </c>
      <c r="H193" s="3"/>
      <c r="I193" s="3"/>
      <c r="J193" s="3" t="s">
        <v>873</v>
      </c>
      <c r="K193" s="3"/>
      <c r="L193" s="3" t="s">
        <v>874</v>
      </c>
      <c r="M193" s="3" t="str">
        <f>HYPERLINK("https://ceds.ed.gov/cedselementdetails.aspx?termid=6220")</f>
        <v>https://ceds.ed.gov/cedselementdetails.aspx?termid=6220</v>
      </c>
      <c r="N193" s="3" t="str">
        <f>HYPERLINK("https://ceds.ed.gov/elementComment.aspx?elementName=Assessment Item Response Theory Parameter C &amp;elementID=6220", "Click here to submit comment")</f>
        <v>Click here to submit comment</v>
      </c>
    </row>
    <row r="194" spans="1:14" ht="90">
      <c r="A194" s="3" t="s">
        <v>875</v>
      </c>
      <c r="B194" s="3" t="s">
        <v>876</v>
      </c>
      <c r="C194" s="3" t="s">
        <v>13</v>
      </c>
      <c r="D194" s="3" t="s">
        <v>6029</v>
      </c>
      <c r="E194" s="3"/>
      <c r="F194" s="3"/>
      <c r="G194" s="3" t="s">
        <v>545</v>
      </c>
      <c r="H194" s="3"/>
      <c r="I194" s="3"/>
      <c r="J194" s="3" t="s">
        <v>877</v>
      </c>
      <c r="K194" s="3"/>
      <c r="L194" s="3" t="s">
        <v>878</v>
      </c>
      <c r="M194" s="3" t="str">
        <f>HYPERLINK("https://ceds.ed.gov/cedselementdetails.aspx?termid=6221")</f>
        <v>https://ceds.ed.gov/cedselementdetails.aspx?termid=6221</v>
      </c>
      <c r="N194" s="3" t="str">
        <f>HYPERLINK("https://ceds.ed.gov/elementComment.aspx?elementName=Assessment Item Response Theory Parameter D1 &amp;elementID=6221", "Click here to submit comment")</f>
        <v>Click here to submit comment</v>
      </c>
    </row>
    <row r="195" spans="1:14" ht="90">
      <c r="A195" s="3" t="s">
        <v>879</v>
      </c>
      <c r="B195" s="3" t="s">
        <v>880</v>
      </c>
      <c r="C195" s="3" t="s">
        <v>13</v>
      </c>
      <c r="D195" s="3" t="s">
        <v>6029</v>
      </c>
      <c r="E195" s="3"/>
      <c r="F195" s="3"/>
      <c r="G195" s="3" t="s">
        <v>545</v>
      </c>
      <c r="H195" s="3"/>
      <c r="I195" s="3"/>
      <c r="J195" s="3" t="s">
        <v>881</v>
      </c>
      <c r="K195" s="3"/>
      <c r="L195" s="3" t="s">
        <v>882</v>
      </c>
      <c r="M195" s="3" t="str">
        <f>HYPERLINK("https://ceds.ed.gov/cedselementdetails.aspx?termid=6222")</f>
        <v>https://ceds.ed.gov/cedselementdetails.aspx?termid=6222</v>
      </c>
      <c r="N195" s="3" t="str">
        <f>HYPERLINK("https://ceds.ed.gov/elementComment.aspx?elementName=Assessment Item Response Theory Parameter D2 &amp;elementID=6222", "Click here to submit comment")</f>
        <v>Click here to submit comment</v>
      </c>
    </row>
    <row r="196" spans="1:14" ht="90">
      <c r="A196" s="3" t="s">
        <v>883</v>
      </c>
      <c r="B196" s="3" t="s">
        <v>884</v>
      </c>
      <c r="C196" s="3" t="s">
        <v>13</v>
      </c>
      <c r="D196" s="3" t="s">
        <v>6029</v>
      </c>
      <c r="E196" s="3"/>
      <c r="F196" s="3"/>
      <c r="G196" s="3" t="s">
        <v>545</v>
      </c>
      <c r="H196" s="3"/>
      <c r="I196" s="3"/>
      <c r="J196" s="3" t="s">
        <v>885</v>
      </c>
      <c r="K196" s="3"/>
      <c r="L196" s="3" t="s">
        <v>886</v>
      </c>
      <c r="M196" s="3" t="str">
        <f>HYPERLINK("https://ceds.ed.gov/cedselementdetails.aspx?termid=6223")</f>
        <v>https://ceds.ed.gov/cedselementdetails.aspx?termid=6223</v>
      </c>
      <c r="N196" s="3" t="str">
        <f>HYPERLINK("https://ceds.ed.gov/elementComment.aspx?elementName=Assessment Item Response Theory Parameter D3 &amp;elementID=6223", "Click here to submit comment")</f>
        <v>Click here to submit comment</v>
      </c>
    </row>
    <row r="197" spans="1:14" ht="90">
      <c r="A197" s="3" t="s">
        <v>887</v>
      </c>
      <c r="B197" s="3" t="s">
        <v>888</v>
      </c>
      <c r="C197" s="3" t="s">
        <v>13</v>
      </c>
      <c r="D197" s="3" t="s">
        <v>6029</v>
      </c>
      <c r="E197" s="3"/>
      <c r="F197" s="3"/>
      <c r="G197" s="3" t="s">
        <v>545</v>
      </c>
      <c r="H197" s="3"/>
      <c r="I197" s="3"/>
      <c r="J197" s="3" t="s">
        <v>889</v>
      </c>
      <c r="K197" s="3"/>
      <c r="L197" s="3" t="s">
        <v>890</v>
      </c>
      <c r="M197" s="3" t="str">
        <f>HYPERLINK("https://ceds.ed.gov/cedselementdetails.aspx?termid=6224")</f>
        <v>https://ceds.ed.gov/cedselementdetails.aspx?termid=6224</v>
      </c>
      <c r="N197" s="3" t="str">
        <f>HYPERLINK("https://ceds.ed.gov/elementComment.aspx?elementName=Assessment Item Response Theory Parameter D4 &amp;elementID=6224", "Click here to submit comment")</f>
        <v>Click here to submit comment</v>
      </c>
    </row>
    <row r="198" spans="1:14" ht="90">
      <c r="A198" s="3" t="s">
        <v>891</v>
      </c>
      <c r="B198" s="3" t="s">
        <v>892</v>
      </c>
      <c r="C198" s="3" t="s">
        <v>13</v>
      </c>
      <c r="D198" s="3" t="s">
        <v>6029</v>
      </c>
      <c r="E198" s="3"/>
      <c r="F198" s="3"/>
      <c r="G198" s="3" t="s">
        <v>545</v>
      </c>
      <c r="H198" s="3"/>
      <c r="I198" s="3"/>
      <c r="J198" s="3" t="s">
        <v>893</v>
      </c>
      <c r="K198" s="3"/>
      <c r="L198" s="3" t="s">
        <v>894</v>
      </c>
      <c r="M198" s="3" t="str">
        <f>HYPERLINK("https://ceds.ed.gov/cedselementdetails.aspx?termid=6225")</f>
        <v>https://ceds.ed.gov/cedselementdetails.aspx?termid=6225</v>
      </c>
      <c r="N198" s="3" t="str">
        <f>HYPERLINK("https://ceds.ed.gov/elementComment.aspx?elementName=Assessment Item Response Theory Parameter D5 &amp;elementID=6225", "Click here to submit comment")</f>
        <v>Click here to submit comment</v>
      </c>
    </row>
    <row r="199" spans="1:14" ht="90">
      <c r="A199" s="3" t="s">
        <v>895</v>
      </c>
      <c r="B199" s="3" t="s">
        <v>896</v>
      </c>
      <c r="C199" s="3" t="s">
        <v>13</v>
      </c>
      <c r="D199" s="3" t="s">
        <v>6029</v>
      </c>
      <c r="E199" s="3"/>
      <c r="F199" s="3"/>
      <c r="G199" s="3" t="s">
        <v>545</v>
      </c>
      <c r="H199" s="3"/>
      <c r="I199" s="3"/>
      <c r="J199" s="3" t="s">
        <v>897</v>
      </c>
      <c r="K199" s="3"/>
      <c r="L199" s="3" t="s">
        <v>898</v>
      </c>
      <c r="M199" s="3" t="str">
        <f>HYPERLINK("https://ceds.ed.gov/cedselementdetails.aspx?termid=6226")</f>
        <v>https://ceds.ed.gov/cedselementdetails.aspx?termid=6226</v>
      </c>
      <c r="N199" s="3" t="str">
        <f>HYPERLINK("https://ceds.ed.gov/elementComment.aspx?elementName=Assessment Item Response Theory Parameter D6 &amp;elementID=6226", "Click here to submit comment")</f>
        <v>Click here to submit comment</v>
      </c>
    </row>
    <row r="200" spans="1:14" ht="120">
      <c r="A200" s="3" t="s">
        <v>899</v>
      </c>
      <c r="B200" s="3" t="s">
        <v>900</v>
      </c>
      <c r="C200" s="4" t="s">
        <v>6387</v>
      </c>
      <c r="D200" s="3" t="s">
        <v>6029</v>
      </c>
      <c r="E200" s="3"/>
      <c r="F200" s="3"/>
      <c r="G200" s="3"/>
      <c r="H200" s="3"/>
      <c r="I200" s="3"/>
      <c r="J200" s="3" t="s">
        <v>901</v>
      </c>
      <c r="K200" s="3"/>
      <c r="L200" s="3" t="s">
        <v>902</v>
      </c>
      <c r="M200" s="3" t="str">
        <f>HYPERLINK("https://ceds.ed.gov/cedselementdetails.aspx?termid=6219")</f>
        <v>https://ceds.ed.gov/cedselementdetails.aspx?termid=6219</v>
      </c>
      <c r="N200" s="3" t="str">
        <f>HYPERLINK("https://ceds.ed.gov/elementComment.aspx?elementName=Assessment Item Response Theory Parameter Difficulty Category &amp;elementID=6219", "Click here to submit comment")</f>
        <v>Click here to submit comment</v>
      </c>
    </row>
    <row r="201" spans="1:14" ht="60">
      <c r="A201" s="3" t="s">
        <v>903</v>
      </c>
      <c r="B201" s="3" t="s">
        <v>904</v>
      </c>
      <c r="C201" s="3" t="s">
        <v>13</v>
      </c>
      <c r="D201" s="3" t="s">
        <v>905</v>
      </c>
      <c r="E201" s="3"/>
      <c r="F201" s="3"/>
      <c r="G201" s="3" t="s">
        <v>545</v>
      </c>
      <c r="H201" s="3"/>
      <c r="I201" s="3"/>
      <c r="J201" s="3" t="s">
        <v>906</v>
      </c>
      <c r="K201" s="3"/>
      <c r="L201" s="3" t="s">
        <v>907</v>
      </c>
      <c r="M201" s="3" t="str">
        <f>HYPERLINK("https://ceds.ed.gov/cedselementdetails.aspx?termid=6228")</f>
        <v>https://ceds.ed.gov/cedselementdetails.aspx?termid=6228</v>
      </c>
      <c r="N201" s="3" t="str">
        <f>HYPERLINK("https://ceds.ed.gov/elementComment.aspx?elementName=Assessment Item Response Theory Point Biserial Correlation Value &amp;elementID=6228", "Click here to submit comment")</f>
        <v>Click here to submit comment</v>
      </c>
    </row>
    <row r="202" spans="1:14" ht="120">
      <c r="A202" s="3" t="s">
        <v>908</v>
      </c>
      <c r="B202" s="3" t="s">
        <v>909</v>
      </c>
      <c r="C202" s="3" t="s">
        <v>13</v>
      </c>
      <c r="D202" s="3" t="s">
        <v>6026</v>
      </c>
      <c r="E202" s="3" t="s">
        <v>493</v>
      </c>
      <c r="F202" s="3"/>
      <c r="G202" s="3" t="s">
        <v>93</v>
      </c>
      <c r="H202" s="3"/>
      <c r="I202" s="3"/>
      <c r="J202" s="3" t="s">
        <v>910</v>
      </c>
      <c r="K202" s="3"/>
      <c r="L202" s="3" t="s">
        <v>911</v>
      </c>
      <c r="M202" s="3" t="str">
        <f>HYPERLINK("https://ceds.ed.gov/cedselementdetails.aspx?termid=6069")</f>
        <v>https://ceds.ed.gov/cedselementdetails.aspx?termid=6069</v>
      </c>
      <c r="N202" s="3" t="str">
        <f>HYPERLINK("https://ceds.ed.gov/elementComment.aspx?elementName=Assessment Item Response Value &amp;elementID=6069", "Click here to submit comment")</f>
        <v>Click here to submit comment</v>
      </c>
    </row>
    <row r="203" spans="1:14" ht="75">
      <c r="A203" s="3" t="s">
        <v>912</v>
      </c>
      <c r="B203" s="3" t="s">
        <v>913</v>
      </c>
      <c r="C203" s="3" t="s">
        <v>13</v>
      </c>
      <c r="D203" s="3" t="s">
        <v>6016</v>
      </c>
      <c r="E203" s="3"/>
      <c r="F203" s="3" t="s">
        <v>54</v>
      </c>
      <c r="G203" s="3" t="s">
        <v>319</v>
      </c>
      <c r="H203" s="3"/>
      <c r="I203" s="3" t="s">
        <v>914</v>
      </c>
      <c r="J203" s="3" t="s">
        <v>915</v>
      </c>
      <c r="K203" s="3"/>
      <c r="L203" s="3" t="s">
        <v>916</v>
      </c>
      <c r="M203" s="3" t="str">
        <f>HYPERLINK("https://ceds.ed.gov/cedselementdetails.aspx?termid=6250")</f>
        <v>https://ceds.ed.gov/cedselementdetails.aspx?termid=6250</v>
      </c>
      <c r="N203" s="3" t="str">
        <f>HYPERLINK("https://ceds.ed.gov/elementComment.aspx?elementName=Assessment Item Result XML &amp;elementID=6250", "Click here to submit comment")</f>
        <v>Click here to submit comment</v>
      </c>
    </row>
    <row r="204" spans="1:14" ht="105">
      <c r="A204" s="3" t="s">
        <v>917</v>
      </c>
      <c r="B204" s="3" t="s">
        <v>918</v>
      </c>
      <c r="C204" s="3" t="s">
        <v>13</v>
      </c>
      <c r="D204" s="3" t="s">
        <v>6017</v>
      </c>
      <c r="E204" s="3" t="s">
        <v>6018</v>
      </c>
      <c r="F204" s="3"/>
      <c r="G204" s="3" t="s">
        <v>319</v>
      </c>
      <c r="H204" s="3"/>
      <c r="I204" s="3"/>
      <c r="J204" s="3" t="s">
        <v>919</v>
      </c>
      <c r="K204" s="3"/>
      <c r="L204" s="3" t="s">
        <v>920</v>
      </c>
      <c r="M204" s="3" t="str">
        <f>HYPERLINK("https://ceds.ed.gov/cedselementdetails.aspx?termid=5392")</f>
        <v>https://ceds.ed.gov/cedselementdetails.aspx?termid=5392</v>
      </c>
      <c r="N204" s="3" t="str">
        <f>HYPERLINK("https://ceds.ed.gov/elementComment.aspx?elementName=Assessment Item Stem &amp;elementID=5392", "Click here to submit comment")</f>
        <v>Click here to submit comment</v>
      </c>
    </row>
    <row r="205" spans="1:14" ht="90">
      <c r="A205" s="3" t="s">
        <v>921</v>
      </c>
      <c r="B205" s="3" t="s">
        <v>922</v>
      </c>
      <c r="C205" s="3" t="s">
        <v>13</v>
      </c>
      <c r="D205" s="3" t="s">
        <v>6019</v>
      </c>
      <c r="E205" s="3"/>
      <c r="F205" s="3"/>
      <c r="G205" s="3" t="s">
        <v>319</v>
      </c>
      <c r="H205" s="3"/>
      <c r="I205" s="3"/>
      <c r="J205" s="3" t="s">
        <v>923</v>
      </c>
      <c r="K205" s="3"/>
      <c r="L205" s="3" t="s">
        <v>924</v>
      </c>
      <c r="M205" s="3" t="str">
        <f>HYPERLINK("https://ceds.ed.gov/cedselementdetails.aspx?termid=6234")</f>
        <v>https://ceds.ed.gov/cedselementdetails.aspx?termid=6234</v>
      </c>
      <c r="N205" s="3" t="str">
        <f>HYPERLINK("https://ceds.ed.gov/elementComment.aspx?elementName=Assessment Item Stimulus &amp;elementID=6234", "Click here to submit comment")</f>
        <v>Click here to submit comment</v>
      </c>
    </row>
    <row r="206" spans="1:14" ht="300">
      <c r="A206" s="3" t="s">
        <v>925</v>
      </c>
      <c r="B206" s="3" t="s">
        <v>926</v>
      </c>
      <c r="C206" s="4" t="s">
        <v>6388</v>
      </c>
      <c r="D206" s="3" t="s">
        <v>6019</v>
      </c>
      <c r="E206" s="3"/>
      <c r="F206" s="3"/>
      <c r="G206" s="3"/>
      <c r="H206" s="3"/>
      <c r="I206" s="3"/>
      <c r="J206" s="3" t="s">
        <v>927</v>
      </c>
      <c r="K206" s="3"/>
      <c r="L206" s="3" t="s">
        <v>928</v>
      </c>
      <c r="M206" s="3" t="str">
        <f>HYPERLINK("https://ceds.ed.gov/cedselementdetails.aspx?termid=5907")</f>
        <v>https://ceds.ed.gov/cedselementdetails.aspx?termid=5907</v>
      </c>
      <c r="N206" s="3" t="str">
        <f>HYPERLINK("https://ceds.ed.gov/elementComment.aspx?elementName=Assessment Item Text Complexity System &amp;elementID=5907", "Click here to submit comment")</f>
        <v>Click here to submit comment</v>
      </c>
    </row>
    <row r="207" spans="1:14" ht="75">
      <c r="A207" s="3" t="s">
        <v>929</v>
      </c>
      <c r="B207" s="3" t="s">
        <v>930</v>
      </c>
      <c r="C207" s="3" t="s">
        <v>13</v>
      </c>
      <c r="D207" s="3" t="s">
        <v>6019</v>
      </c>
      <c r="E207" s="3"/>
      <c r="F207" s="3"/>
      <c r="G207" s="3" t="s">
        <v>100</v>
      </c>
      <c r="H207" s="3"/>
      <c r="I207" s="3"/>
      <c r="J207" s="3" t="s">
        <v>931</v>
      </c>
      <c r="K207" s="3"/>
      <c r="L207" s="3" t="s">
        <v>932</v>
      </c>
      <c r="M207" s="3" t="str">
        <f>HYPERLINK("https://ceds.ed.gov/cedselementdetails.aspx?termid=5906")</f>
        <v>https://ceds.ed.gov/cedselementdetails.aspx?termid=5906</v>
      </c>
      <c r="N207" s="3" t="str">
        <f>HYPERLINK("https://ceds.ed.gov/elementComment.aspx?elementName=Assessment Item Text Complexity Value &amp;elementID=5906", "Click here to submit comment")</f>
        <v>Click here to submit comment</v>
      </c>
    </row>
    <row r="208" spans="1:14" ht="315">
      <c r="A208" s="3" t="s">
        <v>933</v>
      </c>
      <c r="B208" s="3" t="s">
        <v>934</v>
      </c>
      <c r="C208" s="4" t="s">
        <v>6389</v>
      </c>
      <c r="D208" s="3" t="s">
        <v>6017</v>
      </c>
      <c r="E208" s="3" t="s">
        <v>6018</v>
      </c>
      <c r="F208" s="3"/>
      <c r="G208" s="3"/>
      <c r="H208" s="3"/>
      <c r="I208" s="3"/>
      <c r="J208" s="3" t="s">
        <v>935</v>
      </c>
      <c r="K208" s="3"/>
      <c r="L208" s="3" t="s">
        <v>936</v>
      </c>
      <c r="M208" s="3" t="str">
        <f>HYPERLINK("https://ceds.ed.gov/cedselementdetails.aspx?termid=5382")</f>
        <v>https://ceds.ed.gov/cedselementdetails.aspx?termid=5382</v>
      </c>
      <c r="N208" s="3" t="str">
        <f>HYPERLINK("https://ceds.ed.gov/elementComment.aspx?elementName=Assessment Item Type &amp;elementID=5382", "Click here to submit comment")</f>
        <v>Click here to submit comment</v>
      </c>
    </row>
    <row r="209" spans="1:14" ht="150">
      <c r="A209" s="3" t="s">
        <v>937</v>
      </c>
      <c r="B209" s="3" t="s">
        <v>938</v>
      </c>
      <c r="C209" s="5" t="s">
        <v>939</v>
      </c>
      <c r="D209" s="3" t="s">
        <v>6007</v>
      </c>
      <c r="E209" s="3"/>
      <c r="F209" s="3"/>
      <c r="G209" s="3"/>
      <c r="H209" s="3"/>
      <c r="I209" s="3"/>
      <c r="J209" s="3" t="s">
        <v>940</v>
      </c>
      <c r="K209" s="3"/>
      <c r="L209" s="3" t="s">
        <v>941</v>
      </c>
      <c r="M209" s="3" t="str">
        <f>HYPERLINK("https://ceds.ed.gov/cedselementdetails.aspx?termid=6073")</f>
        <v>https://ceds.ed.gov/cedselementdetails.aspx?termid=6073</v>
      </c>
      <c r="N209" s="3" t="str">
        <f>HYPERLINK("https://ceds.ed.gov/elementComment.aspx?elementName=Assessment Language &amp;elementID=6073", "Click here to submit comment")</f>
        <v>Click here to submit comment</v>
      </c>
    </row>
    <row r="210" spans="1:14" ht="360">
      <c r="A210" s="3" t="s">
        <v>942</v>
      </c>
      <c r="B210" s="3" t="s">
        <v>943</v>
      </c>
      <c r="C210" s="4" t="s">
        <v>6390</v>
      </c>
      <c r="D210" s="3" t="s">
        <v>6001</v>
      </c>
      <c r="E210" s="3" t="s">
        <v>6030</v>
      </c>
      <c r="F210" s="3"/>
      <c r="G210" s="3"/>
      <c r="H210" s="3"/>
      <c r="I210" s="3"/>
      <c r="J210" s="3" t="s">
        <v>944</v>
      </c>
      <c r="K210" s="3"/>
      <c r="L210" s="3" t="s">
        <v>945</v>
      </c>
      <c r="M210" s="3" t="str">
        <f>HYPERLINK("https://ceds.ed.gov/cedselementdetails.aspx?termid=5177")</f>
        <v>https://ceds.ed.gov/cedselementdetails.aspx?termid=5177</v>
      </c>
      <c r="N210" s="3" t="str">
        <f>HYPERLINK("https://ceds.ed.gov/elementComment.aspx?elementName=Assessment Level for Which Designed &amp;elementID=5177", "Click here to submit comment")</f>
        <v>Click here to submit comment</v>
      </c>
    </row>
    <row r="211" spans="1:14" ht="105">
      <c r="A211" s="3" t="s">
        <v>946</v>
      </c>
      <c r="B211" s="3" t="s">
        <v>947</v>
      </c>
      <c r="C211" s="3" t="s">
        <v>6031</v>
      </c>
      <c r="D211" s="3" t="s">
        <v>6032</v>
      </c>
      <c r="E211" s="3"/>
      <c r="F211" s="3"/>
      <c r="G211" s="3"/>
      <c r="H211" s="3"/>
      <c r="I211" s="3"/>
      <c r="J211" s="3" t="s">
        <v>948</v>
      </c>
      <c r="K211" s="3"/>
      <c r="L211" s="3" t="s">
        <v>949</v>
      </c>
      <c r="M211" s="3" t="str">
        <f>HYPERLINK("https://ceds.ed.gov/cedselementdetails.aspx?termid=6045")</f>
        <v>https://ceds.ed.gov/cedselementdetails.aspx?termid=6045</v>
      </c>
      <c r="N211" s="3" t="str">
        <f>HYPERLINK("https://ceds.ed.gov/elementComment.aspx?elementName=Assessment Need Alternative Representation Type &amp;elementID=6045", "Click here to submit comment")</f>
        <v>Click here to submit comment</v>
      </c>
    </row>
    <row r="212" spans="1:14" ht="105">
      <c r="A212" s="3" t="s">
        <v>950</v>
      </c>
      <c r="B212" s="3" t="s">
        <v>951</v>
      </c>
      <c r="C212" s="3" t="s">
        <v>13</v>
      </c>
      <c r="D212" s="3" t="s">
        <v>6033</v>
      </c>
      <c r="E212" s="3"/>
      <c r="F212" s="3"/>
      <c r="G212" s="3" t="s">
        <v>952</v>
      </c>
      <c r="H212" s="3"/>
      <c r="I212" s="3"/>
      <c r="J212" s="3" t="s">
        <v>953</v>
      </c>
      <c r="K212" s="3"/>
      <c r="L212" s="3" t="s">
        <v>954</v>
      </c>
      <c r="M212" s="3" t="str">
        <f>HYPERLINK("https://ceds.ed.gov/cedselementdetails.aspx?termid=6059")</f>
        <v>https://ceds.ed.gov/cedselementdetails.aspx?termid=6059</v>
      </c>
      <c r="N212" s="3" t="str">
        <f>HYPERLINK("https://ceds.ed.gov/elementComment.aspx?elementName=Assessment Need Background Color &amp;elementID=6059", "Click here to submit comment")</f>
        <v>Click here to submit comment</v>
      </c>
    </row>
    <row r="213" spans="1:14" ht="105">
      <c r="A213" s="3" t="s">
        <v>955</v>
      </c>
      <c r="B213" s="3" t="s">
        <v>956</v>
      </c>
      <c r="C213" s="3" t="s">
        <v>13</v>
      </c>
      <c r="D213" s="3" t="s">
        <v>6034</v>
      </c>
      <c r="E213" s="3"/>
      <c r="F213" s="3"/>
      <c r="G213" s="3" t="s">
        <v>957</v>
      </c>
      <c r="H213" s="3"/>
      <c r="I213" s="3"/>
      <c r="J213" s="3" t="s">
        <v>958</v>
      </c>
      <c r="K213" s="3"/>
      <c r="L213" s="3" t="s">
        <v>959</v>
      </c>
      <c r="M213" s="3" t="str">
        <f>HYPERLINK("https://ceds.ed.gov/cedselementdetails.aspx?termid=6040")</f>
        <v>https://ceds.ed.gov/cedselementdetails.aspx?termid=6040</v>
      </c>
      <c r="N213" s="3" t="str">
        <f>HYPERLINK("https://ceds.ed.gov/elementComment.aspx?elementName=Assessment Need Braille Dot Pressure &amp;elementID=6040", "Click here to submit comment")</f>
        <v>Click here to submit comment</v>
      </c>
    </row>
    <row r="214" spans="1:14" ht="105">
      <c r="A214" s="3" t="s">
        <v>960</v>
      </c>
      <c r="B214" s="3" t="s">
        <v>961</v>
      </c>
      <c r="C214" s="3" t="s">
        <v>6035</v>
      </c>
      <c r="D214" s="3" t="s">
        <v>6034</v>
      </c>
      <c r="E214" s="3"/>
      <c r="F214" s="3"/>
      <c r="G214" s="3"/>
      <c r="H214" s="3"/>
      <c r="I214" s="3"/>
      <c r="J214" s="3" t="s">
        <v>962</v>
      </c>
      <c r="K214" s="3"/>
      <c r="L214" s="3" t="s">
        <v>963</v>
      </c>
      <c r="M214" s="3" t="str">
        <f>HYPERLINK("https://ceds.ed.gov/cedselementdetails.aspx?termid=6035")</f>
        <v>https://ceds.ed.gov/cedselementdetails.aspx?termid=6035</v>
      </c>
      <c r="N214" s="3" t="str">
        <f>HYPERLINK("https://ceds.ed.gov/elementComment.aspx?elementName=Assessment Need Braille Grade Type &amp;elementID=6035", "Click here to submit comment")</f>
        <v>Click here to submit comment</v>
      </c>
    </row>
    <row r="215" spans="1:14" ht="105">
      <c r="A215" s="3" t="s">
        <v>964</v>
      </c>
      <c r="B215" s="3" t="s">
        <v>965</v>
      </c>
      <c r="C215" s="3" t="s">
        <v>6036</v>
      </c>
      <c r="D215" s="3" t="s">
        <v>6034</v>
      </c>
      <c r="E215" s="3"/>
      <c r="F215" s="3"/>
      <c r="G215" s="3"/>
      <c r="H215" s="3"/>
      <c r="I215" s="3"/>
      <c r="J215" s="3" t="s">
        <v>966</v>
      </c>
      <c r="K215" s="3"/>
      <c r="L215" s="3" t="s">
        <v>967</v>
      </c>
      <c r="M215" s="3" t="str">
        <f>HYPERLINK("https://ceds.ed.gov/cedselementdetails.aspx?termid=6038")</f>
        <v>https://ceds.ed.gov/cedselementdetails.aspx?termid=6038</v>
      </c>
      <c r="N215" s="3" t="str">
        <f>HYPERLINK("https://ceds.ed.gov/elementComment.aspx?elementName=Assessment Need Braille Mark Type &amp;elementID=6038", "Click here to submit comment")</f>
        <v>Click here to submit comment</v>
      </c>
    </row>
    <row r="216" spans="1:14" ht="105">
      <c r="A216" s="3" t="s">
        <v>968</v>
      </c>
      <c r="B216" s="3" t="s">
        <v>969</v>
      </c>
      <c r="C216" s="3" t="s">
        <v>6037</v>
      </c>
      <c r="D216" s="3" t="s">
        <v>6034</v>
      </c>
      <c r="E216" s="3"/>
      <c r="F216" s="3"/>
      <c r="G216" s="3"/>
      <c r="H216" s="3"/>
      <c r="I216" s="3"/>
      <c r="J216" s="3" t="s">
        <v>970</v>
      </c>
      <c r="K216" s="3"/>
      <c r="L216" s="3" t="s">
        <v>971</v>
      </c>
      <c r="M216" s="3" t="str">
        <f>HYPERLINK("https://ceds.ed.gov/cedselementdetails.aspx?termid=6041")</f>
        <v>https://ceds.ed.gov/cedselementdetails.aspx?termid=6041</v>
      </c>
      <c r="N216" s="3" t="str">
        <f>HYPERLINK("https://ceds.ed.gov/elementComment.aspx?elementName=Assessment Need Braille Status Cell Type &amp;elementID=6041", "Click here to submit comment")</f>
        <v>Click here to submit comment</v>
      </c>
    </row>
    <row r="217" spans="1:14" ht="105">
      <c r="A217" s="3" t="s">
        <v>972</v>
      </c>
      <c r="B217" s="3" t="s">
        <v>973</v>
      </c>
      <c r="C217" s="3" t="s">
        <v>5963</v>
      </c>
      <c r="D217" s="3" t="s">
        <v>6032</v>
      </c>
      <c r="E217" s="3"/>
      <c r="F217" s="3"/>
      <c r="G217" s="3"/>
      <c r="H217" s="3"/>
      <c r="I217" s="3"/>
      <c r="J217" s="3" t="s">
        <v>974</v>
      </c>
      <c r="K217" s="3"/>
      <c r="L217" s="3" t="s">
        <v>975</v>
      </c>
      <c r="M217" s="3" t="str">
        <f>HYPERLINK("https://ceds.ed.gov/cedselementdetails.aspx?termid=6050")</f>
        <v>https://ceds.ed.gov/cedselementdetails.aspx?termid=6050</v>
      </c>
      <c r="N217" s="3" t="str">
        <f>HYPERLINK("https://ceds.ed.gov/elementComment.aspx?elementName=Assessment Need Directions Only &amp;elementID=6050", "Click here to submit comment")</f>
        <v>Click here to submit comment</v>
      </c>
    </row>
    <row r="218" spans="1:14" ht="105">
      <c r="A218" s="3" t="s">
        <v>976</v>
      </c>
      <c r="B218" s="3" t="s">
        <v>977</v>
      </c>
      <c r="C218" s="3" t="s">
        <v>13</v>
      </c>
      <c r="D218" s="3" t="s">
        <v>6033</v>
      </c>
      <c r="E218" s="3"/>
      <c r="F218" s="3"/>
      <c r="G218" s="3" t="s">
        <v>952</v>
      </c>
      <c r="H218" s="3"/>
      <c r="I218" s="3"/>
      <c r="J218" s="3" t="s">
        <v>978</v>
      </c>
      <c r="K218" s="3"/>
      <c r="L218" s="3" t="s">
        <v>979</v>
      </c>
      <c r="M218" s="3" t="str">
        <f>HYPERLINK("https://ceds.ed.gov/cedselementdetails.aspx?termid=6058")</f>
        <v>https://ceds.ed.gov/cedselementdetails.aspx?termid=6058</v>
      </c>
      <c r="N218" s="3" t="str">
        <f>HYPERLINK("https://ceds.ed.gov/elementComment.aspx?elementName=Assessment Need Foreground Color &amp;elementID=6058", "Click here to submit comment")</f>
        <v>Click here to submit comment</v>
      </c>
    </row>
    <row r="219" spans="1:14" ht="105">
      <c r="A219" s="3" t="s">
        <v>980</v>
      </c>
      <c r="B219" s="3" t="s">
        <v>981</v>
      </c>
      <c r="C219" s="4" t="s">
        <v>6391</v>
      </c>
      <c r="D219" s="3" t="s">
        <v>6032</v>
      </c>
      <c r="E219" s="3"/>
      <c r="F219" s="3"/>
      <c r="G219" s="3"/>
      <c r="H219" s="3"/>
      <c r="I219" s="3"/>
      <c r="J219" s="3" t="s">
        <v>982</v>
      </c>
      <c r="K219" s="3"/>
      <c r="L219" s="3" t="s">
        <v>983</v>
      </c>
      <c r="M219" s="3" t="str">
        <f>HYPERLINK("https://ceds.ed.gov/cedselementdetails.aspx?termid=6026")</f>
        <v>https://ceds.ed.gov/cedselementdetails.aspx?termid=6026</v>
      </c>
      <c r="N219" s="3" t="str">
        <f>HYPERLINK("https://ceds.ed.gov/elementComment.aspx?elementName=Assessment Need Hazard Type &amp;elementID=6026", "Click here to submit comment")</f>
        <v>Click here to submit comment</v>
      </c>
    </row>
    <row r="220" spans="1:14" ht="105">
      <c r="A220" s="3" t="s">
        <v>984</v>
      </c>
      <c r="B220" s="3" t="s">
        <v>985</v>
      </c>
      <c r="C220" s="3" t="s">
        <v>6038</v>
      </c>
      <c r="D220" s="3" t="s">
        <v>6033</v>
      </c>
      <c r="E220" s="3"/>
      <c r="F220" s="3"/>
      <c r="G220" s="3"/>
      <c r="H220" s="3"/>
      <c r="I220" s="3"/>
      <c r="J220" s="3" t="s">
        <v>986</v>
      </c>
      <c r="K220" s="3"/>
      <c r="L220" s="3" t="s">
        <v>987</v>
      </c>
      <c r="M220" s="3" t="str">
        <f>HYPERLINK("https://ceds.ed.gov/cedselementdetails.aspx?termid=6060")</f>
        <v>https://ceds.ed.gov/cedselementdetails.aspx?termid=6060</v>
      </c>
      <c r="N220" s="3" t="str">
        <f>HYPERLINK("https://ceds.ed.gov/elementComment.aspx?elementName=Assessment Need Increased Whitespacing Type &amp;elementID=6060", "Click here to submit comment")</f>
        <v>Click here to submit comment</v>
      </c>
    </row>
    <row r="221" spans="1:14" ht="105">
      <c r="A221" s="3" t="s">
        <v>988</v>
      </c>
      <c r="B221" s="3" t="s">
        <v>989</v>
      </c>
      <c r="C221" s="3" t="s">
        <v>5963</v>
      </c>
      <c r="D221" s="3" t="s">
        <v>6034</v>
      </c>
      <c r="E221" s="3"/>
      <c r="F221" s="3"/>
      <c r="G221" s="3"/>
      <c r="H221" s="3"/>
      <c r="I221" s="3"/>
      <c r="J221" s="3" t="s">
        <v>990</v>
      </c>
      <c r="K221" s="3"/>
      <c r="L221" s="3" t="s">
        <v>991</v>
      </c>
      <c r="M221" s="3" t="str">
        <f>HYPERLINK("https://ceds.ed.gov/cedselementdetails.aspx?termid=6033")</f>
        <v>https://ceds.ed.gov/cedselementdetails.aspx?termid=6033</v>
      </c>
      <c r="N221" s="3" t="str">
        <f>HYPERLINK("https://ceds.ed.gov/elementComment.aspx?elementName=Assessment Need Invert Color Choice &amp;elementID=6033", "Click here to submit comment")</f>
        <v>Click here to submit comment</v>
      </c>
    </row>
    <row r="222" spans="1:14" ht="105">
      <c r="A222" s="3" t="s">
        <v>992</v>
      </c>
      <c r="B222" s="3" t="s">
        <v>993</v>
      </c>
      <c r="C222" s="5" t="s">
        <v>939</v>
      </c>
      <c r="D222" s="3" t="s">
        <v>6032</v>
      </c>
      <c r="E222" s="3"/>
      <c r="F222" s="3"/>
      <c r="G222" s="3"/>
      <c r="H222" s="3"/>
      <c r="I222" s="3"/>
      <c r="J222" s="3" t="s">
        <v>994</v>
      </c>
      <c r="K222" s="3"/>
      <c r="L222" s="3" t="s">
        <v>995</v>
      </c>
      <c r="M222" s="3" t="str">
        <f>HYPERLINK("https://ceds.ed.gov/cedselementdetails.aspx?termid=6042")</f>
        <v>https://ceds.ed.gov/cedselementdetails.aspx?termid=6042</v>
      </c>
      <c r="N222" s="3" t="str">
        <f>HYPERLINK("https://ceds.ed.gov/elementComment.aspx?elementName=Assessment Need Item Translation Display Language Type &amp;elementID=6042", "Click here to submit comment")</f>
        <v>Click here to submit comment</v>
      </c>
    </row>
    <row r="223" spans="1:14" ht="105">
      <c r="A223" s="3" t="s">
        <v>996</v>
      </c>
      <c r="B223" s="3" t="s">
        <v>997</v>
      </c>
      <c r="C223" s="5" t="s">
        <v>939</v>
      </c>
      <c r="D223" s="3" t="s">
        <v>6032</v>
      </c>
      <c r="E223" s="3"/>
      <c r="F223" s="3"/>
      <c r="G223" s="3"/>
      <c r="H223" s="3"/>
      <c r="I223" s="3"/>
      <c r="J223" s="3" t="s">
        <v>998</v>
      </c>
      <c r="K223" s="3"/>
      <c r="L223" s="3" t="s">
        <v>999</v>
      </c>
      <c r="M223" s="3" t="str">
        <f>HYPERLINK("https://ceds.ed.gov/cedselementdetails.aspx?termid=6043")</f>
        <v>https://ceds.ed.gov/cedselementdetails.aspx?termid=6043</v>
      </c>
      <c r="N223" s="3" t="str">
        <f>HYPERLINK("https://ceds.ed.gov/elementComment.aspx?elementName=Assessment Need Keyword Translation Language Type &amp;elementID=6043", "Click here to submit comment")</f>
        <v>Click here to submit comment</v>
      </c>
    </row>
    <row r="224" spans="1:14" ht="75">
      <c r="A224" s="3" t="s">
        <v>1000</v>
      </c>
      <c r="B224" s="3" t="s">
        <v>1001</v>
      </c>
      <c r="C224" s="5" t="s">
        <v>939</v>
      </c>
      <c r="D224" s="3" t="s">
        <v>6039</v>
      </c>
      <c r="E224" s="3"/>
      <c r="F224" s="3"/>
      <c r="G224" s="3"/>
      <c r="H224" s="3"/>
      <c r="I224" s="3"/>
      <c r="J224" s="3" t="s">
        <v>1002</v>
      </c>
      <c r="K224" s="3"/>
      <c r="L224" s="3" t="s">
        <v>1003</v>
      </c>
      <c r="M224" s="3" t="str">
        <f>HYPERLINK("https://ceds.ed.gov/cedselementdetails.aspx?termid=6025")</f>
        <v>https://ceds.ed.gov/cedselementdetails.aspx?termid=6025</v>
      </c>
      <c r="N224" s="3" t="str">
        <f>HYPERLINK("https://ceds.ed.gov/elementComment.aspx?elementName=Assessment Need Language Type &amp;elementID=6025", "Click here to submit comment")</f>
        <v>Click here to submit comment</v>
      </c>
    </row>
    <row r="225" spans="1:14" ht="105">
      <c r="A225" s="3" t="s">
        <v>1004</v>
      </c>
      <c r="B225" s="3" t="s">
        <v>1005</v>
      </c>
      <c r="C225" s="3" t="s">
        <v>13</v>
      </c>
      <c r="D225" s="3" t="s">
        <v>6034</v>
      </c>
      <c r="E225" s="3"/>
      <c r="F225" s="3"/>
      <c r="G225" s="3" t="s">
        <v>952</v>
      </c>
      <c r="H225" s="3"/>
      <c r="I225" s="3"/>
      <c r="J225" s="3" t="s">
        <v>1006</v>
      </c>
      <c r="K225" s="3"/>
      <c r="L225" s="3" t="s">
        <v>1007</v>
      </c>
      <c r="M225" s="3" t="str">
        <f>HYPERLINK("https://ceds.ed.gov/cedselementdetails.aspx?termid=6056")</f>
        <v>https://ceds.ed.gov/cedselementdetails.aspx?termid=6056</v>
      </c>
      <c r="N225" s="3" t="str">
        <f>HYPERLINK("https://ceds.ed.gov/elementComment.aspx?elementName=Assessment Need Line Reader Highlight Color &amp;elementID=6056", "Click here to submit comment")</f>
        <v>Click here to submit comment</v>
      </c>
    </row>
    <row r="226" spans="1:14" ht="105">
      <c r="A226" s="3" t="s">
        <v>1008</v>
      </c>
      <c r="B226" s="3" t="s">
        <v>1009</v>
      </c>
      <c r="C226" s="4" t="s">
        <v>6392</v>
      </c>
      <c r="D226" s="3" t="s">
        <v>6034</v>
      </c>
      <c r="E226" s="3"/>
      <c r="F226" s="3"/>
      <c r="G226" s="3"/>
      <c r="H226" s="3"/>
      <c r="I226" s="3"/>
      <c r="J226" s="3" t="s">
        <v>1010</v>
      </c>
      <c r="K226" s="3"/>
      <c r="L226" s="3" t="s">
        <v>1011</v>
      </c>
      <c r="M226" s="3" t="str">
        <f>HYPERLINK("https://ceds.ed.gov/cedselementdetails.aspx?termid=6029")</f>
        <v>https://ceds.ed.gov/cedselementdetails.aspx?termid=6029</v>
      </c>
      <c r="N226" s="3" t="str">
        <f>HYPERLINK("https://ceds.ed.gov/elementComment.aspx?elementName=Assessment Need Link Indication Type &amp;elementID=6029", "Click here to submit comment")</f>
        <v>Click here to submit comment</v>
      </c>
    </row>
    <row r="227" spans="1:14" ht="105">
      <c r="A227" s="3" t="s">
        <v>1012</v>
      </c>
      <c r="B227" s="3" t="s">
        <v>1013</v>
      </c>
      <c r="C227" s="3" t="s">
        <v>13</v>
      </c>
      <c r="D227" s="3" t="s">
        <v>6034</v>
      </c>
      <c r="E227" s="3"/>
      <c r="F227" s="3"/>
      <c r="G227" s="3" t="s">
        <v>957</v>
      </c>
      <c r="H227" s="3"/>
      <c r="I227" s="3"/>
      <c r="J227" s="3" t="s">
        <v>1014</v>
      </c>
      <c r="K227" s="3"/>
      <c r="L227" s="3" t="s">
        <v>1015</v>
      </c>
      <c r="M227" s="3" t="str">
        <f>HYPERLINK("https://ceds.ed.gov/cedselementdetails.aspx?termid=6034")</f>
        <v>https://ceds.ed.gov/cedselementdetails.aspx?termid=6034</v>
      </c>
      <c r="N227" s="3" t="str">
        <f>HYPERLINK("https://ceds.ed.gov/elementComment.aspx?elementName=Assessment Need Magnification &amp;elementID=6034", "Click here to submit comment")</f>
        <v>Click here to submit comment</v>
      </c>
    </row>
    <row r="228" spans="1:14" ht="105">
      <c r="A228" s="3" t="s">
        <v>1016</v>
      </c>
      <c r="B228" s="3" t="s">
        <v>1017</v>
      </c>
      <c r="C228" s="4" t="s">
        <v>6393</v>
      </c>
      <c r="D228" s="3" t="s">
        <v>6034</v>
      </c>
      <c r="E228" s="3"/>
      <c r="F228" s="3"/>
      <c r="G228" s="3"/>
      <c r="H228" s="3"/>
      <c r="I228" s="3"/>
      <c r="J228" s="3" t="s">
        <v>1018</v>
      </c>
      <c r="K228" s="3"/>
      <c r="L228" s="3" t="s">
        <v>1019</v>
      </c>
      <c r="M228" s="3" t="str">
        <f>HYPERLINK("https://ceds.ed.gov/cedselementdetails.aspx?termid=6051")</f>
        <v>https://ceds.ed.gov/cedselementdetails.aspx?termid=6051</v>
      </c>
      <c r="N228" s="3" t="str">
        <f>HYPERLINK("https://ceds.ed.gov/elementComment.aspx?elementName=Assessment Need Masking Type &amp;elementID=6051", "Click here to submit comment")</f>
        <v>Click here to submit comment</v>
      </c>
    </row>
    <row r="229" spans="1:14" ht="105">
      <c r="A229" s="3" t="s">
        <v>1020</v>
      </c>
      <c r="B229" s="3" t="s">
        <v>1021</v>
      </c>
      <c r="C229" s="3" t="s">
        <v>13</v>
      </c>
      <c r="D229" s="3" t="s">
        <v>6034</v>
      </c>
      <c r="E229" s="3"/>
      <c r="F229" s="3"/>
      <c r="G229" s="3" t="s">
        <v>1022</v>
      </c>
      <c r="H229" s="3"/>
      <c r="I229" s="3"/>
      <c r="J229" s="3" t="s">
        <v>1023</v>
      </c>
      <c r="K229" s="3"/>
      <c r="L229" s="3" t="s">
        <v>1024</v>
      </c>
      <c r="M229" s="3" t="str">
        <f>HYPERLINK("https://ceds.ed.gov/cedselementdetails.aspx?termid=6037")</f>
        <v>https://ceds.ed.gov/cedselementdetails.aspx?termid=6037</v>
      </c>
      <c r="N229" s="3" t="str">
        <f>HYPERLINK("https://ceds.ed.gov/elementComment.aspx?elementName=Assessment Need Number of Braille Cells &amp;elementID=6037", "Click here to submit comment")</f>
        <v>Click here to submit comment</v>
      </c>
    </row>
    <row r="230" spans="1:14" ht="105">
      <c r="A230" s="3" t="s">
        <v>1025</v>
      </c>
      <c r="B230" s="3" t="s">
        <v>1026</v>
      </c>
      <c r="C230" s="3" t="s">
        <v>6040</v>
      </c>
      <c r="D230" s="3" t="s">
        <v>6034</v>
      </c>
      <c r="E230" s="3"/>
      <c r="F230" s="3"/>
      <c r="G230" s="3"/>
      <c r="H230" s="3"/>
      <c r="I230" s="3"/>
      <c r="J230" s="3" t="s">
        <v>1027</v>
      </c>
      <c r="K230" s="3"/>
      <c r="L230" s="3" t="s">
        <v>1028</v>
      </c>
      <c r="M230" s="3" t="str">
        <f>HYPERLINK("https://ceds.ed.gov/cedselementdetails.aspx?termid=6036")</f>
        <v>https://ceds.ed.gov/cedselementdetails.aspx?termid=6036</v>
      </c>
      <c r="N230" s="3" t="str">
        <f>HYPERLINK("https://ceds.ed.gov/elementComment.aspx?elementName=Assessment Need Number of Braille Dots Type &amp;elementID=6036", "Click here to submit comment")</f>
        <v>Click here to submit comment</v>
      </c>
    </row>
    <row r="231" spans="1:14" ht="105">
      <c r="A231" s="3" t="s">
        <v>1029</v>
      </c>
      <c r="B231" s="3" t="s">
        <v>1030</v>
      </c>
      <c r="C231" s="3" t="s">
        <v>13</v>
      </c>
      <c r="D231" s="3" t="s">
        <v>6033</v>
      </c>
      <c r="E231" s="3"/>
      <c r="F231" s="3"/>
      <c r="G231" s="3" t="s">
        <v>952</v>
      </c>
      <c r="H231" s="3"/>
      <c r="I231" s="3"/>
      <c r="J231" s="3" t="s">
        <v>1031</v>
      </c>
      <c r="K231" s="3"/>
      <c r="L231" s="3" t="s">
        <v>1032</v>
      </c>
      <c r="M231" s="3" t="str">
        <f>HYPERLINK("https://ceds.ed.gov/cedselementdetails.aspx?termid=6057")</f>
        <v>https://ceds.ed.gov/cedselementdetails.aspx?termid=6057</v>
      </c>
      <c r="N231" s="3" t="str">
        <f>HYPERLINK("https://ceds.ed.gov/elementComment.aspx?elementName=Assessment Need Overlay Color &amp;elementID=6057", "Click here to submit comment")</f>
        <v>Click here to submit comment</v>
      </c>
    </row>
    <row r="232" spans="1:14" ht="105">
      <c r="A232" s="3" t="s">
        <v>1033</v>
      </c>
      <c r="B232" s="3" t="s">
        <v>1034</v>
      </c>
      <c r="C232" s="3" t="s">
        <v>13</v>
      </c>
      <c r="D232" s="3" t="s">
        <v>6034</v>
      </c>
      <c r="E232" s="3"/>
      <c r="F232" s="3"/>
      <c r="G232" s="3" t="s">
        <v>957</v>
      </c>
      <c r="H232" s="3"/>
      <c r="I232" s="3"/>
      <c r="J232" s="3" t="s">
        <v>1035</v>
      </c>
      <c r="K232" s="3"/>
      <c r="L232" s="3" t="s">
        <v>1036</v>
      </c>
      <c r="M232" s="3" t="str">
        <f>HYPERLINK("https://ceds.ed.gov/cedselementdetails.aspx?termid=6031")</f>
        <v>https://ceds.ed.gov/cedselementdetails.aspx?termid=6031</v>
      </c>
      <c r="N232" s="3" t="str">
        <f>HYPERLINK("https://ceds.ed.gov/elementComment.aspx?elementName=Assessment Need Pitch &amp;elementID=6031", "Click here to submit comment")</f>
        <v>Click here to submit comment</v>
      </c>
    </row>
    <row r="233" spans="1:14" ht="105">
      <c r="A233" s="3" t="s">
        <v>1037</v>
      </c>
      <c r="B233" s="3" t="s">
        <v>1038</v>
      </c>
      <c r="C233" s="3" t="s">
        <v>5963</v>
      </c>
      <c r="D233" s="3" t="s">
        <v>6034</v>
      </c>
      <c r="E233" s="3"/>
      <c r="F233" s="3"/>
      <c r="G233" s="3"/>
      <c r="H233" s="3"/>
      <c r="I233" s="3"/>
      <c r="J233" s="3" t="s">
        <v>1039</v>
      </c>
      <c r="K233" s="3"/>
      <c r="L233" s="3" t="s">
        <v>1040</v>
      </c>
      <c r="M233" s="3" t="str">
        <f>HYPERLINK("https://ceds.ed.gov/cedselementdetails.aspx?termid=6048")</f>
        <v>https://ceds.ed.gov/cedselementdetails.aspx?termid=6048</v>
      </c>
      <c r="N233" s="3" t="str">
        <f>HYPERLINK("https://ceds.ed.gov/elementComment.aspx?elementName=Assessment Need Read At Start Preference &amp;elementID=6048", "Click here to submit comment")</f>
        <v>Click here to submit comment</v>
      </c>
    </row>
    <row r="234" spans="1:14" ht="105">
      <c r="A234" s="3" t="s">
        <v>1041</v>
      </c>
      <c r="B234" s="3" t="s">
        <v>1042</v>
      </c>
      <c r="C234" s="4" t="s">
        <v>6394</v>
      </c>
      <c r="D234" s="3" t="s">
        <v>6034</v>
      </c>
      <c r="E234" s="3"/>
      <c r="F234" s="3"/>
      <c r="G234" s="3"/>
      <c r="H234" s="3"/>
      <c r="I234" s="3"/>
      <c r="J234" s="3" t="s">
        <v>1043</v>
      </c>
      <c r="K234" s="3"/>
      <c r="L234" s="3" t="s">
        <v>1044</v>
      </c>
      <c r="M234" s="3" t="str">
        <f>HYPERLINK("https://ceds.ed.gov/cedselementdetails.aspx?termid=6044")</f>
        <v>https://ceds.ed.gov/cedselementdetails.aspx?termid=6044</v>
      </c>
      <c r="N234" s="3" t="str">
        <f>HYPERLINK("https://ceds.ed.gov/elementComment.aspx?elementName=Assessment Need Signing Type &amp;elementID=6044", "Click here to submit comment")</f>
        <v>Click here to submit comment</v>
      </c>
    </row>
    <row r="235" spans="1:14" ht="105">
      <c r="A235" s="3" t="s">
        <v>1045</v>
      </c>
      <c r="B235" s="3" t="s">
        <v>1046</v>
      </c>
      <c r="C235" s="3" t="s">
        <v>13</v>
      </c>
      <c r="D235" s="3" t="s">
        <v>6034</v>
      </c>
      <c r="E235" s="3"/>
      <c r="F235" s="3"/>
      <c r="G235" s="3" t="s">
        <v>93</v>
      </c>
      <c r="H235" s="3"/>
      <c r="I235" s="3"/>
      <c r="J235" s="3" t="s">
        <v>1047</v>
      </c>
      <c r="K235" s="3"/>
      <c r="L235" s="3" t="s">
        <v>1048</v>
      </c>
      <c r="M235" s="3" t="str">
        <f>HYPERLINK("https://ceds.ed.gov/cedselementdetails.aspx?termid=6053")</f>
        <v>https://ceds.ed.gov/cedselementdetails.aspx?termid=6053</v>
      </c>
      <c r="N235" s="3" t="str">
        <f>HYPERLINK("https://ceds.ed.gov/elementComment.aspx?elementName=Assessment Need Sound File URL &amp;elementID=6053", "Click here to submit comment")</f>
        <v>Click here to submit comment</v>
      </c>
    </row>
    <row r="236" spans="1:14" ht="105">
      <c r="A236" s="3" t="s">
        <v>1049</v>
      </c>
      <c r="B236" s="3" t="s">
        <v>1050</v>
      </c>
      <c r="C236" s="3" t="s">
        <v>13</v>
      </c>
      <c r="D236" s="3" t="s">
        <v>6034</v>
      </c>
      <c r="E236" s="3"/>
      <c r="F236" s="3"/>
      <c r="G236" s="3" t="s">
        <v>1022</v>
      </c>
      <c r="H236" s="3"/>
      <c r="I236" s="3"/>
      <c r="J236" s="3" t="s">
        <v>1051</v>
      </c>
      <c r="K236" s="3"/>
      <c r="L236" s="3" t="s">
        <v>1052</v>
      </c>
      <c r="M236" s="3" t="str">
        <f>HYPERLINK("https://ceds.ed.gov/cedselementdetails.aspx?termid=6030")</f>
        <v>https://ceds.ed.gov/cedselementdetails.aspx?termid=6030</v>
      </c>
      <c r="N236" s="3" t="str">
        <f>HYPERLINK("https://ceds.ed.gov/elementComment.aspx?elementName=Assessment Need Speech Rate &amp;elementID=6030", "Click here to submit comment")</f>
        <v>Click here to submit comment</v>
      </c>
    </row>
    <row r="237" spans="1:14" ht="105">
      <c r="A237" s="3" t="s">
        <v>1053</v>
      </c>
      <c r="B237" s="3" t="s">
        <v>1054</v>
      </c>
      <c r="C237" s="3" t="s">
        <v>6041</v>
      </c>
      <c r="D237" s="3" t="s">
        <v>6034</v>
      </c>
      <c r="E237" s="3"/>
      <c r="F237" s="3"/>
      <c r="G237" s="3"/>
      <c r="H237" s="3"/>
      <c r="I237" s="3"/>
      <c r="J237" s="3" t="s">
        <v>1055</v>
      </c>
      <c r="K237" s="3"/>
      <c r="L237" s="3" t="s">
        <v>1056</v>
      </c>
      <c r="M237" s="3" t="str">
        <f>HYPERLINK("https://ceds.ed.gov/cedselementdetails.aspx?termid=6046")</f>
        <v>https://ceds.ed.gov/cedselementdetails.aspx?termid=6046</v>
      </c>
      <c r="N237" s="3" t="str">
        <f>HYPERLINK("https://ceds.ed.gov/elementComment.aspx?elementName=Assessment Need Spoken Source Preference Type &amp;elementID=6046", "Click here to submit comment")</f>
        <v>Click here to submit comment</v>
      </c>
    </row>
    <row r="238" spans="1:14" ht="180">
      <c r="A238" s="3" t="s">
        <v>1057</v>
      </c>
      <c r="B238" s="3" t="s">
        <v>1058</v>
      </c>
      <c r="C238" s="4" t="s">
        <v>6395</v>
      </c>
      <c r="D238" s="3" t="s">
        <v>6032</v>
      </c>
      <c r="E238" s="3"/>
      <c r="F238" s="3"/>
      <c r="G238" s="3"/>
      <c r="H238" s="3"/>
      <c r="I238" s="3"/>
      <c r="J238" s="3" t="s">
        <v>1059</v>
      </c>
      <c r="K238" s="3"/>
      <c r="L238" s="3" t="s">
        <v>1060</v>
      </c>
      <c r="M238" s="3" t="str">
        <f>HYPERLINK("https://ceds.ed.gov/cedselementdetails.aspx?termid=6027")</f>
        <v>https://ceds.ed.gov/cedselementdetails.aspx?termid=6027</v>
      </c>
      <c r="N238" s="3" t="str">
        <f>HYPERLINK("https://ceds.ed.gov/elementComment.aspx?elementName=Assessment Need Support Tool Type &amp;elementID=6027", "Click here to submit comment")</f>
        <v>Click here to submit comment</v>
      </c>
    </row>
    <row r="239" spans="1:14" ht="105">
      <c r="A239" s="3" t="s">
        <v>1061</v>
      </c>
      <c r="B239" s="3" t="s">
        <v>1062</v>
      </c>
      <c r="C239" s="3" t="s">
        <v>13</v>
      </c>
      <c r="D239" s="3" t="s">
        <v>6034</v>
      </c>
      <c r="E239" s="3"/>
      <c r="F239" s="3"/>
      <c r="G239" s="3" t="s">
        <v>319</v>
      </c>
      <c r="H239" s="3"/>
      <c r="I239" s="3"/>
      <c r="J239" s="3" t="s">
        <v>1063</v>
      </c>
      <c r="K239" s="3"/>
      <c r="L239" s="3" t="s">
        <v>1064</v>
      </c>
      <c r="M239" s="3" t="str">
        <f>HYPERLINK("https://ceds.ed.gov/cedselementdetails.aspx?termid=6052")</f>
        <v>https://ceds.ed.gov/cedselementdetails.aspx?termid=6052</v>
      </c>
      <c r="N239" s="3" t="str">
        <f>HYPERLINK("https://ceds.ed.gov/elementComment.aspx?elementName=Assessment Need Text Messaging String &amp;elementID=6052", "Click here to submit comment")</f>
        <v>Click here to submit comment</v>
      </c>
    </row>
    <row r="240" spans="1:14" ht="105">
      <c r="A240" s="3" t="s">
        <v>1065</v>
      </c>
      <c r="B240" s="3" t="s">
        <v>1066</v>
      </c>
      <c r="C240" s="3" t="s">
        <v>13</v>
      </c>
      <c r="D240" s="3" t="s">
        <v>6042</v>
      </c>
      <c r="E240" s="3"/>
      <c r="F240" s="3"/>
      <c r="G240" s="3" t="s">
        <v>1067</v>
      </c>
      <c r="H240" s="3"/>
      <c r="I240" s="3"/>
      <c r="J240" s="3" t="s">
        <v>1068</v>
      </c>
      <c r="K240" s="3"/>
      <c r="L240" s="3" t="s">
        <v>1069</v>
      </c>
      <c r="M240" s="3" t="str">
        <f>HYPERLINK("https://ceds.ed.gov/cedselementdetails.aspx?termid=6055")</f>
        <v>https://ceds.ed.gov/cedselementdetails.aspx?termid=6055</v>
      </c>
      <c r="N240" s="3" t="str">
        <f>HYPERLINK("https://ceds.ed.gov/elementComment.aspx?elementName=Assessment Need Time Multiplier &amp;elementID=6055", "Click here to submit comment")</f>
        <v>Click here to submit comment</v>
      </c>
    </row>
    <row r="241" spans="1:14" ht="75">
      <c r="A241" s="3" t="s">
        <v>1070</v>
      </c>
      <c r="B241" s="3" t="s">
        <v>1071</v>
      </c>
      <c r="C241" s="3" t="s">
        <v>13</v>
      </c>
      <c r="D241" s="3" t="s">
        <v>6039</v>
      </c>
      <c r="E241" s="3"/>
      <c r="F241" s="3"/>
      <c r="G241" s="3" t="s">
        <v>319</v>
      </c>
      <c r="H241" s="3"/>
      <c r="I241" s="3"/>
      <c r="J241" s="3" t="s">
        <v>1072</v>
      </c>
      <c r="K241" s="3"/>
      <c r="L241" s="3" t="s">
        <v>1073</v>
      </c>
      <c r="M241" s="3" t="str">
        <f>HYPERLINK("https://ceds.ed.gov/cedselementdetails.aspx?termid=6101")</f>
        <v>https://ceds.ed.gov/cedselementdetails.aspx?termid=6101</v>
      </c>
      <c r="N241" s="3" t="str">
        <f>HYPERLINK("https://ceds.ed.gov/elementComment.aspx?elementName=Assessment Need Type &amp;elementID=6101", "Click here to submit comment")</f>
        <v>Click here to submit comment</v>
      </c>
    </row>
    <row r="242" spans="1:14" ht="105">
      <c r="A242" s="3" t="s">
        <v>1074</v>
      </c>
      <c r="B242" s="3" t="s">
        <v>1075</v>
      </c>
      <c r="C242" s="4" t="s">
        <v>6396</v>
      </c>
      <c r="D242" s="3" t="s">
        <v>6034</v>
      </c>
      <c r="E242" s="3"/>
      <c r="F242" s="3"/>
      <c r="G242" s="3"/>
      <c r="H242" s="3"/>
      <c r="I242" s="3"/>
      <c r="J242" s="3" t="s">
        <v>1076</v>
      </c>
      <c r="K242" s="3"/>
      <c r="L242" s="3" t="s">
        <v>1077</v>
      </c>
      <c r="M242" s="3" t="str">
        <f>HYPERLINK("https://ceds.ed.gov/cedselementdetails.aspx?termid=6028")</f>
        <v>https://ceds.ed.gov/cedselementdetails.aspx?termid=6028</v>
      </c>
      <c r="N242" s="3" t="str">
        <f>HYPERLINK("https://ceds.ed.gov/elementComment.aspx?elementName=Assessment Need Usage Type &amp;elementID=6028", "Click here to submit comment")</f>
        <v>Click here to submit comment</v>
      </c>
    </row>
    <row r="243" spans="1:14" ht="105">
      <c r="A243" s="3" t="s">
        <v>1078</v>
      </c>
      <c r="B243" s="3" t="s">
        <v>1079</v>
      </c>
      <c r="C243" s="4" t="s">
        <v>6397</v>
      </c>
      <c r="D243" s="3" t="s">
        <v>6032</v>
      </c>
      <c r="E243" s="3"/>
      <c r="F243" s="3"/>
      <c r="G243" s="3"/>
      <c r="H243" s="3"/>
      <c r="I243" s="3"/>
      <c r="J243" s="3" t="s">
        <v>1080</v>
      </c>
      <c r="K243" s="3"/>
      <c r="L243" s="3" t="s">
        <v>1081</v>
      </c>
      <c r="M243" s="3" t="str">
        <f>HYPERLINK("https://ceds.ed.gov/cedselementdetails.aspx?termid=6049")</f>
        <v>https://ceds.ed.gov/cedselementdetails.aspx?termid=6049</v>
      </c>
      <c r="N243" s="3" t="str">
        <f>HYPERLINK("https://ceds.ed.gov/elementComment.aspx?elementName=Assessment Need User Spoken Preference Type &amp;elementID=6049", "Click here to submit comment")</f>
        <v>Click here to submit comment</v>
      </c>
    </row>
    <row r="244" spans="1:14" ht="105">
      <c r="A244" s="3" t="s">
        <v>1082</v>
      </c>
      <c r="B244" s="3" t="s">
        <v>1083</v>
      </c>
      <c r="C244" s="3" t="s">
        <v>13</v>
      </c>
      <c r="D244" s="3" t="s">
        <v>6034</v>
      </c>
      <c r="E244" s="3"/>
      <c r="F244" s="3"/>
      <c r="G244" s="3" t="s">
        <v>957</v>
      </c>
      <c r="H244" s="3"/>
      <c r="I244" s="3"/>
      <c r="J244" s="3" t="s">
        <v>1084</v>
      </c>
      <c r="K244" s="3"/>
      <c r="L244" s="3" t="s">
        <v>1085</v>
      </c>
      <c r="M244" s="3" t="str">
        <f>HYPERLINK("https://ceds.ed.gov/cedselementdetails.aspx?termid=6032")</f>
        <v>https://ceds.ed.gov/cedselementdetails.aspx?termid=6032</v>
      </c>
      <c r="N244" s="3" t="str">
        <f>HYPERLINK("https://ceds.ed.gov/elementComment.aspx?elementName=Assessment Need Volume &amp;elementID=6032", "Click here to submit comment")</f>
        <v>Click here to submit comment</v>
      </c>
    </row>
    <row r="245" spans="1:14" ht="90">
      <c r="A245" s="3" t="s">
        <v>1086</v>
      </c>
      <c r="B245" s="3" t="s">
        <v>1087</v>
      </c>
      <c r="C245" s="3" t="s">
        <v>13</v>
      </c>
      <c r="D245" s="3" t="s">
        <v>6043</v>
      </c>
      <c r="E245" s="3" t="s">
        <v>6018</v>
      </c>
      <c r="F245" s="3"/>
      <c r="G245" s="3" t="s">
        <v>745</v>
      </c>
      <c r="H245" s="3"/>
      <c r="I245" s="3"/>
      <c r="J245" s="3" t="s">
        <v>1088</v>
      </c>
      <c r="K245" s="3"/>
      <c r="L245" s="3" t="s">
        <v>1089</v>
      </c>
      <c r="M245" s="3" t="str">
        <f>HYPERLINK("https://ceds.ed.gov/cedselementdetails.aspx?termid=5373")</f>
        <v>https://ceds.ed.gov/cedselementdetails.aspx?termid=5373</v>
      </c>
      <c r="N245" s="3" t="str">
        <f>HYPERLINK("https://ceds.ed.gov/elementComment.aspx?elementName=Assessment Objective &amp;elementID=5373", "Click here to submit comment")</f>
        <v>Click here to submit comment</v>
      </c>
    </row>
    <row r="246" spans="1:14" ht="75">
      <c r="A246" s="3" t="s">
        <v>1090</v>
      </c>
      <c r="B246" s="3" t="s">
        <v>1091</v>
      </c>
      <c r="C246" s="3" t="s">
        <v>13</v>
      </c>
      <c r="D246" s="3" t="s">
        <v>5994</v>
      </c>
      <c r="E246" s="3"/>
      <c r="F246" s="3"/>
      <c r="G246" s="3" t="s">
        <v>93</v>
      </c>
      <c r="H246" s="3"/>
      <c r="I246" s="3" t="s">
        <v>1092</v>
      </c>
      <c r="J246" s="3" t="s">
        <v>1093</v>
      </c>
      <c r="K246" s="3"/>
      <c r="L246" s="3" t="s">
        <v>1094</v>
      </c>
      <c r="M246" s="3" t="str">
        <f>HYPERLINK("https://ceds.ed.gov/cedselementdetails.aspx?termid=6006")</f>
        <v>https://ceds.ed.gov/cedselementdetails.aspx?termid=6006</v>
      </c>
      <c r="N246" s="3" t="str">
        <f>HYPERLINK("https://ceds.ed.gov/elementComment.aspx?elementName=Assessment Participant Session Delivery Device Details &amp;elementID=6006", "Click here to submit comment")</f>
        <v>Click here to submit comment</v>
      </c>
    </row>
    <row r="247" spans="1:14" ht="75">
      <c r="A247" s="3" t="s">
        <v>1095</v>
      </c>
      <c r="B247" s="3" t="s">
        <v>1096</v>
      </c>
      <c r="C247" s="5" t="s">
        <v>939</v>
      </c>
      <c r="D247" s="3" t="s">
        <v>5994</v>
      </c>
      <c r="E247" s="3" t="s">
        <v>5992</v>
      </c>
      <c r="F247" s="3"/>
      <c r="G247" s="3"/>
      <c r="H247" s="3"/>
      <c r="I247" s="3"/>
      <c r="J247" s="3" t="s">
        <v>1097</v>
      </c>
      <c r="K247" s="3"/>
      <c r="L247" s="3" t="s">
        <v>1098</v>
      </c>
      <c r="M247" s="3" t="str">
        <f>HYPERLINK("https://ceds.ed.gov/cedselementdetails.aspx?termid=5370")</f>
        <v>https://ceds.ed.gov/cedselementdetails.aspx?termid=5370</v>
      </c>
      <c r="N247" s="3" t="str">
        <f>HYPERLINK("https://ceds.ed.gov/elementComment.aspx?elementName=Assessment Participant Session Language &amp;elementID=5370", "Click here to submit comment")</f>
        <v>Click here to submit comment</v>
      </c>
    </row>
    <row r="248" spans="1:14" ht="120">
      <c r="A248" s="3" t="s">
        <v>1099</v>
      </c>
      <c r="B248" s="3" t="s">
        <v>1100</v>
      </c>
      <c r="C248" s="3" t="s">
        <v>6044</v>
      </c>
      <c r="D248" s="3" t="s">
        <v>6045</v>
      </c>
      <c r="E248" s="3" t="s">
        <v>6018</v>
      </c>
      <c r="F248" s="3"/>
      <c r="G248" s="3"/>
      <c r="H248" s="3"/>
      <c r="I248" s="3"/>
      <c r="J248" s="3" t="s">
        <v>1101</v>
      </c>
      <c r="K248" s="3"/>
      <c r="L248" s="3" t="s">
        <v>1102</v>
      </c>
      <c r="M248" s="3" t="str">
        <f>HYPERLINK("https://ceds.ed.gov/cedselementdetails.aspx?termid=5377")</f>
        <v>https://ceds.ed.gov/cedselementdetails.aspx?termid=5377</v>
      </c>
      <c r="N248" s="3" t="str">
        <f>HYPERLINK("https://ceds.ed.gov/elementComment.aspx?elementName=Assessment Participant Session Platform Type &amp;elementID=5377", "Click here to submit comment")</f>
        <v>Click here to submit comment</v>
      </c>
    </row>
    <row r="249" spans="1:14" ht="135">
      <c r="A249" s="3" t="s">
        <v>1103</v>
      </c>
      <c r="B249" s="3" t="s">
        <v>1104</v>
      </c>
      <c r="C249" s="3" t="s">
        <v>13</v>
      </c>
      <c r="D249" s="3" t="s">
        <v>6045</v>
      </c>
      <c r="E249" s="3"/>
      <c r="F249" s="3"/>
      <c r="G249" s="3" t="s">
        <v>1105</v>
      </c>
      <c r="H249" s="3"/>
      <c r="I249" s="3" t="s">
        <v>1106</v>
      </c>
      <c r="J249" s="3" t="s">
        <v>1107</v>
      </c>
      <c r="K249" s="3"/>
      <c r="L249" s="3" t="s">
        <v>1108</v>
      </c>
      <c r="M249" s="3" t="str">
        <f>HYPERLINK("https://ceds.ed.gov/cedselementdetails.aspx?termid=6112")</f>
        <v>https://ceds.ed.gov/cedselementdetails.aspx?termid=6112</v>
      </c>
      <c r="N249" s="3" t="str">
        <f>HYPERLINK("https://ceds.ed.gov/elementComment.aspx?elementName=Assessment Participant Session Platform User Agent &amp;elementID=6112", "Click here to submit comment")</f>
        <v>Click here to submit comment</v>
      </c>
    </row>
    <row r="250" spans="1:14" ht="75">
      <c r="A250" s="3" t="s">
        <v>1109</v>
      </c>
      <c r="B250" s="3" t="s">
        <v>1110</v>
      </c>
      <c r="C250" s="3" t="s">
        <v>13</v>
      </c>
      <c r="D250" s="3" t="s">
        <v>5994</v>
      </c>
      <c r="E250" s="3"/>
      <c r="F250" s="3"/>
      <c r="G250" s="3" t="s">
        <v>319</v>
      </c>
      <c r="H250" s="3"/>
      <c r="I250" s="3"/>
      <c r="J250" s="3" t="s">
        <v>1111</v>
      </c>
      <c r="K250" s="3"/>
      <c r="L250" s="3" t="s">
        <v>1112</v>
      </c>
      <c r="M250" s="3" t="str">
        <f>HYPERLINK("https://ceds.ed.gov/cedselementdetails.aspx?termid=6102")</f>
        <v>https://ceds.ed.gov/cedselementdetails.aspx?termid=6102</v>
      </c>
      <c r="N250" s="3" t="str">
        <f>HYPERLINK("https://ceds.ed.gov/elementComment.aspx?elementName=Assessment Participant Session Security Issue &amp;elementID=6102", "Click here to submit comment")</f>
        <v>Click here to submit comment</v>
      </c>
    </row>
    <row r="251" spans="1:14" ht="75">
      <c r="A251" s="3" t="s">
        <v>1113</v>
      </c>
      <c r="B251" s="3" t="s">
        <v>1114</v>
      </c>
      <c r="C251" s="3" t="s">
        <v>13</v>
      </c>
      <c r="D251" s="3" t="s">
        <v>5994</v>
      </c>
      <c r="E251" s="3" t="s">
        <v>5992</v>
      </c>
      <c r="F251" s="3"/>
      <c r="G251" s="3" t="s">
        <v>100</v>
      </c>
      <c r="H251" s="3"/>
      <c r="I251" s="3"/>
      <c r="J251" s="3" t="s">
        <v>1115</v>
      </c>
      <c r="K251" s="3"/>
      <c r="L251" s="3" t="s">
        <v>1116</v>
      </c>
      <c r="M251" s="3" t="str">
        <f>HYPERLINK("https://ceds.ed.gov/cedselementdetails.aspx?termid=5398")</f>
        <v>https://ceds.ed.gov/cedselementdetails.aspx?termid=5398</v>
      </c>
      <c r="N251" s="3" t="str">
        <f>HYPERLINK("https://ceds.ed.gov/elementComment.aspx?elementName=Assessment Participant Session Time Assessed &amp;elementID=5398", "Click here to submit comment")</f>
        <v>Click here to submit comment</v>
      </c>
    </row>
    <row r="252" spans="1:14" ht="75">
      <c r="A252" s="3" t="s">
        <v>1117</v>
      </c>
      <c r="B252" s="3" t="s">
        <v>1118</v>
      </c>
      <c r="C252" s="3" t="s">
        <v>13</v>
      </c>
      <c r="D252" s="3" t="s">
        <v>6046</v>
      </c>
      <c r="E252" s="3"/>
      <c r="F252" s="3"/>
      <c r="G252" s="3" t="s">
        <v>319</v>
      </c>
      <c r="H252" s="3"/>
      <c r="I252" s="3"/>
      <c r="J252" s="3" t="s">
        <v>1119</v>
      </c>
      <c r="K252" s="3"/>
      <c r="L252" s="3" t="s">
        <v>1120</v>
      </c>
      <c r="M252" s="3" t="str">
        <f>HYPERLINK("https://ceds.ed.gov/cedselementdetails.aspx?termid=6184")</f>
        <v>https://ceds.ed.gov/cedselementdetails.aspx?termid=6184</v>
      </c>
      <c r="N252" s="3" t="str">
        <f>HYPERLINK("https://ceds.ed.gov/elementComment.aspx?elementName=Assessment Performance Level Descriptive Feedback &amp;elementID=6184", "Click here to submit comment")</f>
        <v>Click here to submit comment</v>
      </c>
    </row>
    <row r="253" spans="1:14" ht="165">
      <c r="A253" s="3" t="s">
        <v>1121</v>
      </c>
      <c r="B253" s="3" t="s">
        <v>1122</v>
      </c>
      <c r="C253" s="3" t="s">
        <v>13</v>
      </c>
      <c r="D253" s="3" t="s">
        <v>6047</v>
      </c>
      <c r="E253" s="3" t="s">
        <v>493</v>
      </c>
      <c r="F253" s="3"/>
      <c r="G253" s="3" t="s">
        <v>100</v>
      </c>
      <c r="H253" s="3"/>
      <c r="I253" s="3"/>
      <c r="J253" s="3" t="s">
        <v>1123</v>
      </c>
      <c r="K253" s="3"/>
      <c r="L253" s="3" t="s">
        <v>1124</v>
      </c>
      <c r="M253" s="3" t="str">
        <f>HYPERLINK("https://ceds.ed.gov/cedselementdetails.aspx?termid=5693")</f>
        <v>https://ceds.ed.gov/cedselementdetails.aspx?termid=5693</v>
      </c>
      <c r="N253" s="3" t="str">
        <f>HYPERLINK("https://ceds.ed.gov/elementComment.aspx?elementName=Assessment Performance Level Identifier &amp;elementID=5693", "Click here to submit comment")</f>
        <v>Click here to submit comment</v>
      </c>
    </row>
    <row r="254" spans="1:14" ht="165">
      <c r="A254" s="3" t="s">
        <v>1125</v>
      </c>
      <c r="B254" s="3" t="s">
        <v>1126</v>
      </c>
      <c r="C254" s="3" t="s">
        <v>13</v>
      </c>
      <c r="D254" s="3" t="s">
        <v>6047</v>
      </c>
      <c r="E254" s="3" t="s">
        <v>493</v>
      </c>
      <c r="F254" s="3"/>
      <c r="G254" s="3" t="s">
        <v>1127</v>
      </c>
      <c r="H254" s="3"/>
      <c r="I254" s="3"/>
      <c r="J254" s="3" t="s">
        <v>1128</v>
      </c>
      <c r="K254" s="3"/>
      <c r="L254" s="3" t="s">
        <v>1129</v>
      </c>
      <c r="M254" s="3" t="str">
        <f>HYPERLINK("https://ceds.ed.gov/cedselementdetails.aspx?termid=5694")</f>
        <v>https://ceds.ed.gov/cedselementdetails.aspx?termid=5694</v>
      </c>
      <c r="N254" s="3" t="str">
        <f>HYPERLINK("https://ceds.ed.gov/elementComment.aspx?elementName=Assessment Performance Level Label &amp;elementID=5694", "Click here to submit comment")</f>
        <v>Click here to submit comment</v>
      </c>
    </row>
    <row r="255" spans="1:14" ht="165">
      <c r="A255" s="3" t="s">
        <v>1130</v>
      </c>
      <c r="B255" s="3" t="s">
        <v>1131</v>
      </c>
      <c r="C255" s="3" t="s">
        <v>13</v>
      </c>
      <c r="D255" s="3" t="s">
        <v>6047</v>
      </c>
      <c r="E255" s="3" t="s">
        <v>5992</v>
      </c>
      <c r="F255" s="3"/>
      <c r="G255" s="3" t="s">
        <v>100</v>
      </c>
      <c r="H255" s="3"/>
      <c r="I255" s="3"/>
      <c r="J255" s="3" t="s">
        <v>1132</v>
      </c>
      <c r="K255" s="3"/>
      <c r="L255" s="3" t="s">
        <v>1133</v>
      </c>
      <c r="M255" s="3" t="str">
        <f>HYPERLINK("https://ceds.ed.gov/cedselementdetails.aspx?termid=5408")</f>
        <v>https://ceds.ed.gov/cedselementdetails.aspx?termid=5408</v>
      </c>
      <c r="N255" s="3" t="str">
        <f>HYPERLINK("https://ceds.ed.gov/elementComment.aspx?elementName=Assessment Performance Level Lower Cut Score &amp;elementID=5408", "Click here to submit comment")</f>
        <v>Click here to submit comment</v>
      </c>
    </row>
    <row r="256" spans="1:14" ht="409.5">
      <c r="A256" s="3" t="s">
        <v>1134</v>
      </c>
      <c r="B256" s="3" t="s">
        <v>1135</v>
      </c>
      <c r="C256" s="4" t="s">
        <v>6398</v>
      </c>
      <c r="D256" s="3" t="s">
        <v>6047</v>
      </c>
      <c r="E256" s="3" t="s">
        <v>5992</v>
      </c>
      <c r="F256" s="3"/>
      <c r="G256" s="3" t="s">
        <v>100</v>
      </c>
      <c r="H256" s="3"/>
      <c r="I256" s="3"/>
      <c r="J256" s="3" t="s">
        <v>1136</v>
      </c>
      <c r="K256" s="3"/>
      <c r="L256" s="3" t="s">
        <v>1137</v>
      </c>
      <c r="M256" s="3" t="str">
        <f>HYPERLINK("https://ceds.ed.gov/cedselementdetails.aspx?termid=5407")</f>
        <v>https://ceds.ed.gov/cedselementdetails.aspx?termid=5407</v>
      </c>
      <c r="N256" s="3" t="str">
        <f>HYPERLINK("https://ceds.ed.gov/elementComment.aspx?elementName=Assessment Performance Level Score Metric &amp;elementID=5407", "Click here to submit comment")</f>
        <v>Click here to submit comment</v>
      </c>
    </row>
    <row r="257" spans="1:14" ht="165">
      <c r="A257" s="3" t="s">
        <v>1138</v>
      </c>
      <c r="B257" s="3" t="s">
        <v>1139</v>
      </c>
      <c r="C257" s="3" t="s">
        <v>13</v>
      </c>
      <c r="D257" s="3" t="s">
        <v>6047</v>
      </c>
      <c r="E257" s="3" t="s">
        <v>5992</v>
      </c>
      <c r="F257" s="3"/>
      <c r="G257" s="3" t="s">
        <v>100</v>
      </c>
      <c r="H257" s="3"/>
      <c r="I257" s="3"/>
      <c r="J257" s="3" t="s">
        <v>1140</v>
      </c>
      <c r="K257" s="3"/>
      <c r="L257" s="3" t="s">
        <v>1141</v>
      </c>
      <c r="M257" s="3" t="str">
        <f>HYPERLINK("https://ceds.ed.gov/cedselementdetails.aspx?termid=5409")</f>
        <v>https://ceds.ed.gov/cedselementdetails.aspx?termid=5409</v>
      </c>
      <c r="N257" s="3" t="str">
        <f>HYPERLINK("https://ceds.ed.gov/elementComment.aspx?elementName=Assessment Performance Level Upper Cut Score &amp;elementID=5409", "Click here to submit comment")</f>
        <v>Click here to submit comment</v>
      </c>
    </row>
    <row r="258" spans="1:14" ht="75">
      <c r="A258" s="3" t="s">
        <v>1142</v>
      </c>
      <c r="B258" s="3" t="s">
        <v>1143</v>
      </c>
      <c r="C258" s="3" t="s">
        <v>5963</v>
      </c>
      <c r="D258" s="3" t="s">
        <v>6039</v>
      </c>
      <c r="E258" s="3"/>
      <c r="F258" s="3"/>
      <c r="G258" s="3"/>
      <c r="H258" s="3"/>
      <c r="I258" s="3" t="s">
        <v>1144</v>
      </c>
      <c r="J258" s="3" t="s">
        <v>1145</v>
      </c>
      <c r="K258" s="3"/>
      <c r="L258" s="3" t="s">
        <v>1146</v>
      </c>
      <c r="M258" s="3" t="str">
        <f>HYPERLINK("https://ceds.ed.gov/cedselementdetails.aspx?termid=6008")</f>
        <v>https://ceds.ed.gov/cedselementdetails.aspx?termid=6008</v>
      </c>
      <c r="N258" s="3" t="str">
        <f>HYPERLINK("https://ceds.ed.gov/elementComment.aspx?elementName=Assessment Personal Needs Profile Activate By Default &amp;elementID=6008", "Click here to submit comment")</f>
        <v>Click here to submit comment</v>
      </c>
    </row>
    <row r="259" spans="1:14" ht="75">
      <c r="A259" s="3" t="s">
        <v>1147</v>
      </c>
      <c r="B259" s="3" t="s">
        <v>1148</v>
      </c>
      <c r="C259" s="3" t="s">
        <v>5963</v>
      </c>
      <c r="D259" s="3" t="s">
        <v>6039</v>
      </c>
      <c r="E259" s="3"/>
      <c r="F259" s="3"/>
      <c r="G259" s="3"/>
      <c r="H259" s="3"/>
      <c r="I259" s="3" t="s">
        <v>1144</v>
      </c>
      <c r="J259" s="3" t="s">
        <v>1149</v>
      </c>
      <c r="K259" s="3"/>
      <c r="L259" s="3" t="s">
        <v>1150</v>
      </c>
      <c r="M259" s="3" t="str">
        <f>HYPERLINK("https://ceds.ed.gov/cedselementdetails.aspx?termid=6007")</f>
        <v>https://ceds.ed.gov/cedselementdetails.aspx?termid=6007</v>
      </c>
      <c r="N259" s="3" t="str">
        <f>HYPERLINK("https://ceds.ed.gov/elementComment.aspx?elementName=Assessment Personal Needs Profile Assigned Support &amp;elementID=6007", "Click here to submit comment")</f>
        <v>Click here to submit comment</v>
      </c>
    </row>
    <row r="260" spans="1:14" ht="45">
      <c r="A260" s="3" t="s">
        <v>1151</v>
      </c>
      <c r="B260" s="3" t="s">
        <v>1152</v>
      </c>
      <c r="C260" s="3" t="s">
        <v>13</v>
      </c>
      <c r="D260" s="3" t="s">
        <v>6011</v>
      </c>
      <c r="E260" s="3"/>
      <c r="F260" s="3"/>
      <c r="G260" s="3" t="s">
        <v>100</v>
      </c>
      <c r="H260" s="3"/>
      <c r="I260" s="3" t="s">
        <v>1153</v>
      </c>
      <c r="J260" s="3" t="s">
        <v>1154</v>
      </c>
      <c r="K260" s="3"/>
      <c r="L260" s="3" t="s">
        <v>1155</v>
      </c>
      <c r="M260" s="3" t="str">
        <f>HYPERLINK("https://ceds.ed.gov/cedselementdetails.aspx?termid=6009")</f>
        <v>https://ceds.ed.gov/cedselementdetails.aspx?termid=6009</v>
      </c>
      <c r="N260" s="3" t="str">
        <f>HYPERLINK("https://ceds.ed.gov/elementComment.aspx?elementName=Assessment Provider &amp;elementID=6009", "Click here to submit comment")</f>
        <v>Click here to submit comment</v>
      </c>
    </row>
    <row r="261" spans="1:14" ht="390">
      <c r="A261" s="3" t="s">
        <v>1156</v>
      </c>
      <c r="B261" s="3" t="s">
        <v>1157</v>
      </c>
      <c r="C261" s="4" t="s">
        <v>6399</v>
      </c>
      <c r="D261" s="3" t="s">
        <v>6048</v>
      </c>
      <c r="E261" s="3" t="s">
        <v>6000</v>
      </c>
      <c r="F261" s="3"/>
      <c r="G261" s="3"/>
      <c r="H261" s="3"/>
      <c r="I261" s="3" t="s">
        <v>1158</v>
      </c>
      <c r="J261" s="3" t="s">
        <v>1159</v>
      </c>
      <c r="K261" s="3"/>
      <c r="L261" s="3" t="s">
        <v>1160</v>
      </c>
      <c r="M261" s="3" t="str">
        <f>HYPERLINK("https://ceds.ed.gov/cedselementdetails.aspx?termid=5026")</f>
        <v>https://ceds.ed.gov/cedselementdetails.aspx?termid=5026</v>
      </c>
      <c r="N261" s="3" t="str">
        <f>HYPERLINK("https://ceds.ed.gov/elementComment.aspx?elementName=Assessment Purpose &amp;elementID=5026", "Click here to submit comment")</f>
        <v>Click here to submit comment</v>
      </c>
    </row>
    <row r="262" spans="1:14" ht="75">
      <c r="A262" s="3" t="s">
        <v>1161</v>
      </c>
      <c r="B262" s="3" t="s">
        <v>1162</v>
      </c>
      <c r="C262" s="3" t="s">
        <v>13</v>
      </c>
      <c r="D262" s="3" t="s">
        <v>6049</v>
      </c>
      <c r="E262" s="3"/>
      <c r="F262" s="3"/>
      <c r="G262" s="3" t="s">
        <v>100</v>
      </c>
      <c r="H262" s="3"/>
      <c r="I262" s="3" t="s">
        <v>1163</v>
      </c>
      <c r="J262" s="3" t="s">
        <v>1164</v>
      </c>
      <c r="K262" s="3"/>
      <c r="L262" s="3" t="s">
        <v>1165</v>
      </c>
      <c r="M262" s="3" t="str">
        <f>HYPERLINK("https://ceds.ed.gov/cedselementdetails.aspx?termid=5889")</f>
        <v>https://ceds.ed.gov/cedselementdetails.aspx?termid=5889</v>
      </c>
      <c r="N262" s="3" t="str">
        <f>HYPERLINK("https://ceds.ed.gov/elementComment.aspx?elementName=Assessment Registration Assignor Identifier &amp;elementID=5889", "Click here to submit comment")</f>
        <v>Click here to submit comment</v>
      </c>
    </row>
    <row r="263" spans="1:14" ht="75">
      <c r="A263" s="3" t="s">
        <v>1166</v>
      </c>
      <c r="B263" s="3" t="s">
        <v>1167</v>
      </c>
      <c r="C263" s="3" t="s">
        <v>13</v>
      </c>
      <c r="D263" s="3" t="s">
        <v>6049</v>
      </c>
      <c r="E263" s="3"/>
      <c r="F263" s="3"/>
      <c r="G263" s="3" t="s">
        <v>1168</v>
      </c>
      <c r="H263" s="3"/>
      <c r="I263" s="3"/>
      <c r="J263" s="3" t="s">
        <v>1169</v>
      </c>
      <c r="K263" s="3"/>
      <c r="L263" s="3" t="s">
        <v>1170</v>
      </c>
      <c r="M263" s="3" t="str">
        <f>HYPERLINK("https://ceds.ed.gov/cedselementdetails.aspx?termid=6019")</f>
        <v>https://ceds.ed.gov/cedselementdetails.aspx?termid=6019</v>
      </c>
      <c r="N263" s="3" t="str">
        <f>HYPERLINK("https://ceds.ed.gov/elementComment.aspx?elementName=Assessment Registration Creation Date &amp;elementID=6019", "Click here to submit comment")</f>
        <v>Click here to submit comment</v>
      </c>
    </row>
    <row r="264" spans="1:14" ht="75">
      <c r="A264" s="3" t="s">
        <v>1171</v>
      </c>
      <c r="B264" s="3" t="s">
        <v>1172</v>
      </c>
      <c r="C264" s="3" t="s">
        <v>13</v>
      </c>
      <c r="D264" s="3" t="s">
        <v>6049</v>
      </c>
      <c r="E264" s="3"/>
      <c r="F264" s="3"/>
      <c r="G264" s="3" t="s">
        <v>1173</v>
      </c>
      <c r="H264" s="3"/>
      <c r="I264" s="3"/>
      <c r="J264" s="3" t="s">
        <v>1174</v>
      </c>
      <c r="K264" s="3"/>
      <c r="L264" s="3" t="s">
        <v>1175</v>
      </c>
      <c r="M264" s="3" t="str">
        <f>HYPERLINK("https://ceds.ed.gov/cedselementdetails.aspx?termid=6017")</f>
        <v>https://ceds.ed.gov/cedselementdetails.aspx?termid=6017</v>
      </c>
      <c r="N264" s="3" t="str">
        <f>HYPERLINK("https://ceds.ed.gov/elementComment.aspx?elementName=Assessment Registration Days of Instruction &amp;elementID=6017", "Click here to submit comment")</f>
        <v>Click here to submit comment</v>
      </c>
    </row>
    <row r="265" spans="1:14" ht="409.5">
      <c r="A265" s="3" t="s">
        <v>1176</v>
      </c>
      <c r="B265" s="3" t="s">
        <v>1177</v>
      </c>
      <c r="C265" s="4" t="s">
        <v>6400</v>
      </c>
      <c r="D265" s="3" t="s">
        <v>6049</v>
      </c>
      <c r="E265" s="3"/>
      <c r="F265" s="3" t="s">
        <v>66</v>
      </c>
      <c r="G265" s="3"/>
      <c r="H265" s="3" t="s">
        <v>1178</v>
      </c>
      <c r="I265" s="3" t="s">
        <v>1179</v>
      </c>
      <c r="J265" s="3" t="s">
        <v>1180</v>
      </c>
      <c r="K265" s="3"/>
      <c r="L265" s="3" t="s">
        <v>1181</v>
      </c>
      <c r="M265" s="3" t="str">
        <f>HYPERLINK("https://ceds.ed.gov/cedselementdetails.aspx?termid=6063")</f>
        <v>https://ceds.ed.gov/cedselementdetails.aspx?termid=6063</v>
      </c>
      <c r="N265" s="3" t="str">
        <f>HYPERLINK("https://ceds.ed.gov/elementComment.aspx?elementName=Assessment Registration Grade Level To Be Assessed &amp;elementID=6063", "Click here to submit comment")</f>
        <v>Click here to submit comment</v>
      </c>
    </row>
    <row r="266" spans="1:14" ht="120">
      <c r="A266" s="3" t="s">
        <v>1182</v>
      </c>
      <c r="B266" s="3" t="s">
        <v>1183</v>
      </c>
      <c r="C266" s="4" t="s">
        <v>6401</v>
      </c>
      <c r="D266" s="3" t="s">
        <v>6050</v>
      </c>
      <c r="E266" s="3" t="s">
        <v>6051</v>
      </c>
      <c r="F266" s="3"/>
      <c r="G266" s="3"/>
      <c r="H266" s="3"/>
      <c r="I266" s="3"/>
      <c r="J266" s="3" t="s">
        <v>1184</v>
      </c>
      <c r="K266" s="3"/>
      <c r="L266" s="3" t="s">
        <v>1185</v>
      </c>
      <c r="M266" s="3" t="str">
        <f>HYPERLINK("https://ceds.ed.gov/cedselementdetails.aspx?termid=5025")</f>
        <v>https://ceds.ed.gov/cedselementdetails.aspx?termid=5025</v>
      </c>
      <c r="N266" s="3" t="str">
        <f>HYPERLINK("https://ceds.ed.gov/elementComment.aspx?elementName=Assessment Registration Participation Indicator &amp;elementID=5025", "Click here to submit comment")</f>
        <v>Click here to submit comment</v>
      </c>
    </row>
    <row r="267" spans="1:14" ht="195">
      <c r="A267" s="3" t="s">
        <v>1186</v>
      </c>
      <c r="B267" s="3" t="s">
        <v>1187</v>
      </c>
      <c r="C267" s="4" t="s">
        <v>6402</v>
      </c>
      <c r="D267" s="3" t="s">
        <v>6050</v>
      </c>
      <c r="E267" s="3" t="s">
        <v>6052</v>
      </c>
      <c r="F267" s="3"/>
      <c r="G267" s="3"/>
      <c r="H267" s="3"/>
      <c r="I267" s="3" t="s">
        <v>1188</v>
      </c>
      <c r="J267" s="3" t="s">
        <v>1189</v>
      </c>
      <c r="K267" s="3"/>
      <c r="L267" s="3" t="s">
        <v>1190</v>
      </c>
      <c r="M267" s="3" t="str">
        <f>HYPERLINK("https://ceds.ed.gov/cedselementdetails.aspx?termid=5531")</f>
        <v>https://ceds.ed.gov/cedselementdetails.aspx?termid=5531</v>
      </c>
      <c r="N267" s="3" t="str">
        <f>HYPERLINK("https://ceds.ed.gov/elementComment.aspx?elementName=Assessment Registration Reason Not Completing &amp;elementID=5531", "Click here to submit comment")</f>
        <v>Click here to submit comment</v>
      </c>
    </row>
    <row r="268" spans="1:14" ht="75">
      <c r="A268" s="3" t="s">
        <v>1191</v>
      </c>
      <c r="B268" s="3" t="s">
        <v>1192</v>
      </c>
      <c r="C268" s="3" t="s">
        <v>5963</v>
      </c>
      <c r="D268" s="3" t="s">
        <v>6049</v>
      </c>
      <c r="E268" s="3"/>
      <c r="F268" s="3"/>
      <c r="G268" s="3"/>
      <c r="H268" s="3"/>
      <c r="I268" s="3"/>
      <c r="J268" s="3" t="s">
        <v>1193</v>
      </c>
      <c r="K268" s="3"/>
      <c r="L268" s="3" t="s">
        <v>1194</v>
      </c>
      <c r="M268" s="3" t="str">
        <f>HYPERLINK("https://ceds.ed.gov/cedselementdetails.aspx?termid=6018")</f>
        <v>https://ceds.ed.gov/cedselementdetails.aspx?termid=6018</v>
      </c>
      <c r="N268" s="3" t="str">
        <f>HYPERLINK("https://ceds.ed.gov/elementComment.aspx?elementName=Assessment Registration Retest Indicator &amp;elementID=6018", "Click here to submit comment")</f>
        <v>Click here to submit comment</v>
      </c>
    </row>
    <row r="269" spans="1:14" ht="135">
      <c r="A269" s="3" t="s">
        <v>1195</v>
      </c>
      <c r="B269" s="3" t="s">
        <v>1196</v>
      </c>
      <c r="C269" s="3" t="s">
        <v>13</v>
      </c>
      <c r="D269" s="3" t="s">
        <v>6049</v>
      </c>
      <c r="E269" s="3"/>
      <c r="F269" s="3"/>
      <c r="G269" s="3" t="s">
        <v>73</v>
      </c>
      <c r="H269" s="3"/>
      <c r="I269" s="3"/>
      <c r="J269" s="3" t="s">
        <v>1197</v>
      </c>
      <c r="K269" s="3"/>
      <c r="L269" s="3" t="s">
        <v>1198</v>
      </c>
      <c r="M269" s="3" t="str">
        <f>HYPERLINK("https://ceds.ed.gov/cedselementdetails.aspx?termid=6062")</f>
        <v>https://ceds.ed.gov/cedselementdetails.aspx?termid=6062</v>
      </c>
      <c r="N269" s="3" t="str">
        <f>HYPERLINK("https://ceds.ed.gov/elementComment.aspx?elementName=Assessment Registration Score Publish Date &amp;elementID=6062", "Click here to submit comment")</f>
        <v>Click here to submit comment</v>
      </c>
    </row>
    <row r="270" spans="1:14" ht="75">
      <c r="A270" s="3" t="s">
        <v>1199</v>
      </c>
      <c r="B270" s="3" t="s">
        <v>1200</v>
      </c>
      <c r="C270" s="3" t="s">
        <v>13</v>
      </c>
      <c r="D270" s="3" t="s">
        <v>6049</v>
      </c>
      <c r="E270" s="3"/>
      <c r="F270" s="3"/>
      <c r="G270" s="3" t="s">
        <v>100</v>
      </c>
      <c r="H270" s="3"/>
      <c r="I270" s="3" t="s">
        <v>1201</v>
      </c>
      <c r="J270" s="3" t="s">
        <v>1202</v>
      </c>
      <c r="K270" s="3"/>
      <c r="L270" s="3" t="s">
        <v>1203</v>
      </c>
      <c r="M270" s="3" t="str">
        <f>HYPERLINK("https://ceds.ed.gov/cedselementdetails.aspx?termid=6119")</f>
        <v>https://ceds.ed.gov/cedselementdetails.aspx?termid=6119</v>
      </c>
      <c r="N270" s="3" t="str">
        <f>HYPERLINK("https://ceds.ed.gov/elementComment.aspx?elementName=Assessment Registration Test Attempt Identifier &amp;elementID=6119", "Click here to submit comment")</f>
        <v>Click here to submit comment</v>
      </c>
    </row>
    <row r="271" spans="1:14" ht="75">
      <c r="A271" s="3" t="s">
        <v>1204</v>
      </c>
      <c r="B271" s="3" t="s">
        <v>1205</v>
      </c>
      <c r="C271" s="3" t="s">
        <v>13</v>
      </c>
      <c r="D271" s="3" t="s">
        <v>6049</v>
      </c>
      <c r="E271" s="3"/>
      <c r="F271" s="3"/>
      <c r="G271" s="3" t="s">
        <v>93</v>
      </c>
      <c r="H271" s="3"/>
      <c r="I271" s="3" t="s">
        <v>1206</v>
      </c>
      <c r="J271" s="3" t="s">
        <v>1207</v>
      </c>
      <c r="K271" s="3"/>
      <c r="L271" s="3" t="s">
        <v>1208</v>
      </c>
      <c r="M271" s="3" t="str">
        <f>HYPERLINK("https://ceds.ed.gov/cedselementdetails.aspx?termid=6061")</f>
        <v>https://ceds.ed.gov/cedselementdetails.aspx?termid=6061</v>
      </c>
      <c r="N271" s="3" t="str">
        <f>HYPERLINK("https://ceds.ed.gov/elementComment.aspx?elementName=Assessment Registration Testing Indicator &amp;elementID=6061", "Click here to submit comment")</f>
        <v>Click here to submit comment</v>
      </c>
    </row>
    <row r="272" spans="1:14" ht="90">
      <c r="A272" s="3" t="s">
        <v>1209</v>
      </c>
      <c r="B272" s="3" t="s">
        <v>1210</v>
      </c>
      <c r="C272" s="3" t="s">
        <v>13</v>
      </c>
      <c r="D272" s="3" t="s">
        <v>6053</v>
      </c>
      <c r="E272" s="3" t="s">
        <v>6018</v>
      </c>
      <c r="F272" s="3" t="s">
        <v>66</v>
      </c>
      <c r="G272" s="3" t="s">
        <v>100</v>
      </c>
      <c r="H272" s="3" t="s">
        <v>1211</v>
      </c>
      <c r="I272" s="3"/>
      <c r="J272" s="3" t="s">
        <v>1212</v>
      </c>
      <c r="K272" s="3"/>
      <c r="L272" s="3" t="s">
        <v>1213</v>
      </c>
      <c r="M272" s="3" t="str">
        <f>HYPERLINK("https://ceds.ed.gov/cedselementdetails.aspx?termid=5412")</f>
        <v>https://ceds.ed.gov/cedselementdetails.aspx?termid=5412</v>
      </c>
      <c r="N272" s="3" t="str">
        <f>HYPERLINK("https://ceds.ed.gov/elementComment.aspx?elementName=Assessment Rubric Identifier &amp;elementID=5412", "Click here to submit comment")</f>
        <v>Click here to submit comment</v>
      </c>
    </row>
    <row r="273" spans="1:14" ht="90">
      <c r="A273" s="3" t="s">
        <v>1214</v>
      </c>
      <c r="B273" s="3" t="s">
        <v>1215</v>
      </c>
      <c r="C273" s="3" t="s">
        <v>13</v>
      </c>
      <c r="D273" s="3" t="s">
        <v>6053</v>
      </c>
      <c r="E273" s="3" t="s">
        <v>6018</v>
      </c>
      <c r="F273" s="3" t="s">
        <v>66</v>
      </c>
      <c r="G273" s="3" t="s">
        <v>100</v>
      </c>
      <c r="H273" s="3" t="s">
        <v>1216</v>
      </c>
      <c r="I273" s="3"/>
      <c r="J273" s="3" t="s">
        <v>1217</v>
      </c>
      <c r="K273" s="3"/>
      <c r="L273" s="3" t="s">
        <v>1218</v>
      </c>
      <c r="M273" s="3" t="str">
        <f>HYPERLINK("https://ceds.ed.gov/cedselementdetails.aspx?termid=5411")</f>
        <v>https://ceds.ed.gov/cedselementdetails.aspx?termid=5411</v>
      </c>
      <c r="N273" s="3" t="str">
        <f>HYPERLINK("https://ceds.ed.gov/elementComment.aspx?elementName=Assessment Rubric Title &amp;elementID=5411", "Click here to submit comment")</f>
        <v>Click here to submit comment</v>
      </c>
    </row>
    <row r="274" spans="1:14" ht="90">
      <c r="A274" s="3" t="s">
        <v>1219</v>
      </c>
      <c r="B274" s="3" t="s">
        <v>1220</v>
      </c>
      <c r="C274" s="3" t="s">
        <v>13</v>
      </c>
      <c r="D274" s="3" t="s">
        <v>6053</v>
      </c>
      <c r="E274" s="3" t="s">
        <v>6018</v>
      </c>
      <c r="F274" s="3" t="s">
        <v>66</v>
      </c>
      <c r="G274" s="3" t="s">
        <v>100</v>
      </c>
      <c r="H274" s="3" t="s">
        <v>1221</v>
      </c>
      <c r="I274" s="3"/>
      <c r="J274" s="3" t="s">
        <v>1222</v>
      </c>
      <c r="K274" s="3"/>
      <c r="L274" s="3" t="s">
        <v>1223</v>
      </c>
      <c r="M274" s="3" t="str">
        <f>HYPERLINK("https://ceds.ed.gov/cedselementdetails.aspx?termid=5413")</f>
        <v>https://ceds.ed.gov/cedselementdetails.aspx?termid=5413</v>
      </c>
      <c r="N274" s="3" t="str">
        <f>HYPERLINK("https://ceds.ed.gov/elementComment.aspx?elementName=Assessment Rubric URL Reference &amp;elementID=5413", "Click here to submit comment")</f>
        <v>Click here to submit comment</v>
      </c>
    </row>
    <row r="275" spans="1:14" ht="165">
      <c r="A275" s="3" t="s">
        <v>1224</v>
      </c>
      <c r="B275" s="3" t="s">
        <v>1225</v>
      </c>
      <c r="C275" s="3" t="s">
        <v>5963</v>
      </c>
      <c r="D275" s="3" t="s">
        <v>6054</v>
      </c>
      <c r="E275" s="3" t="s">
        <v>5992</v>
      </c>
      <c r="F275" s="3" t="s">
        <v>3</v>
      </c>
      <c r="G275" s="3"/>
      <c r="H275" s="3"/>
      <c r="I275" s="3"/>
      <c r="J275" s="3" t="s">
        <v>1226</v>
      </c>
      <c r="K275" s="3"/>
      <c r="L275" s="3" t="s">
        <v>1227</v>
      </c>
      <c r="M275" s="3" t="str">
        <f>HYPERLINK("https://ceds.ed.gov/cedselementdetails.aspx?termid=5375")</f>
        <v>https://ceds.ed.gov/cedselementdetails.aspx?termid=5375</v>
      </c>
      <c r="N275" s="3" t="str">
        <f>HYPERLINK("https://ceds.ed.gov/elementComment.aspx?elementName=Assessment Secure Indicator &amp;elementID=5375", "Click here to submit comment")</f>
        <v>Click here to submit comment</v>
      </c>
    </row>
    <row r="276" spans="1:14" ht="195">
      <c r="A276" s="3" t="s">
        <v>1228</v>
      </c>
      <c r="B276" s="3" t="s">
        <v>1229</v>
      </c>
      <c r="C276" s="3" t="s">
        <v>13</v>
      </c>
      <c r="D276" s="3" t="s">
        <v>6055</v>
      </c>
      <c r="E276" s="3"/>
      <c r="F276" s="3"/>
      <c r="G276" s="3" t="s">
        <v>1168</v>
      </c>
      <c r="H276" s="3"/>
      <c r="I276" s="3" t="s">
        <v>1230</v>
      </c>
      <c r="J276" s="3" t="s">
        <v>1231</v>
      </c>
      <c r="K276" s="3"/>
      <c r="L276" s="3" t="s">
        <v>1232</v>
      </c>
      <c r="M276" s="3" t="str">
        <f>HYPERLINK("https://ceds.ed.gov/cedselementdetails.aspx?termid=6024")</f>
        <v>https://ceds.ed.gov/cedselementdetails.aspx?termid=6024</v>
      </c>
      <c r="N276" s="3" t="str">
        <f>HYPERLINK("https://ceds.ed.gov/elementComment.aspx?elementName=Assessment Session Actual End Date Time &amp;elementID=6024", "Click here to submit comment")</f>
        <v>Click here to submit comment</v>
      </c>
    </row>
    <row r="277" spans="1:14" ht="195">
      <c r="A277" s="3" t="s">
        <v>1233</v>
      </c>
      <c r="B277" s="3" t="s">
        <v>1234</v>
      </c>
      <c r="C277" s="3" t="s">
        <v>13</v>
      </c>
      <c r="D277" s="3" t="s">
        <v>6055</v>
      </c>
      <c r="E277" s="3"/>
      <c r="F277" s="3"/>
      <c r="G277" s="3" t="s">
        <v>1168</v>
      </c>
      <c r="H277" s="3"/>
      <c r="I277" s="3" t="s">
        <v>1235</v>
      </c>
      <c r="J277" s="3" t="s">
        <v>1236</v>
      </c>
      <c r="K277" s="3"/>
      <c r="L277" s="3" t="s">
        <v>1237</v>
      </c>
      <c r="M277" s="3" t="str">
        <f>HYPERLINK("https://ceds.ed.gov/cedselementdetails.aspx?termid=6023")</f>
        <v>https://ceds.ed.gov/cedselementdetails.aspx?termid=6023</v>
      </c>
      <c r="N277" s="3" t="str">
        <f>HYPERLINK("https://ceds.ed.gov/elementComment.aspx?elementName=Assessment Session Actual Start Date Time &amp;elementID=6023", "Click here to submit comment")</f>
        <v>Click here to submit comment</v>
      </c>
    </row>
    <row r="278" spans="1:14" ht="150">
      <c r="A278" s="3" t="s">
        <v>1238</v>
      </c>
      <c r="B278" s="3" t="s">
        <v>1239</v>
      </c>
      <c r="C278" s="3" t="s">
        <v>13</v>
      </c>
      <c r="D278" s="3" t="s">
        <v>6056</v>
      </c>
      <c r="E278" s="3" t="s">
        <v>5992</v>
      </c>
      <c r="F278" s="3"/>
      <c r="G278" s="3" t="s">
        <v>1240</v>
      </c>
      <c r="H278" s="3"/>
      <c r="I278" s="3"/>
      <c r="J278" s="3" t="s">
        <v>1241</v>
      </c>
      <c r="K278" s="3"/>
      <c r="L278" s="3" t="s">
        <v>1242</v>
      </c>
      <c r="M278" s="3" t="str">
        <f>HYPERLINK("https://ceds.ed.gov/cedselementdetails.aspx?termid=5400")</f>
        <v>https://ceds.ed.gov/cedselementdetails.aspx?termid=5400</v>
      </c>
      <c r="N278" s="3" t="str">
        <f>HYPERLINK("https://ceds.ed.gov/elementComment.aspx?elementName=Assessment Session Administrator Identifier &amp;elementID=5400", "Click here to submit comment")</f>
        <v>Click here to submit comment</v>
      </c>
    </row>
    <row r="279" spans="1:14" ht="60">
      <c r="A279" s="3" t="s">
        <v>1243</v>
      </c>
      <c r="B279" s="3" t="s">
        <v>1244</v>
      </c>
      <c r="C279" s="3" t="s">
        <v>13</v>
      </c>
      <c r="D279" s="3" t="s">
        <v>6057</v>
      </c>
      <c r="E279" s="3" t="s">
        <v>5992</v>
      </c>
      <c r="F279" s="3"/>
      <c r="G279" s="3" t="s">
        <v>808</v>
      </c>
      <c r="H279" s="3"/>
      <c r="I279" s="3"/>
      <c r="J279" s="3" t="s">
        <v>1245</v>
      </c>
      <c r="K279" s="3"/>
      <c r="L279" s="3" t="s">
        <v>1246</v>
      </c>
      <c r="M279" s="3" t="str">
        <f>HYPERLINK("https://ceds.ed.gov/cedselementdetails.aspx?termid=5399")</f>
        <v>https://ceds.ed.gov/cedselementdetails.aspx?termid=5399</v>
      </c>
      <c r="N279" s="3" t="str">
        <f>HYPERLINK("https://ceds.ed.gov/elementComment.aspx?elementName=Assessment Session Allotted Time &amp;elementID=5399", "Click here to submit comment")</f>
        <v>Click here to submit comment</v>
      </c>
    </row>
    <row r="280" spans="1:14" ht="240">
      <c r="A280" s="3" t="s">
        <v>1247</v>
      </c>
      <c r="B280" s="3" t="s">
        <v>1248</v>
      </c>
      <c r="C280" s="3" t="s">
        <v>13</v>
      </c>
      <c r="D280" s="3" t="s">
        <v>6058</v>
      </c>
      <c r="E280" s="3" t="s">
        <v>5992</v>
      </c>
      <c r="F280" s="3"/>
      <c r="G280" s="3" t="s">
        <v>1249</v>
      </c>
      <c r="H280" s="3"/>
      <c r="I280" s="3"/>
      <c r="J280" s="3" t="s">
        <v>1250</v>
      </c>
      <c r="K280" s="3"/>
      <c r="L280" s="3" t="s">
        <v>1251</v>
      </c>
      <c r="M280" s="3" t="str">
        <f>HYPERLINK("https://ceds.ed.gov/cedselementdetails.aspx?termid=5590")</f>
        <v>https://ceds.ed.gov/cedselementdetails.aspx?termid=5590</v>
      </c>
      <c r="N280" s="3" t="str">
        <f>HYPERLINK("https://ceds.ed.gov/elementComment.aspx?elementName=Assessment Session Location &amp;elementID=5590", "Click here to submit comment")</f>
        <v>Click here to submit comment</v>
      </c>
    </row>
    <row r="281" spans="1:14" ht="150">
      <c r="A281" s="3" t="s">
        <v>1252</v>
      </c>
      <c r="B281" s="3" t="s">
        <v>1253</v>
      </c>
      <c r="C281" s="3" t="s">
        <v>13</v>
      </c>
      <c r="D281" s="3" t="s">
        <v>6056</v>
      </c>
      <c r="E281" s="3" t="s">
        <v>5992</v>
      </c>
      <c r="F281" s="3"/>
      <c r="G281" s="3" t="s">
        <v>1240</v>
      </c>
      <c r="H281" s="3"/>
      <c r="I281" s="3" t="s">
        <v>1254</v>
      </c>
      <c r="J281" s="3" t="s">
        <v>1255</v>
      </c>
      <c r="K281" s="3"/>
      <c r="L281" s="3" t="s">
        <v>1256</v>
      </c>
      <c r="M281" s="3" t="str">
        <f>HYPERLINK("https://ceds.ed.gov/cedselementdetails.aspx?termid=5401")</f>
        <v>https://ceds.ed.gov/cedselementdetails.aspx?termid=5401</v>
      </c>
      <c r="N281" s="3" t="str">
        <f>HYPERLINK("https://ceds.ed.gov/elementComment.aspx?elementName=Assessment Session Proctor Identifier &amp;elementID=5401", "Click here to submit comment")</f>
        <v>Click here to submit comment</v>
      </c>
    </row>
    <row r="282" spans="1:14" ht="105">
      <c r="A282" s="3" t="s">
        <v>1257</v>
      </c>
      <c r="B282" s="3" t="s">
        <v>1258</v>
      </c>
      <c r="C282" s="3" t="s">
        <v>13</v>
      </c>
      <c r="D282" s="3" t="s">
        <v>6059</v>
      </c>
      <c r="E282" s="3"/>
      <c r="F282" s="3"/>
      <c r="G282" s="3" t="s">
        <v>1168</v>
      </c>
      <c r="H282" s="3"/>
      <c r="I282" s="3"/>
      <c r="J282" s="3" t="s">
        <v>1259</v>
      </c>
      <c r="K282" s="3"/>
      <c r="L282" s="3" t="s">
        <v>1260</v>
      </c>
      <c r="M282" s="3" t="str">
        <f>HYPERLINK("https://ceds.ed.gov/cedselementdetails.aspx?termid=6022")</f>
        <v>https://ceds.ed.gov/cedselementdetails.aspx?termid=6022</v>
      </c>
      <c r="N282" s="3" t="str">
        <f>HYPERLINK("https://ceds.ed.gov/elementComment.aspx?elementName=Assessment Session Scheduled End Date Time &amp;elementID=6022", "Click here to submit comment")</f>
        <v>Click here to submit comment</v>
      </c>
    </row>
    <row r="283" spans="1:14" ht="105">
      <c r="A283" s="3" t="s">
        <v>1261</v>
      </c>
      <c r="B283" s="3" t="s">
        <v>1262</v>
      </c>
      <c r="C283" s="3" t="s">
        <v>13</v>
      </c>
      <c r="D283" s="3" t="s">
        <v>6059</v>
      </c>
      <c r="E283" s="3"/>
      <c r="F283" s="3"/>
      <c r="G283" s="3" t="s">
        <v>1168</v>
      </c>
      <c r="H283" s="3"/>
      <c r="I283" s="3"/>
      <c r="J283" s="3" t="s">
        <v>1263</v>
      </c>
      <c r="K283" s="3"/>
      <c r="L283" s="3" t="s">
        <v>1264</v>
      </c>
      <c r="M283" s="3" t="str">
        <f>HYPERLINK("https://ceds.ed.gov/cedselementdetails.aspx?termid=6021")</f>
        <v>https://ceds.ed.gov/cedselementdetails.aspx?termid=6021</v>
      </c>
      <c r="N283" s="3" t="str">
        <f>HYPERLINK("https://ceds.ed.gov/elementComment.aspx?elementName=Assessment Session Scheduled Start Date Time &amp;elementID=6021", "Click here to submit comment")</f>
        <v>Click here to submit comment</v>
      </c>
    </row>
    <row r="284" spans="1:14" ht="150">
      <c r="A284" s="3" t="s">
        <v>1265</v>
      </c>
      <c r="B284" s="3" t="s">
        <v>1266</v>
      </c>
      <c r="C284" s="3" t="s">
        <v>13</v>
      </c>
      <c r="D284" s="3" t="s">
        <v>6060</v>
      </c>
      <c r="E284" s="3"/>
      <c r="F284" s="3"/>
      <c r="G284" s="3" t="s">
        <v>93</v>
      </c>
      <c r="H284" s="3"/>
      <c r="I284" s="3" t="s">
        <v>835</v>
      </c>
      <c r="J284" s="3" t="s">
        <v>1267</v>
      </c>
      <c r="K284" s="3"/>
      <c r="L284" s="3" t="s">
        <v>1268</v>
      </c>
      <c r="M284" s="3" t="str">
        <f>HYPERLINK("https://ceds.ed.gov/cedselementdetails.aspx?termid=5969")</f>
        <v>https://ceds.ed.gov/cedselementdetails.aspx?termid=5969</v>
      </c>
      <c r="N284" s="3" t="str">
        <f>HYPERLINK("https://ceds.ed.gov/elementComment.aspx?elementName=Assessment Session Security Issue &amp;elementID=5969", "Click here to submit comment")</f>
        <v>Click here to submit comment</v>
      </c>
    </row>
    <row r="285" spans="1:14" ht="409.5">
      <c r="A285" s="3" t="s">
        <v>1269</v>
      </c>
      <c r="B285" s="3" t="s">
        <v>1270</v>
      </c>
      <c r="C285" s="4" t="s">
        <v>6403</v>
      </c>
      <c r="D285" s="3" t="s">
        <v>6058</v>
      </c>
      <c r="E285" s="3" t="s">
        <v>5992</v>
      </c>
      <c r="F285" s="3"/>
      <c r="G285" s="3"/>
      <c r="H285" s="3"/>
      <c r="I285" s="3"/>
      <c r="J285" s="3" t="s">
        <v>1271</v>
      </c>
      <c r="K285" s="3"/>
      <c r="L285" s="3" t="s">
        <v>1272</v>
      </c>
      <c r="M285" s="3" t="str">
        <f>HYPERLINK("https://ceds.ed.gov/cedselementdetails.aspx?termid=5380")</f>
        <v>https://ceds.ed.gov/cedselementdetails.aspx?termid=5380</v>
      </c>
      <c r="N285" s="3" t="str">
        <f>HYPERLINK("https://ceds.ed.gov/elementComment.aspx?elementName=Assessment Session Special Circumstance Type &amp;elementID=5380", "Click here to submit comment")</f>
        <v>Click here to submit comment</v>
      </c>
    </row>
    <row r="286" spans="1:14" ht="150">
      <c r="A286" s="3" t="s">
        <v>1273</v>
      </c>
      <c r="B286" s="3" t="s">
        <v>1274</v>
      </c>
      <c r="C286" s="3" t="s">
        <v>13</v>
      </c>
      <c r="D286" s="3" t="s">
        <v>6060</v>
      </c>
      <c r="E286" s="3"/>
      <c r="F286" s="3"/>
      <c r="G286" s="3" t="s">
        <v>106</v>
      </c>
      <c r="H286" s="3"/>
      <c r="I286" s="3"/>
      <c r="J286" s="3" t="s">
        <v>1275</v>
      </c>
      <c r="K286" s="3"/>
      <c r="L286" s="3" t="s">
        <v>1276</v>
      </c>
      <c r="M286" s="3" t="str">
        <f>HYPERLINK("https://ceds.ed.gov/cedselementdetails.aspx?termid=6077")</f>
        <v>https://ceds.ed.gov/cedselementdetails.aspx?termid=6077</v>
      </c>
      <c r="N286" s="3" t="str">
        <f>HYPERLINK("https://ceds.ed.gov/elementComment.aspx?elementName=Assessment Session Special Event Description &amp;elementID=6077", "Click here to submit comment")</f>
        <v>Click here to submit comment</v>
      </c>
    </row>
    <row r="287" spans="1:14" ht="120">
      <c r="A287" s="3" t="s">
        <v>1277</v>
      </c>
      <c r="B287" s="3" t="s">
        <v>1278</v>
      </c>
      <c r="C287" s="3" t="s">
        <v>6061</v>
      </c>
      <c r="D287" s="3" t="s">
        <v>6057</v>
      </c>
      <c r="E287" s="3"/>
      <c r="F287" s="3"/>
      <c r="G287" s="3"/>
      <c r="H287" s="3"/>
      <c r="I287" s="3"/>
      <c r="J287" s="3" t="s">
        <v>1279</v>
      </c>
      <c r="K287" s="3"/>
      <c r="L287" s="3" t="s">
        <v>1280</v>
      </c>
      <c r="M287" s="3" t="str">
        <f>HYPERLINK("https://ceds.ed.gov/cedselementdetails.aspx?termid=6179")</f>
        <v>https://ceds.ed.gov/cedselementdetails.aspx?termid=6179</v>
      </c>
      <c r="N287" s="3" t="str">
        <f>HYPERLINK("https://ceds.ed.gov/elementComment.aspx?elementName=Assessment Session Staff Role Type &amp;elementID=6179", "Click here to submit comment")</f>
        <v>Click here to submit comment</v>
      </c>
    </row>
    <row r="288" spans="1:14" ht="60">
      <c r="A288" s="3" t="s">
        <v>1281</v>
      </c>
      <c r="B288" s="3" t="s">
        <v>1282</v>
      </c>
      <c r="C288" s="3" t="s">
        <v>6062</v>
      </c>
      <c r="D288" s="3" t="s">
        <v>6057</v>
      </c>
      <c r="E288" s="3"/>
      <c r="F288" s="3"/>
      <c r="G288" s="3"/>
      <c r="H288" s="3"/>
      <c r="I288" s="3"/>
      <c r="J288" s="3" t="s">
        <v>1283</v>
      </c>
      <c r="K288" s="3"/>
      <c r="L288" s="3" t="s">
        <v>1284</v>
      </c>
      <c r="M288" s="3" t="str">
        <f>HYPERLINK("https://ceds.ed.gov/cedselementdetails.aspx?termid=6020")</f>
        <v>https://ceds.ed.gov/cedselementdetails.aspx?termid=6020</v>
      </c>
      <c r="N288" s="3" t="str">
        <f>HYPERLINK("https://ceds.ed.gov/elementComment.aspx?elementName=Assessment Session Type &amp;elementID=6020", "Click here to submit comment")</f>
        <v>Click here to submit comment</v>
      </c>
    </row>
    <row r="289" spans="1:14" ht="45">
      <c r="A289" s="3" t="s">
        <v>1285</v>
      </c>
      <c r="B289" s="3" t="s">
        <v>1286</v>
      </c>
      <c r="C289" s="3" t="s">
        <v>5963</v>
      </c>
      <c r="D289" s="3" t="s">
        <v>1287</v>
      </c>
      <c r="E289" s="3" t="s">
        <v>65</v>
      </c>
      <c r="F289" s="3"/>
      <c r="G289" s="3"/>
      <c r="H289" s="3"/>
      <c r="I289" s="3"/>
      <c r="J289" s="3" t="s">
        <v>1288</v>
      </c>
      <c r="K289" s="3"/>
      <c r="L289" s="3" t="s">
        <v>1289</v>
      </c>
      <c r="M289" s="3" t="str">
        <f>HYPERLINK("https://ceds.ed.gov/cedselementdetails.aspx?termid=5858")</f>
        <v>https://ceds.ed.gov/cedselementdetails.aspx?termid=5858</v>
      </c>
      <c r="N289" s="3" t="str">
        <f>HYPERLINK("https://ceds.ed.gov/elementComment.aspx?elementName=Assessment Shared With Parents &amp;elementID=5858", "Click here to submit comment")</f>
        <v>Click here to submit comment</v>
      </c>
    </row>
    <row r="290" spans="1:14" ht="45">
      <c r="A290" s="3" t="s">
        <v>1290</v>
      </c>
      <c r="B290" s="3" t="s">
        <v>1291</v>
      </c>
      <c r="C290" s="3" t="s">
        <v>13</v>
      </c>
      <c r="D290" s="3" t="s">
        <v>6011</v>
      </c>
      <c r="E290" s="3"/>
      <c r="F290" s="3"/>
      <c r="G290" s="3" t="s">
        <v>100</v>
      </c>
      <c r="H290" s="3"/>
      <c r="I290" s="3"/>
      <c r="J290" s="3" t="s">
        <v>1292</v>
      </c>
      <c r="K290" s="3"/>
      <c r="L290" s="3" t="s">
        <v>1293</v>
      </c>
      <c r="M290" s="3" t="str">
        <f>HYPERLINK("https://ceds.ed.gov/cedselementdetails.aspx?termid=5932")</f>
        <v>https://ceds.ed.gov/cedselementdetails.aspx?termid=5932</v>
      </c>
      <c r="N290" s="3" t="str">
        <f>HYPERLINK("https://ceds.ed.gov/elementComment.aspx?elementName=Assessment Short Name &amp;elementID=5932", "Click here to submit comment")</f>
        <v>Click here to submit comment</v>
      </c>
    </row>
    <row r="291" spans="1:14" ht="135">
      <c r="A291" s="3" t="s">
        <v>1294</v>
      </c>
      <c r="B291" s="3" t="s">
        <v>1295</v>
      </c>
      <c r="C291" s="3" t="s">
        <v>13</v>
      </c>
      <c r="D291" s="3" t="s">
        <v>5999</v>
      </c>
      <c r="E291" s="3" t="s">
        <v>6063</v>
      </c>
      <c r="F291" s="3"/>
      <c r="G291" s="3" t="s">
        <v>100</v>
      </c>
      <c r="H291" s="3"/>
      <c r="I291" s="3"/>
      <c r="J291" s="3" t="s">
        <v>1296</v>
      </c>
      <c r="K291" s="3"/>
      <c r="L291" s="3" t="s">
        <v>1297</v>
      </c>
      <c r="M291" s="3" t="str">
        <f>HYPERLINK("https://ceds.ed.gov/cedselementdetails.aspx?termid=5367")</f>
        <v>https://ceds.ed.gov/cedselementdetails.aspx?termid=5367</v>
      </c>
      <c r="N291" s="3" t="str">
        <f>HYPERLINK("https://ceds.ed.gov/elementComment.aspx?elementName=Assessment Subtest Abbreviation &amp;elementID=5367", "Click here to submit comment")</f>
        <v>Click here to submit comment</v>
      </c>
    </row>
    <row r="292" spans="1:14" ht="150">
      <c r="A292" s="3" t="s">
        <v>1298</v>
      </c>
      <c r="B292" s="3" t="s">
        <v>1299</v>
      </c>
      <c r="C292" s="3" t="s">
        <v>13</v>
      </c>
      <c r="D292" s="3" t="s">
        <v>5999</v>
      </c>
      <c r="E292" s="3" t="s">
        <v>6006</v>
      </c>
      <c r="F292" s="3"/>
      <c r="G292" s="3" t="s">
        <v>106</v>
      </c>
      <c r="H292" s="3"/>
      <c r="I292" s="3"/>
      <c r="J292" s="3" t="s">
        <v>1300</v>
      </c>
      <c r="K292" s="3"/>
      <c r="L292" s="3" t="s">
        <v>1301</v>
      </c>
      <c r="M292" s="3" t="str">
        <f>HYPERLINK("https://ceds.ed.gov/cedselementdetails.aspx?termid=5274")</f>
        <v>https://ceds.ed.gov/cedselementdetails.aspx?termid=5274</v>
      </c>
      <c r="N292" s="3" t="str">
        <f>HYPERLINK("https://ceds.ed.gov/elementComment.aspx?elementName=Assessment Subtest Description &amp;elementID=5274", "Click here to submit comment")</f>
        <v>Click here to submit comment</v>
      </c>
    </row>
    <row r="293" spans="1:14" ht="135">
      <c r="A293" s="3" t="s">
        <v>1302</v>
      </c>
      <c r="B293" s="3" t="s">
        <v>1303</v>
      </c>
      <c r="C293" s="3" t="s">
        <v>13</v>
      </c>
      <c r="D293" s="3" t="s">
        <v>5999</v>
      </c>
      <c r="E293" s="3" t="s">
        <v>6064</v>
      </c>
      <c r="F293" s="3"/>
      <c r="G293" s="3" t="s">
        <v>100</v>
      </c>
      <c r="H293" s="3"/>
      <c r="I293" s="3"/>
      <c r="J293" s="3" t="s">
        <v>1304</v>
      </c>
      <c r="K293" s="3"/>
      <c r="L293" s="3" t="s">
        <v>1305</v>
      </c>
      <c r="M293" s="3" t="str">
        <f>HYPERLINK("https://ceds.ed.gov/cedselementdetails.aspx?termid=5366")</f>
        <v>https://ceds.ed.gov/cedselementdetails.aspx?termid=5366</v>
      </c>
      <c r="N293" s="3" t="str">
        <f>HYPERLINK("https://ceds.ed.gov/elementComment.aspx?elementName=Assessment Subtest Identifier &amp;elementID=5366", "Click here to submit comment")</f>
        <v>Click here to submit comment</v>
      </c>
    </row>
    <row r="294" spans="1:14" ht="75">
      <c r="A294" s="3" t="s">
        <v>1306</v>
      </c>
      <c r="B294" s="3" t="s">
        <v>1307</v>
      </c>
      <c r="C294" s="3" t="s">
        <v>6065</v>
      </c>
      <c r="D294" s="3" t="s">
        <v>6009</v>
      </c>
      <c r="E294" s="3"/>
      <c r="F294" s="3"/>
      <c r="G294" s="3"/>
      <c r="H294" s="3"/>
      <c r="I294" s="3"/>
      <c r="J294" s="3" t="s">
        <v>1308</v>
      </c>
      <c r="K294" s="3"/>
      <c r="L294" s="3" t="s">
        <v>1309</v>
      </c>
      <c r="M294" s="3" t="str">
        <f>HYPERLINK("https://ceds.ed.gov/cedselementdetails.aspx?termid=6016")</f>
        <v>https://ceds.ed.gov/cedselementdetails.aspx?termid=6016</v>
      </c>
      <c r="N294" s="3" t="str">
        <f>HYPERLINK("https://ceds.ed.gov/elementComment.aspx?elementName=Assessment Subtest Identifier Type &amp;elementID=6016", "Click here to submit comment")</f>
        <v>Click here to submit comment</v>
      </c>
    </row>
    <row r="295" spans="1:14" ht="60">
      <c r="A295" s="3" t="s">
        <v>1310</v>
      </c>
      <c r="B295" s="3" t="s">
        <v>1311</v>
      </c>
      <c r="C295" s="3" t="s">
        <v>13</v>
      </c>
      <c r="D295" s="3" t="s">
        <v>6009</v>
      </c>
      <c r="E295" s="3" t="s">
        <v>5992</v>
      </c>
      <c r="F295" s="3"/>
      <c r="G295" s="3" t="s">
        <v>100</v>
      </c>
      <c r="H295" s="3"/>
      <c r="I295" s="3"/>
      <c r="J295" s="3" t="s">
        <v>1312</v>
      </c>
      <c r="K295" s="3"/>
      <c r="L295" s="3" t="s">
        <v>1313</v>
      </c>
      <c r="M295" s="3" t="str">
        <f>HYPERLINK("https://ceds.ed.gov/cedselementdetails.aspx?termid=5388")</f>
        <v>https://ceds.ed.gov/cedselementdetails.aspx?termid=5388</v>
      </c>
      <c r="N295" s="3" t="str">
        <f>HYPERLINK("https://ceds.ed.gov/elementComment.aspx?elementName=Assessment Subtest Maximum Value &amp;elementID=5388", "Click here to submit comment")</f>
        <v>Click here to submit comment</v>
      </c>
    </row>
    <row r="296" spans="1:14" ht="60">
      <c r="A296" s="3" t="s">
        <v>1314</v>
      </c>
      <c r="B296" s="3" t="s">
        <v>1315</v>
      </c>
      <c r="C296" s="3" t="s">
        <v>13</v>
      </c>
      <c r="D296" s="3" t="s">
        <v>6009</v>
      </c>
      <c r="E296" s="3" t="s">
        <v>5992</v>
      </c>
      <c r="F296" s="3"/>
      <c r="G296" s="3" t="s">
        <v>100</v>
      </c>
      <c r="H296" s="3"/>
      <c r="I296" s="3"/>
      <c r="J296" s="3" t="s">
        <v>1316</v>
      </c>
      <c r="K296" s="3"/>
      <c r="L296" s="3" t="s">
        <v>1317</v>
      </c>
      <c r="M296" s="3" t="str">
        <f>HYPERLINK("https://ceds.ed.gov/cedselementdetails.aspx?termid=5387")</f>
        <v>https://ceds.ed.gov/cedselementdetails.aspx?termid=5387</v>
      </c>
      <c r="N296" s="3" t="str">
        <f>HYPERLINK("https://ceds.ed.gov/elementComment.aspx?elementName=Assessment Subtest Minimum Value &amp;elementID=5387", "Click here to submit comment")</f>
        <v>Click here to submit comment</v>
      </c>
    </row>
    <row r="297" spans="1:14" ht="105">
      <c r="A297" s="3" t="s">
        <v>1318</v>
      </c>
      <c r="B297" s="3" t="s">
        <v>1319</v>
      </c>
      <c r="C297" s="3" t="s">
        <v>13</v>
      </c>
      <c r="D297" s="3" t="s">
        <v>6066</v>
      </c>
      <c r="E297" s="3" t="s">
        <v>6018</v>
      </c>
      <c r="F297" s="3"/>
      <c r="G297" s="3" t="s">
        <v>100</v>
      </c>
      <c r="H297" s="3"/>
      <c r="I297" s="3" t="s">
        <v>1320</v>
      </c>
      <c r="J297" s="3" t="s">
        <v>1321</v>
      </c>
      <c r="K297" s="3"/>
      <c r="L297" s="3" t="s">
        <v>1322</v>
      </c>
      <c r="M297" s="3" t="str">
        <f>HYPERLINK("https://ceds.ed.gov/cedselementdetails.aspx?termid=5389")</f>
        <v>https://ceds.ed.gov/cedselementdetails.aspx?termid=5389</v>
      </c>
      <c r="N297" s="3" t="str">
        <f>HYPERLINK("https://ceds.ed.gov/elementComment.aspx?elementName=Assessment Subtest Optimal Value &amp;elementID=5389", "Click here to submit comment")</f>
        <v>Click here to submit comment</v>
      </c>
    </row>
    <row r="298" spans="1:14" ht="60">
      <c r="A298" s="3" t="s">
        <v>1323</v>
      </c>
      <c r="B298" s="3" t="s">
        <v>1324</v>
      </c>
      <c r="C298" s="3" t="s">
        <v>13</v>
      </c>
      <c r="D298" s="3" t="s">
        <v>6009</v>
      </c>
      <c r="E298" s="3"/>
      <c r="F298" s="3"/>
      <c r="G298" s="3" t="s">
        <v>73</v>
      </c>
      <c r="H298" s="3"/>
      <c r="I298" s="3"/>
      <c r="J298" s="3" t="s">
        <v>1325</v>
      </c>
      <c r="K298" s="3"/>
      <c r="L298" s="3" t="s">
        <v>1326</v>
      </c>
      <c r="M298" s="3" t="str">
        <f>HYPERLINK("https://ceds.ed.gov/cedselementdetails.aspx?termid=6075")</f>
        <v>https://ceds.ed.gov/cedselementdetails.aspx?termid=6075</v>
      </c>
      <c r="N298" s="3" t="str">
        <f>HYPERLINK("https://ceds.ed.gov/elementComment.aspx?elementName=Assessment Subtest Published Date &amp;elementID=6075", "Click here to submit comment")</f>
        <v>Click here to submit comment</v>
      </c>
    </row>
    <row r="299" spans="1:14" ht="75">
      <c r="A299" s="3" t="s">
        <v>1327</v>
      </c>
      <c r="B299" s="3" t="s">
        <v>1328</v>
      </c>
      <c r="C299" s="3" t="s">
        <v>13</v>
      </c>
      <c r="D299" s="3" t="s">
        <v>6067</v>
      </c>
      <c r="E299" s="3"/>
      <c r="F299" s="3"/>
      <c r="G299" s="3" t="s">
        <v>73</v>
      </c>
      <c r="H299" s="3"/>
      <c r="I299" s="3"/>
      <c r="J299" s="3" t="s">
        <v>1329</v>
      </c>
      <c r="K299" s="3"/>
      <c r="L299" s="3" t="s">
        <v>1330</v>
      </c>
      <c r="M299" s="3" t="str">
        <f>HYPERLINK("https://ceds.ed.gov/cedselementdetails.aspx?termid=5972")</f>
        <v>https://ceds.ed.gov/cedselementdetails.aspx?termid=5972</v>
      </c>
      <c r="N299" s="3" t="str">
        <f>HYPERLINK("https://ceds.ed.gov/elementComment.aspx?elementName=Assessment Subtest Result Date Created &amp;elementID=5972", "Click here to submit comment")</f>
        <v>Click here to submit comment</v>
      </c>
    </row>
    <row r="300" spans="1:14" ht="135">
      <c r="A300" s="3" t="s">
        <v>1331</v>
      </c>
      <c r="B300" s="3" t="s">
        <v>1332</v>
      </c>
      <c r="C300" s="3" t="s">
        <v>13</v>
      </c>
      <c r="D300" s="3" t="s">
        <v>6067</v>
      </c>
      <c r="E300" s="3"/>
      <c r="F300" s="3"/>
      <c r="G300" s="3" t="s">
        <v>73</v>
      </c>
      <c r="H300" s="3"/>
      <c r="I300" s="3" t="s">
        <v>1333</v>
      </c>
      <c r="J300" s="3" t="s">
        <v>1334</v>
      </c>
      <c r="K300" s="3"/>
      <c r="L300" s="3" t="s">
        <v>1335</v>
      </c>
      <c r="M300" s="3" t="str">
        <f>HYPERLINK("https://ceds.ed.gov/cedselementdetails.aspx?termid=5971")</f>
        <v>https://ceds.ed.gov/cedselementdetails.aspx?termid=5971</v>
      </c>
      <c r="N300" s="3" t="str">
        <f>HYPERLINK("https://ceds.ed.gov/elementComment.aspx?elementName=Assessment Subtest Result Date Updated &amp;elementID=5971", "Click here to submit comment")</f>
        <v>Click here to submit comment</v>
      </c>
    </row>
    <row r="301" spans="1:14" ht="120">
      <c r="A301" s="3" t="s">
        <v>1336</v>
      </c>
      <c r="B301" s="3" t="s">
        <v>1337</v>
      </c>
      <c r="C301" s="3" t="s">
        <v>13</v>
      </c>
      <c r="D301" s="3" t="s">
        <v>6068</v>
      </c>
      <c r="E301" s="3" t="s">
        <v>493</v>
      </c>
      <c r="F301" s="3"/>
      <c r="G301" s="3" t="s">
        <v>93</v>
      </c>
      <c r="H301" s="3"/>
      <c r="I301" s="3"/>
      <c r="J301" s="3" t="s">
        <v>1338</v>
      </c>
      <c r="K301" s="3"/>
      <c r="L301" s="3" t="s">
        <v>1339</v>
      </c>
      <c r="M301" s="3" t="str">
        <f>HYPERLINK("https://ceds.ed.gov/cedselementdetails.aspx?termid=5890")</f>
        <v>https://ceds.ed.gov/cedselementdetails.aspx?termid=5890</v>
      </c>
      <c r="N301" s="3" t="str">
        <f>HYPERLINK("https://ceds.ed.gov/elementComment.aspx?elementName=Assessment Subtest Result Descriptive Feedback &amp;elementID=5890", "Click here to submit comment")</f>
        <v>Click here to submit comment</v>
      </c>
    </row>
    <row r="302" spans="1:14" ht="120">
      <c r="A302" s="3" t="s">
        <v>1340</v>
      </c>
      <c r="B302" s="3" t="s">
        <v>1341</v>
      </c>
      <c r="C302" s="3" t="s">
        <v>13</v>
      </c>
      <c r="D302" s="3" t="s">
        <v>6067</v>
      </c>
      <c r="E302" s="3"/>
      <c r="F302" s="3"/>
      <c r="G302" s="3" t="s">
        <v>106</v>
      </c>
      <c r="H302" s="3"/>
      <c r="I302" s="3"/>
      <c r="J302" s="3" t="s">
        <v>1342</v>
      </c>
      <c r="K302" s="3"/>
      <c r="L302" s="3" t="s">
        <v>1343</v>
      </c>
      <c r="M302" s="3" t="str">
        <f>HYPERLINK("https://ceds.ed.gov/cedselementdetails.aspx?termid=6076")</f>
        <v>https://ceds.ed.gov/cedselementdetails.aspx?termid=6076</v>
      </c>
      <c r="N302" s="3" t="str">
        <f>HYPERLINK("https://ceds.ed.gov/elementComment.aspx?elementName=Assessment Subtest Result Descriptive Feedback Source &amp;elementID=6076", "Click here to submit comment")</f>
        <v>Click here to submit comment</v>
      </c>
    </row>
    <row r="303" spans="1:14" ht="120">
      <c r="A303" s="3" t="s">
        <v>1344</v>
      </c>
      <c r="B303" s="3" t="s">
        <v>1345</v>
      </c>
      <c r="C303" s="3" t="s">
        <v>13</v>
      </c>
      <c r="D303" s="3" t="s">
        <v>6067</v>
      </c>
      <c r="E303" s="3"/>
      <c r="F303" s="3"/>
      <c r="G303" s="3" t="s">
        <v>319</v>
      </c>
      <c r="H303" s="3"/>
      <c r="I303" s="3"/>
      <c r="J303" s="3" t="s">
        <v>1346</v>
      </c>
      <c r="K303" s="3"/>
      <c r="L303" s="3" t="s">
        <v>1347</v>
      </c>
      <c r="M303" s="3" t="str">
        <f>HYPERLINK("https://ceds.ed.gov/cedselementdetails.aspx?termid=6185")</f>
        <v>https://ceds.ed.gov/cedselementdetails.aspx?termid=6185</v>
      </c>
      <c r="N303" s="3" t="str">
        <f>HYPERLINK("https://ceds.ed.gov/elementComment.aspx?elementName=Assessment Subtest Result Diagnostic Statement &amp;elementID=6185", "Click here to submit comment")</f>
        <v>Click here to submit comment</v>
      </c>
    </row>
    <row r="304" spans="1:14" ht="60">
      <c r="A304" s="3" t="s">
        <v>1348</v>
      </c>
      <c r="B304" s="3" t="s">
        <v>1349</v>
      </c>
      <c r="C304" s="3" t="s">
        <v>5963</v>
      </c>
      <c r="D304" s="3" t="s">
        <v>1350</v>
      </c>
      <c r="E304" s="3" t="s">
        <v>218</v>
      </c>
      <c r="F304" s="3"/>
      <c r="G304" s="3"/>
      <c r="H304" s="3"/>
      <c r="I304" s="3"/>
      <c r="J304" s="3" t="s">
        <v>1351</v>
      </c>
      <c r="K304" s="3" t="s">
        <v>1352</v>
      </c>
      <c r="L304" s="3" t="s">
        <v>1353</v>
      </c>
      <c r="M304" s="3" t="str">
        <f>HYPERLINK("https://ceds.ed.gov/cedselementdetails.aspx?termid=5568")</f>
        <v>https://ceds.ed.gov/cedselementdetails.aspx?termid=5568</v>
      </c>
      <c r="N304" s="3" t="str">
        <f>HYPERLINK("https://ceds.ed.gov/elementComment.aspx?elementName=Assessment Subtest Result Included in Adequate Yearly Progress Calculation &amp;elementID=5568", "Click here to submit comment")</f>
        <v>Click here to submit comment</v>
      </c>
    </row>
    <row r="305" spans="1:14" ht="120">
      <c r="A305" s="3" t="s">
        <v>1354</v>
      </c>
      <c r="B305" s="3" t="s">
        <v>1355</v>
      </c>
      <c r="C305" s="3" t="s">
        <v>13</v>
      </c>
      <c r="D305" s="3" t="s">
        <v>6067</v>
      </c>
      <c r="E305" s="3"/>
      <c r="F305" s="3"/>
      <c r="G305" s="3" t="s">
        <v>1173</v>
      </c>
      <c r="H305" s="3"/>
      <c r="I305" s="3"/>
      <c r="J305" s="3" t="s">
        <v>1356</v>
      </c>
      <c r="K305" s="3"/>
      <c r="L305" s="3" t="s">
        <v>1357</v>
      </c>
      <c r="M305" s="3" t="str">
        <f>HYPERLINK("https://ceds.ed.gov/cedselementdetails.aspx?termid=6012")</f>
        <v>https://ceds.ed.gov/cedselementdetails.aspx?termid=6012</v>
      </c>
      <c r="N305" s="3" t="str">
        <f>HYPERLINK("https://ceds.ed.gov/elementComment.aspx?elementName=Assessment Subtest Result Number of Responses &amp;elementID=6012", "Click here to submit comment")</f>
        <v>Click here to submit comment</v>
      </c>
    </row>
    <row r="306" spans="1:14" ht="75">
      <c r="A306" s="3" t="s">
        <v>1358</v>
      </c>
      <c r="B306" s="3" t="s">
        <v>1359</v>
      </c>
      <c r="C306" s="3" t="s">
        <v>5963</v>
      </c>
      <c r="D306" s="3" t="s">
        <v>6067</v>
      </c>
      <c r="E306" s="3"/>
      <c r="F306" s="3"/>
      <c r="G306" s="3"/>
      <c r="H306" s="3"/>
      <c r="I306" s="3"/>
      <c r="J306" s="3" t="s">
        <v>1360</v>
      </c>
      <c r="K306" s="3"/>
      <c r="L306" s="3" t="s">
        <v>1361</v>
      </c>
      <c r="M306" s="3" t="str">
        <f>HYPERLINK("https://ceds.ed.gov/cedselementdetails.aspx?termid=6010")</f>
        <v>https://ceds.ed.gov/cedselementdetails.aspx?termid=6010</v>
      </c>
      <c r="N306" s="3" t="str">
        <f>HYPERLINK("https://ceds.ed.gov/elementComment.aspx?elementName=Assessment Subtest Result Preliminary Indicator &amp;elementID=6010", "Click here to submit comment")</f>
        <v>Click here to submit comment</v>
      </c>
    </row>
    <row r="307" spans="1:14" ht="120">
      <c r="A307" s="3" t="s">
        <v>1362</v>
      </c>
      <c r="B307" s="3" t="s">
        <v>1363</v>
      </c>
      <c r="C307" s="4" t="s">
        <v>6404</v>
      </c>
      <c r="D307" s="3" t="s">
        <v>6068</v>
      </c>
      <c r="E307" s="3" t="s">
        <v>6069</v>
      </c>
      <c r="F307" s="3"/>
      <c r="G307" s="3"/>
      <c r="H307" s="3"/>
      <c r="I307" s="3"/>
      <c r="J307" s="3" t="s">
        <v>1364</v>
      </c>
      <c r="K307" s="3"/>
      <c r="L307" s="3" t="s">
        <v>1365</v>
      </c>
      <c r="M307" s="3" t="str">
        <f>HYPERLINK("https://ceds.ed.gov/cedselementdetails.aspx?termid=5564")</f>
        <v>https://ceds.ed.gov/cedselementdetails.aspx?termid=5564</v>
      </c>
      <c r="N307" s="3" t="str">
        <f>HYPERLINK("https://ceds.ed.gov/elementComment.aspx?elementName=Assessment Subtest Result Pretest Outcome &amp;elementID=5564", "Click here to submit comment")</f>
        <v>Click here to submit comment</v>
      </c>
    </row>
    <row r="308" spans="1:14" ht="195">
      <c r="A308" s="3" t="s">
        <v>1366</v>
      </c>
      <c r="B308" s="3" t="s">
        <v>1367</v>
      </c>
      <c r="C308" s="3" t="s">
        <v>13</v>
      </c>
      <c r="D308" s="3" t="s">
        <v>6070</v>
      </c>
      <c r="E308" s="3" t="s">
        <v>6071</v>
      </c>
      <c r="F308" s="3"/>
      <c r="G308" s="3" t="s">
        <v>1368</v>
      </c>
      <c r="H308" s="3"/>
      <c r="I308" s="3"/>
      <c r="J308" s="3" t="s">
        <v>1369</v>
      </c>
      <c r="K308" s="3"/>
      <c r="L308" s="3" t="s">
        <v>1370</v>
      </c>
      <c r="M308" s="3" t="str">
        <f>HYPERLINK("https://ceds.ed.gov/cedselementdetails.aspx?termid=5245")</f>
        <v>https://ceds.ed.gov/cedselementdetails.aspx?termid=5245</v>
      </c>
      <c r="N308" s="3" t="str">
        <f>HYPERLINK("https://ceds.ed.gov/elementComment.aspx?elementName=Assessment Subtest Result Score Value &amp;elementID=5245", "Click here to submit comment")</f>
        <v>Click here to submit comment</v>
      </c>
    </row>
    <row r="309" spans="1:14" ht="105">
      <c r="A309" s="3" t="s">
        <v>1371</v>
      </c>
      <c r="B309" s="3" t="s">
        <v>1372</v>
      </c>
      <c r="C309" s="3" t="s">
        <v>13</v>
      </c>
      <c r="D309" s="3" t="s">
        <v>6066</v>
      </c>
      <c r="E309" s="3"/>
      <c r="F309" s="3"/>
      <c r="G309" s="3" t="s">
        <v>319</v>
      </c>
      <c r="H309" s="3"/>
      <c r="I309" s="3"/>
      <c r="J309" s="3" t="s">
        <v>1373</v>
      </c>
      <c r="K309" s="3"/>
      <c r="L309" s="3" t="s">
        <v>1374</v>
      </c>
      <c r="M309" s="3" t="str">
        <f>HYPERLINK("https://ceds.ed.gov/cedselementdetails.aspx?termid=5695")</f>
        <v>https://ceds.ed.gov/cedselementdetails.aspx?termid=5695</v>
      </c>
      <c r="N309" s="3" t="str">
        <f>HYPERLINK("https://ceds.ed.gov/elementComment.aspx?elementName=Assessment Subtest Rules &amp;elementID=5695", "Click here to submit comment")</f>
        <v>Click here to submit comment</v>
      </c>
    </row>
    <row r="310" spans="1:14" ht="409.5">
      <c r="A310" s="3" t="s">
        <v>1375</v>
      </c>
      <c r="B310" s="3" t="s">
        <v>1376</v>
      </c>
      <c r="C310" s="4" t="s">
        <v>6398</v>
      </c>
      <c r="D310" s="3" t="s">
        <v>6072</v>
      </c>
      <c r="E310" s="3" t="s">
        <v>6064</v>
      </c>
      <c r="F310" s="3"/>
      <c r="G310" s="3"/>
      <c r="H310" s="3"/>
      <c r="I310" s="3"/>
      <c r="J310" s="3" t="s">
        <v>1377</v>
      </c>
      <c r="K310" s="3"/>
      <c r="L310" s="3" t="s">
        <v>1378</v>
      </c>
      <c r="M310" s="3" t="str">
        <f>HYPERLINK("https://ceds.ed.gov/cedselementdetails.aspx?termid=5368")</f>
        <v>https://ceds.ed.gov/cedselementdetails.aspx?termid=5368</v>
      </c>
      <c r="N310" s="3" t="str">
        <f>HYPERLINK("https://ceds.ed.gov/elementComment.aspx?elementName=Assessment Subtest Score Metric Type &amp;elementID=5368", "Click here to submit comment")</f>
        <v>Click here to submit comment</v>
      </c>
    </row>
    <row r="311" spans="1:14" ht="165">
      <c r="A311" s="3" t="s">
        <v>1379</v>
      </c>
      <c r="B311" s="3" t="s">
        <v>1380</v>
      </c>
      <c r="C311" s="3" t="s">
        <v>13</v>
      </c>
      <c r="D311" s="3" t="s">
        <v>5999</v>
      </c>
      <c r="E311" s="3" t="s">
        <v>6073</v>
      </c>
      <c r="F311" s="3"/>
      <c r="G311" s="3" t="s">
        <v>106</v>
      </c>
      <c r="H311" s="3"/>
      <c r="I311" s="3"/>
      <c r="J311" s="3" t="s">
        <v>1381</v>
      </c>
      <c r="K311" s="3"/>
      <c r="L311" s="3" t="s">
        <v>1382</v>
      </c>
      <c r="M311" s="3" t="str">
        <f>HYPERLINK("https://ceds.ed.gov/cedselementdetails.aspx?termid=5275")</f>
        <v>https://ceds.ed.gov/cedselementdetails.aspx?termid=5275</v>
      </c>
      <c r="N311" s="3" t="str">
        <f>HYPERLINK("https://ceds.ed.gov/elementComment.aspx?elementName=Assessment Subtest Title &amp;elementID=5275", "Click here to submit comment")</f>
        <v>Click here to submit comment</v>
      </c>
    </row>
    <row r="312" spans="1:14" ht="135">
      <c r="A312" s="3" t="s">
        <v>1383</v>
      </c>
      <c r="B312" s="3" t="s">
        <v>1384</v>
      </c>
      <c r="C312" s="3" t="s">
        <v>13</v>
      </c>
      <c r="D312" s="3" t="s">
        <v>5999</v>
      </c>
      <c r="E312" s="3" t="s">
        <v>6064</v>
      </c>
      <c r="F312" s="3"/>
      <c r="G312" s="3" t="s">
        <v>100</v>
      </c>
      <c r="H312" s="3"/>
      <c r="I312" s="3"/>
      <c r="J312" s="3" t="s">
        <v>1385</v>
      </c>
      <c r="K312" s="3"/>
      <c r="L312" s="3" t="s">
        <v>1386</v>
      </c>
      <c r="M312" s="3" t="str">
        <f>HYPERLINK("https://ceds.ed.gov/cedselementdetails.aspx?termid=5379")</f>
        <v>https://ceds.ed.gov/cedselementdetails.aspx?termid=5379</v>
      </c>
      <c r="N312" s="3" t="str">
        <f>HYPERLINK("https://ceds.ed.gov/elementComment.aspx?elementName=Assessment Subtest Version &amp;elementID=5379", "Click here to submit comment")</f>
        <v>Click here to submit comment</v>
      </c>
    </row>
    <row r="313" spans="1:14" ht="165">
      <c r="A313" s="3" t="s">
        <v>1387</v>
      </c>
      <c r="B313" s="3" t="s">
        <v>1388</v>
      </c>
      <c r="C313" s="3" t="s">
        <v>13</v>
      </c>
      <c r="D313" s="3" t="s">
        <v>6074</v>
      </c>
      <c r="E313" s="3" t="s">
        <v>6073</v>
      </c>
      <c r="F313" s="3"/>
      <c r="G313" s="3" t="s">
        <v>106</v>
      </c>
      <c r="H313" s="3"/>
      <c r="I313" s="3"/>
      <c r="J313" s="3" t="s">
        <v>1389</v>
      </c>
      <c r="K313" s="3"/>
      <c r="L313" s="3" t="s">
        <v>1390</v>
      </c>
      <c r="M313" s="3" t="str">
        <f>HYPERLINK("https://ceds.ed.gov/cedselementdetails.aspx?termid=5028")</f>
        <v>https://ceds.ed.gov/cedselementdetails.aspx?termid=5028</v>
      </c>
      <c r="N313" s="3" t="str">
        <f>HYPERLINK("https://ceds.ed.gov/elementComment.aspx?elementName=Assessment Title &amp;elementID=5028", "Click here to submit comment")</f>
        <v>Click here to submit comment</v>
      </c>
    </row>
    <row r="314" spans="1:14" ht="409.5">
      <c r="A314" s="3" t="s">
        <v>1391</v>
      </c>
      <c r="B314" s="3" t="s">
        <v>1392</v>
      </c>
      <c r="C314" s="4" t="s">
        <v>6405</v>
      </c>
      <c r="D314" s="3" t="s">
        <v>6074</v>
      </c>
      <c r="E314" s="3" t="s">
        <v>6000</v>
      </c>
      <c r="F314" s="3"/>
      <c r="G314" s="3"/>
      <c r="H314" s="3"/>
      <c r="I314" s="3"/>
      <c r="J314" s="3" t="s">
        <v>1393</v>
      </c>
      <c r="K314" s="3"/>
      <c r="L314" s="3" t="s">
        <v>1394</v>
      </c>
      <c r="M314" s="3" t="str">
        <f>HYPERLINK("https://ceds.ed.gov/cedselementdetails.aspx?termid=5029")</f>
        <v>https://ceds.ed.gov/cedselementdetails.aspx?termid=5029</v>
      </c>
      <c r="N314" s="3" t="str">
        <f>HYPERLINK("https://ceds.ed.gov/elementComment.aspx?elementName=Assessment Type &amp;elementID=5029", "Click here to submit comment")</f>
        <v>Click here to submit comment</v>
      </c>
    </row>
    <row r="315" spans="1:14" ht="409.5">
      <c r="A315" s="3" t="s">
        <v>1395</v>
      </c>
      <c r="B315" s="3" t="s">
        <v>1396</v>
      </c>
      <c r="C315" s="4" t="s">
        <v>6406</v>
      </c>
      <c r="D315" s="3" t="s">
        <v>6043</v>
      </c>
      <c r="E315" s="3" t="s">
        <v>6052</v>
      </c>
      <c r="F315" s="3"/>
      <c r="G315" s="3"/>
      <c r="H315" s="3"/>
      <c r="I315" s="3"/>
      <c r="J315" s="3" t="s">
        <v>1397</v>
      </c>
      <c r="K315" s="3"/>
      <c r="L315" s="3" t="s">
        <v>1398</v>
      </c>
      <c r="M315" s="3" t="str">
        <f>HYPERLINK("https://ceds.ed.gov/cedselementdetails.aspx?termid=5405")</f>
        <v>https://ceds.ed.gov/cedselementdetails.aspx?termid=5405</v>
      </c>
      <c r="N315" s="3" t="str">
        <f>HYPERLINK("https://ceds.ed.gov/elementComment.aspx?elementName=Assessment Type Administered to Children With Disabilities &amp;elementID=5405", "Click here to submit comment")</f>
        <v>Click here to submit comment</v>
      </c>
    </row>
    <row r="316" spans="1:14" ht="45">
      <c r="A316" s="3" t="s">
        <v>1399</v>
      </c>
      <c r="B316" s="3" t="s">
        <v>1400</v>
      </c>
      <c r="C316" s="3" t="s">
        <v>13</v>
      </c>
      <c r="D316" s="3" t="s">
        <v>6075</v>
      </c>
      <c r="E316" s="3"/>
      <c r="F316" s="3"/>
      <c r="G316" s="3" t="s">
        <v>73</v>
      </c>
      <c r="H316" s="3"/>
      <c r="I316" s="3"/>
      <c r="J316" s="3" t="s">
        <v>1401</v>
      </c>
      <c r="K316" s="3"/>
      <c r="L316" s="3" t="s">
        <v>1402</v>
      </c>
      <c r="M316" s="3" t="str">
        <f>HYPERLINK("https://ceds.ed.gov/cedselementdetails.aspx?termid=5518")</f>
        <v>https://ceds.ed.gov/cedselementdetails.aspx?termid=5518</v>
      </c>
      <c r="N316" s="3" t="str">
        <f>HYPERLINK("https://ceds.ed.gov/elementComment.aspx?elementName=Assignment End Date &amp;elementID=5518", "Click here to submit comment")</f>
        <v>Click here to submit comment</v>
      </c>
    </row>
    <row r="317" spans="1:14" ht="45">
      <c r="A317" s="3" t="s">
        <v>1403</v>
      </c>
      <c r="B317" s="3" t="s">
        <v>1404</v>
      </c>
      <c r="C317" s="3" t="s">
        <v>13</v>
      </c>
      <c r="D317" s="3" t="s">
        <v>6075</v>
      </c>
      <c r="E317" s="3"/>
      <c r="F317" s="3"/>
      <c r="G317" s="3" t="s">
        <v>73</v>
      </c>
      <c r="H317" s="3"/>
      <c r="I317" s="3"/>
      <c r="J317" s="3" t="s">
        <v>1405</v>
      </c>
      <c r="K317" s="3"/>
      <c r="L317" s="3" t="s">
        <v>1406</v>
      </c>
      <c r="M317" s="3" t="str">
        <f>HYPERLINK("https://ceds.ed.gov/cedselementdetails.aspx?termid=5517")</f>
        <v>https://ceds.ed.gov/cedselementdetails.aspx?termid=5517</v>
      </c>
      <c r="N317" s="3" t="str">
        <f>HYPERLINK("https://ceds.ed.gov/elementComment.aspx?elementName=Assignment Start Date &amp;elementID=5517", "Click here to submit comment")</f>
        <v>Click here to submit comment</v>
      </c>
    </row>
    <row r="318" spans="1:14" ht="120">
      <c r="A318" s="3" t="s">
        <v>1407</v>
      </c>
      <c r="B318" s="3" t="s">
        <v>1408</v>
      </c>
      <c r="C318" s="4" t="s">
        <v>6407</v>
      </c>
      <c r="D318" s="3" t="s">
        <v>8</v>
      </c>
      <c r="E318" s="3"/>
      <c r="F318" s="3"/>
      <c r="G318" s="3"/>
      <c r="H318" s="3"/>
      <c r="I318" s="3"/>
      <c r="J318" s="3" t="s">
        <v>1409</v>
      </c>
      <c r="K318" s="3"/>
      <c r="L318" s="3" t="s">
        <v>1410</v>
      </c>
      <c r="M318" s="3" t="str">
        <f>HYPERLINK("https://ceds.ed.gov/cedselementdetails.aspx?termid=5594")</f>
        <v>https://ceds.ed.gov/cedselementdetails.aspx?termid=5594</v>
      </c>
      <c r="N318" s="3" t="str">
        <f>HYPERLINK("https://ceds.ed.gov/elementComment.aspx?elementName=Attendance Event Type &amp;elementID=5594", "Click here to submit comment")</f>
        <v>Click here to submit comment</v>
      </c>
    </row>
    <row r="319" spans="1:14" ht="105">
      <c r="A319" s="3" t="s">
        <v>1411</v>
      </c>
      <c r="B319" s="3" t="s">
        <v>1412</v>
      </c>
      <c r="C319" s="4" t="s">
        <v>6408</v>
      </c>
      <c r="D319" s="3" t="s">
        <v>6076</v>
      </c>
      <c r="E319" s="3"/>
      <c r="F319" s="3" t="s">
        <v>66</v>
      </c>
      <c r="G319" s="3"/>
      <c r="H319" s="3" t="s">
        <v>1413</v>
      </c>
      <c r="I319" s="3"/>
      <c r="J319" s="3" t="s">
        <v>1414</v>
      </c>
      <c r="K319" s="3"/>
      <c r="L319" s="3" t="s">
        <v>1415</v>
      </c>
      <c r="M319" s="3" t="str">
        <f>HYPERLINK("https://ceds.ed.gov/cedselementdetails.aspx?termid=5076")</f>
        <v>https://ceds.ed.gov/cedselementdetails.aspx?termid=5076</v>
      </c>
      <c r="N319" s="3" t="str">
        <f>HYPERLINK("https://ceds.ed.gov/elementComment.aspx?elementName=Attendance Status &amp;elementID=5076", "Click here to submit comment")</f>
        <v>Click here to submit comment</v>
      </c>
    </row>
    <row r="320" spans="1:14" ht="60">
      <c r="A320" s="3" t="s">
        <v>1416</v>
      </c>
      <c r="B320" s="3" t="s">
        <v>1417</v>
      </c>
      <c r="C320" s="3" t="s">
        <v>13</v>
      </c>
      <c r="D320" s="3" t="s">
        <v>1418</v>
      </c>
      <c r="E320" s="3"/>
      <c r="F320" s="3"/>
      <c r="G320" s="3" t="s">
        <v>73</v>
      </c>
      <c r="H320" s="3"/>
      <c r="I320" s="3"/>
      <c r="J320" s="3" t="s">
        <v>1419</v>
      </c>
      <c r="K320" s="3"/>
      <c r="L320" s="3" t="s">
        <v>1420</v>
      </c>
      <c r="M320" s="3" t="str">
        <f>HYPERLINK("https://ceds.ed.gov/cedselementdetails.aspx?termid=6126")</f>
        <v>https://ceds.ed.gov/cedselementdetails.aspx?termid=6126</v>
      </c>
      <c r="N320" s="3" t="str">
        <f>HYPERLINK("https://ceds.ed.gov/elementComment.aspx?elementName=Authentication Identity Provider End Date &amp;elementID=6126", "Click here to submit comment")</f>
        <v>Click here to submit comment</v>
      </c>
    </row>
    <row r="321" spans="1:14" ht="45">
      <c r="A321" s="3" t="s">
        <v>1421</v>
      </c>
      <c r="B321" s="3" t="s">
        <v>1422</v>
      </c>
      <c r="C321" s="3" t="s">
        <v>13</v>
      </c>
      <c r="D321" s="3" t="s">
        <v>1418</v>
      </c>
      <c r="E321" s="3"/>
      <c r="F321" s="3"/>
      <c r="G321" s="3" t="s">
        <v>106</v>
      </c>
      <c r="H321" s="3"/>
      <c r="I321" s="3"/>
      <c r="J321" s="3" t="s">
        <v>1423</v>
      </c>
      <c r="K321" s="3"/>
      <c r="L321" s="3" t="s">
        <v>1424</v>
      </c>
      <c r="M321" s="3" t="str">
        <f>HYPERLINK("https://ceds.ed.gov/cedselementdetails.aspx?termid=6124")</f>
        <v>https://ceds.ed.gov/cedselementdetails.aspx?termid=6124</v>
      </c>
      <c r="N321" s="3" t="str">
        <f>HYPERLINK("https://ceds.ed.gov/elementComment.aspx?elementName=Authentication Identity Provider Login Identifier &amp;elementID=6124", "Click here to submit comment")</f>
        <v>Click here to submit comment</v>
      </c>
    </row>
    <row r="322" spans="1:14" ht="45">
      <c r="A322" s="3" t="s">
        <v>1425</v>
      </c>
      <c r="B322" s="3" t="s">
        <v>1426</v>
      </c>
      <c r="C322" s="3" t="s">
        <v>13</v>
      </c>
      <c r="D322" s="3" t="s">
        <v>1418</v>
      </c>
      <c r="E322" s="3"/>
      <c r="F322" s="3"/>
      <c r="G322" s="3" t="s">
        <v>106</v>
      </c>
      <c r="H322" s="3"/>
      <c r="I322" s="3"/>
      <c r="J322" s="3" t="s">
        <v>1427</v>
      </c>
      <c r="K322" s="3"/>
      <c r="L322" s="3" t="s">
        <v>1428</v>
      </c>
      <c r="M322" s="3" t="str">
        <f>HYPERLINK("https://ceds.ed.gov/cedselementdetails.aspx?termid=6122")</f>
        <v>https://ceds.ed.gov/cedselementdetails.aspx?termid=6122</v>
      </c>
      <c r="N322" s="3" t="str">
        <f>HYPERLINK("https://ceds.ed.gov/elementComment.aspx?elementName=Authentication Identity Provider Name &amp;elementID=6122", "Click here to submit comment")</f>
        <v>Click here to submit comment</v>
      </c>
    </row>
    <row r="323" spans="1:14" ht="60">
      <c r="A323" s="3" t="s">
        <v>1429</v>
      </c>
      <c r="B323" s="3" t="s">
        <v>1430</v>
      </c>
      <c r="C323" s="3" t="s">
        <v>13</v>
      </c>
      <c r="D323" s="3" t="s">
        <v>1418</v>
      </c>
      <c r="E323" s="3"/>
      <c r="F323" s="3"/>
      <c r="G323" s="3" t="s">
        <v>73</v>
      </c>
      <c r="H323" s="3"/>
      <c r="I323" s="3"/>
      <c r="J323" s="3" t="s">
        <v>1431</v>
      </c>
      <c r="K323" s="3"/>
      <c r="L323" s="3" t="s">
        <v>1432</v>
      </c>
      <c r="M323" s="3" t="str">
        <f>HYPERLINK("https://ceds.ed.gov/cedselementdetails.aspx?termid=6125")</f>
        <v>https://ceds.ed.gov/cedselementdetails.aspx?termid=6125</v>
      </c>
      <c r="N323" s="3" t="str">
        <f>HYPERLINK("https://ceds.ed.gov/elementComment.aspx?elementName=Authentication Identity Provider Start Date &amp;elementID=6125", "Click here to submit comment")</f>
        <v>Click here to submit comment</v>
      </c>
    </row>
    <row r="324" spans="1:14" ht="45">
      <c r="A324" s="3" t="s">
        <v>1433</v>
      </c>
      <c r="B324" s="3" t="s">
        <v>1434</v>
      </c>
      <c r="C324" s="3" t="s">
        <v>13</v>
      </c>
      <c r="D324" s="3" t="s">
        <v>1418</v>
      </c>
      <c r="E324" s="3"/>
      <c r="F324" s="3"/>
      <c r="G324" s="3" t="s">
        <v>93</v>
      </c>
      <c r="H324" s="3"/>
      <c r="I324" s="3"/>
      <c r="J324" s="3" t="s">
        <v>1435</v>
      </c>
      <c r="K324" s="3"/>
      <c r="L324" s="3" t="s">
        <v>1436</v>
      </c>
      <c r="M324" s="3" t="str">
        <f>HYPERLINK("https://ceds.ed.gov/cedselementdetails.aspx?termid=6123")</f>
        <v>https://ceds.ed.gov/cedselementdetails.aspx?termid=6123</v>
      </c>
      <c r="N324" s="3" t="str">
        <f>HYPERLINK("https://ceds.ed.gov/elementComment.aspx?elementName=Authentication Identity Provider URI &amp;elementID=6123", "Click here to submit comment")</f>
        <v>Click here to submit comment</v>
      </c>
    </row>
    <row r="325" spans="1:14" ht="45">
      <c r="A325" s="3" t="s">
        <v>1437</v>
      </c>
      <c r="B325" s="3" t="s">
        <v>1438</v>
      </c>
      <c r="C325" s="3" t="s">
        <v>13</v>
      </c>
      <c r="D325" s="3" t="s">
        <v>1439</v>
      </c>
      <c r="E325" s="3"/>
      <c r="F325" s="3"/>
      <c r="G325" s="3" t="s">
        <v>1440</v>
      </c>
      <c r="H325" s="3"/>
      <c r="I325" s="3"/>
      <c r="J325" s="3" t="s">
        <v>1441</v>
      </c>
      <c r="K325" s="3"/>
      <c r="L325" s="3" t="s">
        <v>1442</v>
      </c>
      <c r="M325" s="3" t="str">
        <f>HYPERLINK("https://ceds.ed.gov/cedselementdetails.aspx?termid=6127")</f>
        <v>https://ceds.ed.gov/cedselementdetails.aspx?termid=6127</v>
      </c>
      <c r="N325" s="3" t="str">
        <f>HYPERLINK("https://ceds.ed.gov/elementComment.aspx?elementName=Authorization Application Name &amp;elementID=6127", "Click here to submit comment")</f>
        <v>Click here to submit comment</v>
      </c>
    </row>
    <row r="326" spans="1:14" ht="30">
      <c r="A326" s="3" t="s">
        <v>1443</v>
      </c>
      <c r="B326" s="3" t="s">
        <v>1444</v>
      </c>
      <c r="C326" s="3" t="s">
        <v>13</v>
      </c>
      <c r="D326" s="3" t="s">
        <v>1439</v>
      </c>
      <c r="E326" s="3"/>
      <c r="F326" s="3"/>
      <c r="G326" s="3" t="s">
        <v>106</v>
      </c>
      <c r="H326" s="3"/>
      <c r="I326" s="3"/>
      <c r="J326" s="3" t="s">
        <v>1445</v>
      </c>
      <c r="K326" s="3"/>
      <c r="L326" s="3" t="s">
        <v>1446</v>
      </c>
      <c r="M326" s="3" t="str">
        <f>HYPERLINK("https://ceds.ed.gov/cedselementdetails.aspx?termid=6129")</f>
        <v>https://ceds.ed.gov/cedselementdetails.aspx?termid=6129</v>
      </c>
      <c r="N326" s="3" t="str">
        <f>HYPERLINK("https://ceds.ed.gov/elementComment.aspx?elementName=Authorization Application Role Name &amp;elementID=6129", "Click here to submit comment")</f>
        <v>Click here to submit comment</v>
      </c>
    </row>
    <row r="327" spans="1:14" ht="45">
      <c r="A327" s="3" t="s">
        <v>1447</v>
      </c>
      <c r="B327" s="3" t="s">
        <v>1448</v>
      </c>
      <c r="C327" s="3" t="s">
        <v>13</v>
      </c>
      <c r="D327" s="3" t="s">
        <v>1439</v>
      </c>
      <c r="E327" s="3"/>
      <c r="F327" s="3"/>
      <c r="G327" s="3" t="s">
        <v>93</v>
      </c>
      <c r="H327" s="3"/>
      <c r="I327" s="3"/>
      <c r="J327" s="3" t="s">
        <v>1449</v>
      </c>
      <c r="K327" s="3"/>
      <c r="L327" s="3" t="s">
        <v>1450</v>
      </c>
      <c r="M327" s="3" t="str">
        <f>HYPERLINK("https://ceds.ed.gov/cedselementdetails.aspx?termid=6128")</f>
        <v>https://ceds.ed.gov/cedselementdetails.aspx?termid=6128</v>
      </c>
      <c r="N327" s="3" t="str">
        <f>HYPERLINK("https://ceds.ed.gov/elementComment.aspx?elementName=Authorization Application URI &amp;elementID=6128", "Click here to submit comment")</f>
        <v>Click here to submit comment</v>
      </c>
    </row>
    <row r="328" spans="1:14" ht="45">
      <c r="A328" s="3" t="s">
        <v>1451</v>
      </c>
      <c r="B328" s="3" t="s">
        <v>1452</v>
      </c>
      <c r="C328" s="3" t="s">
        <v>13</v>
      </c>
      <c r="D328" s="3" t="s">
        <v>1439</v>
      </c>
      <c r="E328" s="3"/>
      <c r="F328" s="3"/>
      <c r="G328" s="3" t="s">
        <v>73</v>
      </c>
      <c r="H328" s="3"/>
      <c r="I328" s="3"/>
      <c r="J328" s="3" t="s">
        <v>1453</v>
      </c>
      <c r="K328" s="3"/>
      <c r="L328" s="3" t="s">
        <v>1454</v>
      </c>
      <c r="M328" s="3" t="str">
        <f>HYPERLINK("https://ceds.ed.gov/cedselementdetails.aspx?termid=6131")</f>
        <v>https://ceds.ed.gov/cedselementdetails.aspx?termid=6131</v>
      </c>
      <c r="N328" s="3" t="str">
        <f>HYPERLINK("https://ceds.ed.gov/elementComment.aspx?elementName=Authorization End Date &amp;elementID=6131", "Click here to submit comment")</f>
        <v>Click here to submit comment</v>
      </c>
    </row>
    <row r="329" spans="1:14" ht="45">
      <c r="A329" s="3" t="s">
        <v>1455</v>
      </c>
      <c r="B329" s="3" t="s">
        <v>1456</v>
      </c>
      <c r="C329" s="3" t="s">
        <v>13</v>
      </c>
      <c r="D329" s="3" t="s">
        <v>1439</v>
      </c>
      <c r="E329" s="3"/>
      <c r="F329" s="3"/>
      <c r="G329" s="3" t="s">
        <v>73</v>
      </c>
      <c r="H329" s="3"/>
      <c r="I329" s="3"/>
      <c r="J329" s="3" t="s">
        <v>1457</v>
      </c>
      <c r="K329" s="3"/>
      <c r="L329" s="3" t="s">
        <v>1458</v>
      </c>
      <c r="M329" s="3" t="str">
        <f>HYPERLINK("https://ceds.ed.gov/cedselementdetails.aspx?termid=6130")</f>
        <v>https://ceds.ed.gov/cedselementdetails.aspx?termid=6130</v>
      </c>
      <c r="N329" s="3" t="str">
        <f>HYPERLINK("https://ceds.ed.gov/elementComment.aspx?elementName=Authorization Start Date &amp;elementID=6130", "Click here to submit comment")</f>
        <v>Click here to submit comment</v>
      </c>
    </row>
    <row r="330" spans="1:14" ht="150">
      <c r="A330" s="3" t="s">
        <v>1459</v>
      </c>
      <c r="B330" s="3" t="s">
        <v>1460</v>
      </c>
      <c r="C330" s="3" t="s">
        <v>13</v>
      </c>
      <c r="D330" s="3" t="s">
        <v>6077</v>
      </c>
      <c r="E330" s="3" t="s">
        <v>6078</v>
      </c>
      <c r="F330" s="3"/>
      <c r="G330" s="3" t="s">
        <v>1461</v>
      </c>
      <c r="H330" s="3"/>
      <c r="I330" s="3"/>
      <c r="J330" s="3" t="s">
        <v>1462</v>
      </c>
      <c r="K330" s="3"/>
      <c r="L330" s="3" t="s">
        <v>1463</v>
      </c>
      <c r="M330" s="3" t="str">
        <f>HYPERLINK("https://ceds.ed.gov/cedselementdetails.aspx?termid=5030")</f>
        <v>https://ceds.ed.gov/cedselementdetails.aspx?termid=5030</v>
      </c>
      <c r="N330" s="3" t="str">
        <f>HYPERLINK("https://ceds.ed.gov/elementComment.aspx?elementName=Available Carnegie Unit Credit &amp;elementID=5030", "Click here to submit comment")</f>
        <v>Click here to submit comment</v>
      </c>
    </row>
    <row r="331" spans="1:14" ht="60">
      <c r="A331" s="3" t="s">
        <v>1464</v>
      </c>
      <c r="B331" s="3" t="s">
        <v>1465</v>
      </c>
      <c r="C331" s="3" t="s">
        <v>5963</v>
      </c>
      <c r="D331" s="3" t="s">
        <v>1466</v>
      </c>
      <c r="E331" s="3" t="s">
        <v>2</v>
      </c>
      <c r="F331" s="3"/>
      <c r="G331" s="3"/>
      <c r="H331" s="3"/>
      <c r="I331" s="3"/>
      <c r="J331" s="3" t="s">
        <v>1467</v>
      </c>
      <c r="K331" s="3"/>
      <c r="L331" s="3" t="s">
        <v>1468</v>
      </c>
      <c r="M331" s="3" t="str">
        <f>HYPERLINK("https://ceds.ed.gov/cedselementdetails.aspx?termid=5031")</f>
        <v>https://ceds.ed.gov/cedselementdetails.aspx?termid=5031</v>
      </c>
      <c r="N331" s="3" t="str">
        <f>HYPERLINK("https://ceds.ed.gov/elementComment.aspx?elementName=Awaiting Initial IDEA Evaluation Status &amp;elementID=5031", "Click here to submit comment")</f>
        <v>Click here to submit comment</v>
      </c>
    </row>
    <row r="332" spans="1:14" ht="150">
      <c r="A332" s="3" t="s">
        <v>1469</v>
      </c>
      <c r="B332" s="3" t="s">
        <v>1470</v>
      </c>
      <c r="C332" s="4" t="s">
        <v>6409</v>
      </c>
      <c r="D332" s="3" t="s">
        <v>1471</v>
      </c>
      <c r="E332" s="3" t="s">
        <v>207</v>
      </c>
      <c r="F332" s="3"/>
      <c r="G332" s="3"/>
      <c r="H332" s="3"/>
      <c r="I332" s="3"/>
      <c r="J332" s="3" t="s">
        <v>1472</v>
      </c>
      <c r="K332" s="3"/>
      <c r="L332" s="3" t="s">
        <v>1473</v>
      </c>
      <c r="M332" s="3" t="str">
        <f>HYPERLINK("https://ceds.ed.gov/cedselementdetails.aspx?termid=5439")</f>
        <v>https://ceds.ed.gov/cedselementdetails.aspx?termid=5439</v>
      </c>
      <c r="N332" s="3" t="str">
        <f>HYPERLINK("https://ceds.ed.gov/elementComment.aspx?elementName=Barrier to Educating Homeless &amp;elementID=5439", "Click here to submit comment")</f>
        <v>Click here to submit comment</v>
      </c>
    </row>
    <row r="333" spans="1:14" ht="360">
      <c r="A333" s="3" t="s">
        <v>1474</v>
      </c>
      <c r="B333" s="3" t="s">
        <v>1475</v>
      </c>
      <c r="C333" s="3" t="s">
        <v>13</v>
      </c>
      <c r="D333" s="3" t="s">
        <v>6079</v>
      </c>
      <c r="E333" s="3" t="s">
        <v>6080</v>
      </c>
      <c r="F333" s="3" t="s">
        <v>3</v>
      </c>
      <c r="G333" s="3" t="s">
        <v>73</v>
      </c>
      <c r="H333" s="3"/>
      <c r="I333" s="3"/>
      <c r="J333" s="3" t="s">
        <v>1476</v>
      </c>
      <c r="K333" s="3"/>
      <c r="L333" s="3" t="s">
        <v>1474</v>
      </c>
      <c r="M333" s="3" t="str">
        <f>HYPERLINK("https://ceds.ed.gov/cedselementdetails.aspx?termid=5033")</f>
        <v>https://ceds.ed.gov/cedselementdetails.aspx?termid=5033</v>
      </c>
      <c r="N333" s="3" t="str">
        <f>HYPERLINK("https://ceds.ed.gov/elementComment.aspx?elementName=Birthdate &amp;elementID=5033", "Click here to submit comment")</f>
        <v>Click here to submit comment</v>
      </c>
    </row>
    <row r="334" spans="1:14" ht="30">
      <c r="A334" s="3" t="s">
        <v>1477</v>
      </c>
      <c r="B334" s="3" t="s">
        <v>1478</v>
      </c>
      <c r="C334" s="3" t="s">
        <v>13</v>
      </c>
      <c r="D334" s="3" t="s">
        <v>1479</v>
      </c>
      <c r="E334" s="3" t="s">
        <v>1480</v>
      </c>
      <c r="F334" s="3"/>
      <c r="G334" s="3" t="s">
        <v>106</v>
      </c>
      <c r="H334" s="3"/>
      <c r="I334" s="3"/>
      <c r="J334" s="3" t="s">
        <v>1481</v>
      </c>
      <c r="K334" s="3"/>
      <c r="L334" s="3" t="s">
        <v>1482</v>
      </c>
      <c r="M334" s="3" t="str">
        <f>HYPERLINK("https://ceds.ed.gov/cedselementdetails.aspx?termid=5418")</f>
        <v>https://ceds.ed.gov/cedselementdetails.aspx?termid=5418</v>
      </c>
      <c r="N334" s="3" t="str">
        <f>HYPERLINK("https://ceds.ed.gov/elementComment.aspx?elementName=Birthdate Verification &amp;elementID=5418", "Click here to submit comment")</f>
        <v>Click here to submit comment</v>
      </c>
    </row>
    <row r="335" spans="1:14" ht="315">
      <c r="A335" s="3" t="s">
        <v>1483</v>
      </c>
      <c r="B335" s="3" t="s">
        <v>1484</v>
      </c>
      <c r="C335" s="4" t="s">
        <v>6373</v>
      </c>
      <c r="D335" s="3" t="s">
        <v>5985</v>
      </c>
      <c r="E335" s="3" t="s">
        <v>5986</v>
      </c>
      <c r="F335" s="3"/>
      <c r="G335" s="3"/>
      <c r="H335" s="3"/>
      <c r="I335" s="3" t="s">
        <v>353</v>
      </c>
      <c r="J335" s="3" t="s">
        <v>1485</v>
      </c>
      <c r="K335" s="3"/>
      <c r="L335" s="3" t="s">
        <v>1486</v>
      </c>
      <c r="M335" s="3" t="str">
        <f>HYPERLINK("https://ceds.ed.gov/cedselementdetails.aspx?termid=5657")</f>
        <v>https://ceds.ed.gov/cedselementdetails.aspx?termid=5657</v>
      </c>
      <c r="N335" s="3" t="str">
        <f>HYPERLINK("https://ceds.ed.gov/elementComment.aspx?elementName=Black or African American &amp;elementID=5657", "Click here to submit comment")</f>
        <v>Click here to submit comment</v>
      </c>
    </row>
    <row r="336" spans="1:14" ht="165">
      <c r="A336" s="3" t="s">
        <v>1487</v>
      </c>
      <c r="B336" s="3" t="s">
        <v>1488</v>
      </c>
      <c r="C336" s="4" t="s">
        <v>6410</v>
      </c>
      <c r="D336" s="3" t="s">
        <v>6081</v>
      </c>
      <c r="E336" s="3"/>
      <c r="F336" s="3" t="s">
        <v>54</v>
      </c>
      <c r="G336" s="3"/>
      <c r="H336" s="3"/>
      <c r="I336" s="3" t="s">
        <v>1489</v>
      </c>
      <c r="J336" s="3" t="s">
        <v>1490</v>
      </c>
      <c r="K336" s="3"/>
      <c r="L336" s="3" t="s">
        <v>1491</v>
      </c>
      <c r="M336" s="3" t="str">
        <f>HYPERLINK("https://ceds.ed.gov/cedselementdetails.aspx?termid=6253")</f>
        <v>https://ceds.ed.gov/cedselementdetails.aspx?termid=6253</v>
      </c>
      <c r="N336" s="3" t="str">
        <f>HYPERLINK("https://ceds.ed.gov/elementComment.aspx?elementName=Blended Learning Model Type &amp;elementID=6253", "Click here to submit comment")</f>
        <v>Click here to submit comment</v>
      </c>
    </row>
    <row r="337" spans="1:14" ht="45">
      <c r="A337" s="3" t="s">
        <v>1492</v>
      </c>
      <c r="B337" s="3" t="s">
        <v>1493</v>
      </c>
      <c r="C337" s="3" t="s">
        <v>13</v>
      </c>
      <c r="D337" s="3" t="s">
        <v>1494</v>
      </c>
      <c r="E337" s="3" t="s">
        <v>1495</v>
      </c>
      <c r="F337" s="3"/>
      <c r="G337" s="3" t="s">
        <v>1461</v>
      </c>
      <c r="H337" s="3"/>
      <c r="I337" s="3" t="s">
        <v>358</v>
      </c>
      <c r="J337" s="3" t="s">
        <v>1496</v>
      </c>
      <c r="K337" s="3"/>
      <c r="L337" s="3" t="s">
        <v>1497</v>
      </c>
      <c r="M337" s="3" t="str">
        <f>HYPERLINK("https://ceds.ed.gov/cedselementdetails.aspx?termid=5729")</f>
        <v>https://ceds.ed.gov/cedselementdetails.aspx?termid=5729</v>
      </c>
      <c r="N337" s="3" t="str">
        <f>HYPERLINK("https://ceds.ed.gov/elementComment.aspx?elementName=Board Charges &amp;elementID=5729", "Click here to submit comment")</f>
        <v>Click here to submit comment</v>
      </c>
    </row>
    <row r="338" spans="1:14" ht="120">
      <c r="A338" s="3" t="s">
        <v>1498</v>
      </c>
      <c r="B338" s="3" t="s">
        <v>1499</v>
      </c>
      <c r="C338" s="3" t="s">
        <v>13</v>
      </c>
      <c r="D338" s="3" t="s">
        <v>1494</v>
      </c>
      <c r="E338" s="3" t="s">
        <v>1495</v>
      </c>
      <c r="F338" s="3"/>
      <c r="G338" s="3" t="s">
        <v>1461</v>
      </c>
      <c r="H338" s="3"/>
      <c r="I338" s="3" t="s">
        <v>358</v>
      </c>
      <c r="J338" s="3" t="s">
        <v>1500</v>
      </c>
      <c r="K338" s="3"/>
      <c r="L338" s="3" t="s">
        <v>1501</v>
      </c>
      <c r="M338" s="3" t="str">
        <f>HYPERLINK("https://ceds.ed.gov/cedselementdetails.aspx?termid=5730")</f>
        <v>https://ceds.ed.gov/cedselementdetails.aspx?termid=5730</v>
      </c>
      <c r="N338" s="3" t="str">
        <f>HYPERLINK("https://ceds.ed.gov/elementComment.aspx?elementName=Books and Supplies Costs &amp;elementID=5730", "Click here to submit comment")</f>
        <v>Click here to submit comment</v>
      </c>
    </row>
    <row r="339" spans="1:14" ht="45">
      <c r="A339" s="3" t="s">
        <v>1502</v>
      </c>
      <c r="B339" s="3" t="s">
        <v>1503</v>
      </c>
      <c r="C339" s="3" t="s">
        <v>13</v>
      </c>
      <c r="D339" s="3" t="s">
        <v>1504</v>
      </c>
      <c r="E339" s="3"/>
      <c r="F339" s="3"/>
      <c r="G339" s="3" t="s">
        <v>100</v>
      </c>
      <c r="H339" s="3"/>
      <c r="I339" s="3"/>
      <c r="J339" s="3" t="s">
        <v>1505</v>
      </c>
      <c r="K339" s="3"/>
      <c r="L339" s="3" t="s">
        <v>1506</v>
      </c>
      <c r="M339" s="3" t="str">
        <f>HYPERLINK("https://ceds.ed.gov/cedselementdetails.aspx?termid=5595")</f>
        <v>https://ceds.ed.gov/cedselementdetails.aspx?termid=5595</v>
      </c>
      <c r="N339" s="3" t="str">
        <f>HYPERLINK("https://ceds.ed.gov/elementComment.aspx?elementName=Building Site Number &amp;elementID=5595", "Click here to submit comment")</f>
        <v>Click here to submit comment</v>
      </c>
    </row>
    <row r="340" spans="1:14" ht="360">
      <c r="A340" s="3" t="s">
        <v>1507</v>
      </c>
      <c r="B340" s="3" t="s">
        <v>1508</v>
      </c>
      <c r="C340" s="4" t="s">
        <v>6411</v>
      </c>
      <c r="D340" s="3" t="s">
        <v>1509</v>
      </c>
      <c r="E340" s="3"/>
      <c r="F340" s="3"/>
      <c r="G340" s="3"/>
      <c r="H340" s="3"/>
      <c r="I340" s="3"/>
      <c r="J340" s="3" t="s">
        <v>1510</v>
      </c>
      <c r="K340" s="3"/>
      <c r="L340" s="3" t="s">
        <v>1511</v>
      </c>
      <c r="M340" s="3" t="str">
        <f>HYPERLINK("https://ceds.ed.gov/cedselementdetails.aspx?termid=6173")</f>
        <v>https://ceds.ed.gov/cedselementdetails.aspx?termid=6173</v>
      </c>
      <c r="N340" s="3" t="str">
        <f>HYPERLINK("https://ceds.ed.gov/elementComment.aspx?elementName=Building Use Type &amp;elementID=6173", "Click here to submit comment")</f>
        <v>Click here to submit comment</v>
      </c>
    </row>
    <row r="341" spans="1:14" ht="30">
      <c r="A341" s="3" t="s">
        <v>1512</v>
      </c>
      <c r="B341" s="3" t="s">
        <v>1513</v>
      </c>
      <c r="C341" s="3" t="s">
        <v>13</v>
      </c>
      <c r="D341" s="3" t="s">
        <v>338</v>
      </c>
      <c r="E341" s="3"/>
      <c r="F341" s="3"/>
      <c r="G341" s="3" t="s">
        <v>100</v>
      </c>
      <c r="H341" s="3"/>
      <c r="I341" s="3"/>
      <c r="J341" s="3" t="s">
        <v>1514</v>
      </c>
      <c r="K341" s="3"/>
      <c r="L341" s="3" t="s">
        <v>1515</v>
      </c>
      <c r="M341" s="3" t="str">
        <f>HYPERLINK("https://ceds.ed.gov/cedselementdetails.aspx?termid=5485")</f>
        <v>https://ceds.ed.gov/cedselementdetails.aspx?termid=5485</v>
      </c>
      <c r="N341" s="3" t="str">
        <f>HYPERLINK("https://ceds.ed.gov/elementComment.aspx?elementName=Calendar Code &amp;elementID=5485", "Click here to submit comment")</f>
        <v>Click here to submit comment</v>
      </c>
    </row>
    <row r="342" spans="1:14" ht="30">
      <c r="A342" s="3" t="s">
        <v>1516</v>
      </c>
      <c r="B342" s="3" t="s">
        <v>1517</v>
      </c>
      <c r="C342" s="3" t="s">
        <v>13</v>
      </c>
      <c r="D342" s="3" t="s">
        <v>338</v>
      </c>
      <c r="E342" s="3"/>
      <c r="F342" s="3"/>
      <c r="G342" s="3" t="s">
        <v>106</v>
      </c>
      <c r="H342" s="3"/>
      <c r="I342" s="3"/>
      <c r="J342" s="3" t="s">
        <v>1518</v>
      </c>
      <c r="K342" s="3"/>
      <c r="L342" s="3" t="s">
        <v>1519</v>
      </c>
      <c r="M342" s="3" t="str">
        <f>HYPERLINK("https://ceds.ed.gov/cedselementdetails.aspx?termid=5486")</f>
        <v>https://ceds.ed.gov/cedselementdetails.aspx?termid=5486</v>
      </c>
      <c r="N342" s="3" t="str">
        <f>HYPERLINK("https://ceds.ed.gov/elementComment.aspx?elementName=Calendar Description &amp;elementID=5486", "Click here to submit comment")</f>
        <v>Click here to submit comment</v>
      </c>
    </row>
    <row r="343" spans="1:14" ht="60">
      <c r="A343" s="3" t="s">
        <v>1520</v>
      </c>
      <c r="B343" s="3" t="s">
        <v>1521</v>
      </c>
      <c r="C343" s="3" t="s">
        <v>13</v>
      </c>
      <c r="D343" s="3" t="s">
        <v>6082</v>
      </c>
      <c r="E343" s="3"/>
      <c r="F343" s="3" t="s">
        <v>66</v>
      </c>
      <c r="G343" s="3" t="s">
        <v>73</v>
      </c>
      <c r="H343" s="3" t="s">
        <v>1522</v>
      </c>
      <c r="I343" s="3"/>
      <c r="J343" s="3" t="s">
        <v>1523</v>
      </c>
      <c r="K343" s="3"/>
      <c r="L343" s="3" t="s">
        <v>1524</v>
      </c>
      <c r="M343" s="3" t="str">
        <f>HYPERLINK("https://ceds.ed.gov/cedselementdetails.aspx?termid=6241")</f>
        <v>https://ceds.ed.gov/cedselementdetails.aspx?termid=6241</v>
      </c>
      <c r="N343" s="3" t="str">
        <f>HYPERLINK("https://ceds.ed.gov/elementComment.aspx?elementName=Calendar Event Date &amp;elementID=6241", "Click here to submit comment")</f>
        <v>Click here to submit comment</v>
      </c>
    </row>
    <row r="344" spans="1:14" ht="30">
      <c r="A344" s="3" t="s">
        <v>1525</v>
      </c>
      <c r="B344" s="3" t="s">
        <v>1526</v>
      </c>
      <c r="C344" s="3" t="s">
        <v>13</v>
      </c>
      <c r="D344" s="3" t="s">
        <v>1527</v>
      </c>
      <c r="E344" s="3"/>
      <c r="F344" s="3"/>
      <c r="G344" s="3" t="s">
        <v>100</v>
      </c>
      <c r="H344" s="3"/>
      <c r="I344" s="3"/>
      <c r="J344" s="3" t="s">
        <v>1528</v>
      </c>
      <c r="K344" s="3"/>
      <c r="L344" s="3" t="s">
        <v>1529</v>
      </c>
      <c r="M344" s="3" t="str">
        <f>HYPERLINK("https://ceds.ed.gov/cedselementdetails.aspx?termid=6242")</f>
        <v>https://ceds.ed.gov/cedselementdetails.aspx?termid=6242</v>
      </c>
      <c r="N344" s="3" t="str">
        <f>HYPERLINK("https://ceds.ed.gov/elementComment.aspx?elementName=Calendar Event Day Name &amp;elementID=6242", "Click here to submit comment")</f>
        <v>Click here to submit comment</v>
      </c>
    </row>
    <row r="345" spans="1:14" ht="120">
      <c r="A345" s="3" t="s">
        <v>1530</v>
      </c>
      <c r="B345" s="3" t="s">
        <v>1531</v>
      </c>
      <c r="C345" s="4" t="s">
        <v>6412</v>
      </c>
      <c r="D345" s="3" t="s">
        <v>1527</v>
      </c>
      <c r="E345" s="3"/>
      <c r="F345" s="3"/>
      <c r="G345" s="3"/>
      <c r="H345" s="3"/>
      <c r="I345" s="3"/>
      <c r="J345" s="3" t="s">
        <v>1532</v>
      </c>
      <c r="K345" s="3"/>
      <c r="L345" s="3" t="s">
        <v>1533</v>
      </c>
      <c r="M345" s="3" t="str">
        <f>HYPERLINK("https://ceds.ed.gov/cedselementdetails.aspx?termid=5596")</f>
        <v>https://ceds.ed.gov/cedselementdetails.aspx?termid=5596</v>
      </c>
      <c r="N345" s="3" t="str">
        <f>HYPERLINK("https://ceds.ed.gov/elementComment.aspx?elementName=Calendar Event Type &amp;elementID=5596", "Click here to submit comment")</f>
        <v>Click here to submit comment</v>
      </c>
    </row>
    <row r="346" spans="1:14" ht="105">
      <c r="A346" s="3" t="s">
        <v>1534</v>
      </c>
      <c r="B346" s="3" t="s">
        <v>1535</v>
      </c>
      <c r="C346" s="4" t="s">
        <v>6413</v>
      </c>
      <c r="D346" s="3" t="s">
        <v>1536</v>
      </c>
      <c r="E346" s="3" t="s">
        <v>1537</v>
      </c>
      <c r="F346" s="3"/>
      <c r="G346" s="3"/>
      <c r="H346" s="3"/>
      <c r="I346" s="3"/>
      <c r="J346" s="3" t="s">
        <v>1538</v>
      </c>
      <c r="K346" s="3"/>
      <c r="L346" s="3" t="s">
        <v>1539</v>
      </c>
      <c r="M346" s="3" t="str">
        <f>HYPERLINK("https://ceds.ed.gov/cedselementdetails.aspx?termid=5035")</f>
        <v>https://ceds.ed.gov/cedselementdetails.aspx?termid=5035</v>
      </c>
      <c r="N346" s="3" t="str">
        <f>HYPERLINK("https://ceds.ed.gov/elementComment.aspx?elementName=Campus Residency Type &amp;elementID=5035", "Click here to submit comment")</f>
        <v>Click here to submit comment</v>
      </c>
    </row>
    <row r="347" spans="1:14" ht="45">
      <c r="A347" s="3" t="s">
        <v>1540</v>
      </c>
      <c r="B347" s="3" t="s">
        <v>1541</v>
      </c>
      <c r="C347" s="3" t="s">
        <v>13</v>
      </c>
      <c r="D347" s="3" t="s">
        <v>1542</v>
      </c>
      <c r="E347" s="3" t="s">
        <v>202</v>
      </c>
      <c r="F347" s="3"/>
      <c r="G347" s="3" t="s">
        <v>73</v>
      </c>
      <c r="H347" s="3"/>
      <c r="I347" s="3"/>
      <c r="J347" s="3" t="s">
        <v>1543</v>
      </c>
      <c r="K347" s="3" t="s">
        <v>1544</v>
      </c>
      <c r="L347" s="3" t="s">
        <v>1545</v>
      </c>
      <c r="M347" s="3" t="str">
        <f>HYPERLINK("https://ceds.ed.gov/cedselementdetails.aspx?termid=6065")</f>
        <v>https://ceds.ed.gov/cedselementdetails.aspx?termid=6065</v>
      </c>
      <c r="N347" s="3" t="str">
        <f>HYPERLINK("https://ceds.ed.gov/elementComment.aspx?elementName=Cardiopulmonary Resuscitation Certification Expiration Date &amp;elementID=6065", "Click here to submit comment")</f>
        <v>Click here to submit comment</v>
      </c>
    </row>
    <row r="348" spans="1:14" ht="105">
      <c r="A348" s="3" t="s">
        <v>1546</v>
      </c>
      <c r="B348" s="3" t="s">
        <v>1547</v>
      </c>
      <c r="C348" s="3" t="s">
        <v>5963</v>
      </c>
      <c r="D348" s="3" t="s">
        <v>6083</v>
      </c>
      <c r="E348" s="3" t="s">
        <v>6084</v>
      </c>
      <c r="F348" s="3"/>
      <c r="G348" s="3"/>
      <c r="H348" s="3"/>
      <c r="I348" s="3"/>
      <c r="J348" s="3" t="s">
        <v>1548</v>
      </c>
      <c r="K348" s="3" t="s">
        <v>1549</v>
      </c>
      <c r="L348" s="3" t="s">
        <v>1550</v>
      </c>
      <c r="M348" s="3" t="str">
        <f>HYPERLINK("https://ceds.ed.gov/cedselementdetails.aspx?termid=5036")</f>
        <v>https://ceds.ed.gov/cedselementdetails.aspx?termid=5036</v>
      </c>
      <c r="N348" s="3" t="str">
        <f>HYPERLINK("https://ceds.ed.gov/elementComment.aspx?elementName=Career and Technical Education Completer &amp;elementID=5036", "Click here to submit comment")</f>
        <v>Click here to submit comment</v>
      </c>
    </row>
    <row r="349" spans="1:14" ht="105">
      <c r="A349" s="3" t="s">
        <v>1551</v>
      </c>
      <c r="B349" s="3" t="s">
        <v>1552</v>
      </c>
      <c r="C349" s="3" t="s">
        <v>5963</v>
      </c>
      <c r="D349" s="3" t="s">
        <v>6085</v>
      </c>
      <c r="E349" s="3" t="s">
        <v>6084</v>
      </c>
      <c r="F349" s="3"/>
      <c r="G349" s="3"/>
      <c r="H349" s="3"/>
      <c r="I349" s="3"/>
      <c r="J349" s="3" t="s">
        <v>1553</v>
      </c>
      <c r="K349" s="3" t="s">
        <v>1554</v>
      </c>
      <c r="L349" s="3" t="s">
        <v>1555</v>
      </c>
      <c r="M349" s="3" t="str">
        <f>HYPERLINK("https://ceds.ed.gov/cedselementdetails.aspx?termid=5037")</f>
        <v>https://ceds.ed.gov/cedselementdetails.aspx?termid=5037</v>
      </c>
      <c r="N349" s="3" t="str">
        <f>HYPERLINK("https://ceds.ed.gov/elementComment.aspx?elementName=Career and Technical Education Concentrator &amp;elementID=5037", "Click here to submit comment")</f>
        <v>Click here to submit comment</v>
      </c>
    </row>
    <row r="350" spans="1:14" ht="75">
      <c r="A350" s="3" t="s">
        <v>1556</v>
      </c>
      <c r="B350" s="3" t="s">
        <v>1557</v>
      </c>
      <c r="C350" s="4" t="s">
        <v>6414</v>
      </c>
      <c r="D350" s="3" t="s">
        <v>1558</v>
      </c>
      <c r="E350" s="3" t="s">
        <v>218</v>
      </c>
      <c r="F350" s="3"/>
      <c r="G350" s="3"/>
      <c r="H350" s="3"/>
      <c r="I350" s="3"/>
      <c r="J350" s="3" t="s">
        <v>1559</v>
      </c>
      <c r="K350" s="3" t="s">
        <v>1560</v>
      </c>
      <c r="L350" s="3" t="s">
        <v>1561</v>
      </c>
      <c r="M350" s="3" t="str">
        <f>HYPERLINK("https://ceds.ed.gov/cedselementdetails.aspx?termid=5075")</f>
        <v>https://ceds.ed.gov/cedselementdetails.aspx?termid=5075</v>
      </c>
      <c r="N350" s="3" t="str">
        <f>HYPERLINK("https://ceds.ed.gov/elementComment.aspx?elementName=Career and Technical Education Graduation Rate Inclusion &amp;elementID=5075", "Click here to submit comment")</f>
        <v>Click here to submit comment</v>
      </c>
    </row>
    <row r="351" spans="1:14" ht="90">
      <c r="A351" s="3" t="s">
        <v>1562</v>
      </c>
      <c r="B351" s="3" t="s">
        <v>1563</v>
      </c>
      <c r="C351" s="3" t="s">
        <v>5963</v>
      </c>
      <c r="D351" s="3" t="s">
        <v>6086</v>
      </c>
      <c r="E351" s="3"/>
      <c r="F351" s="3" t="s">
        <v>54</v>
      </c>
      <c r="G351" s="3"/>
      <c r="H351" s="3"/>
      <c r="I351" s="3"/>
      <c r="J351" s="3" t="s">
        <v>1564</v>
      </c>
      <c r="K351" s="3" t="s">
        <v>1565</v>
      </c>
      <c r="L351" s="3" t="s">
        <v>1566</v>
      </c>
      <c r="M351" s="3" t="str">
        <f>HYPERLINK("https://ceds.ed.gov/cedselementdetails.aspx?termid=6284")</f>
        <v>https://ceds.ed.gov/cedselementdetails.aspx?termid=6284</v>
      </c>
      <c r="N351" s="3" t="str">
        <f>HYPERLINK("https://ceds.ed.gov/elementComment.aspx?elementName=Career and Technical Education Instructor Industry Certification &amp;elementID=6284", "Click here to submit comment")</f>
        <v>Click here to submit comment</v>
      </c>
    </row>
    <row r="352" spans="1:14" ht="90">
      <c r="A352" s="3" t="s">
        <v>1567</v>
      </c>
      <c r="B352" s="3" t="s">
        <v>1568</v>
      </c>
      <c r="C352" s="3" t="s">
        <v>5963</v>
      </c>
      <c r="D352" s="3" t="s">
        <v>6087</v>
      </c>
      <c r="E352" s="3" t="s">
        <v>218</v>
      </c>
      <c r="F352" s="3"/>
      <c r="G352" s="3"/>
      <c r="H352" s="3"/>
      <c r="I352" s="3"/>
      <c r="J352" s="3" t="s">
        <v>1569</v>
      </c>
      <c r="K352" s="3" t="s">
        <v>1570</v>
      </c>
      <c r="L352" s="3" t="s">
        <v>1571</v>
      </c>
      <c r="M352" s="3" t="str">
        <f>HYPERLINK("https://ceds.ed.gov/cedselementdetails.aspx?termid=5586")</f>
        <v>https://ceds.ed.gov/cedselementdetails.aspx?termid=5586</v>
      </c>
      <c r="N352" s="3" t="str">
        <f>HYPERLINK("https://ceds.ed.gov/elementComment.aspx?elementName=Career and Technical Education Nontraditional Completion &amp;elementID=5586", "Click here to submit comment")</f>
        <v>Click here to submit comment</v>
      </c>
    </row>
    <row r="353" spans="1:14" ht="90">
      <c r="A353" s="3" t="s">
        <v>1572</v>
      </c>
      <c r="B353" s="3" t="s">
        <v>1573</v>
      </c>
      <c r="C353" s="3" t="s">
        <v>5963</v>
      </c>
      <c r="D353" s="3" t="s">
        <v>6085</v>
      </c>
      <c r="E353" s="3" t="s">
        <v>218</v>
      </c>
      <c r="F353" s="3"/>
      <c r="G353" s="3"/>
      <c r="H353" s="3"/>
      <c r="I353" s="3"/>
      <c r="J353" s="3" t="s">
        <v>1574</v>
      </c>
      <c r="K353" s="3" t="s">
        <v>1575</v>
      </c>
      <c r="L353" s="3" t="s">
        <v>1576</v>
      </c>
      <c r="M353" s="3" t="str">
        <f>HYPERLINK("https://ceds.ed.gov/cedselementdetails.aspx?termid=5585")</f>
        <v>https://ceds.ed.gov/cedselementdetails.aspx?termid=5585</v>
      </c>
      <c r="N353" s="3" t="str">
        <f>HYPERLINK("https://ceds.ed.gov/elementComment.aspx?elementName=Career and Technical Education Participant &amp;elementID=5585", "Click here to submit comment")</f>
        <v>Click here to submit comment</v>
      </c>
    </row>
    <row r="354" spans="1:14" ht="360">
      <c r="A354" s="3" t="s">
        <v>1577</v>
      </c>
      <c r="B354" s="3" t="s">
        <v>1578</v>
      </c>
      <c r="C354" s="4" t="s">
        <v>6415</v>
      </c>
      <c r="D354" s="3" t="s">
        <v>6088</v>
      </c>
      <c r="E354" s="3"/>
      <c r="F354" s="3" t="s">
        <v>54</v>
      </c>
      <c r="G354" s="3"/>
      <c r="H354" s="3"/>
      <c r="I354" s="3" t="s">
        <v>1579</v>
      </c>
      <c r="J354" s="3" t="s">
        <v>1580</v>
      </c>
      <c r="K354" s="3"/>
      <c r="L354" s="3" t="s">
        <v>1581</v>
      </c>
      <c r="M354" s="3" t="str">
        <f>HYPERLINK("https://ceds.ed.gov/cedselementdetails.aspx?termid=6254")</f>
        <v>https://ceds.ed.gov/cedselementdetails.aspx?termid=6254</v>
      </c>
      <c r="N354" s="3" t="str">
        <f>HYPERLINK("https://ceds.ed.gov/elementComment.aspx?elementName=Career Cluster &amp;elementID=6254", "Click here to submit comment")</f>
        <v>Click here to submit comment</v>
      </c>
    </row>
    <row r="355" spans="1:14" ht="150">
      <c r="A355" s="3" t="s">
        <v>1582</v>
      </c>
      <c r="B355" s="3" t="s">
        <v>1583</v>
      </c>
      <c r="C355" s="3" t="s">
        <v>13</v>
      </c>
      <c r="D355" s="3" t="s">
        <v>6089</v>
      </c>
      <c r="E355" s="3"/>
      <c r="F355" s="3" t="s">
        <v>54</v>
      </c>
      <c r="G355" s="3" t="s">
        <v>73</v>
      </c>
      <c r="H355" s="3"/>
      <c r="I355" s="3"/>
      <c r="J355" s="3" t="s">
        <v>1584</v>
      </c>
      <c r="K355" s="3"/>
      <c r="L355" s="3" t="s">
        <v>1585</v>
      </c>
      <c r="M355" s="3" t="str">
        <f>HYPERLINK("https://ceds.ed.gov/cedselementdetails.aspx?termid=6255")</f>
        <v>https://ceds.ed.gov/cedselementdetails.aspx?termid=6255</v>
      </c>
      <c r="N355" s="3" t="str">
        <f>HYPERLINK("https://ceds.ed.gov/elementComment.aspx?elementName=Career Education Plan Date &amp;elementID=6255", "Click here to submit comment")</f>
        <v>Click here to submit comment</v>
      </c>
    </row>
    <row r="356" spans="1:14" ht="150">
      <c r="A356" s="3" t="s">
        <v>1586</v>
      </c>
      <c r="B356" s="3" t="s">
        <v>1587</v>
      </c>
      <c r="C356" s="4" t="s">
        <v>6416</v>
      </c>
      <c r="D356" s="3" t="s">
        <v>6089</v>
      </c>
      <c r="E356" s="3"/>
      <c r="F356" s="3" t="s">
        <v>54</v>
      </c>
      <c r="G356" s="3"/>
      <c r="H356" s="3"/>
      <c r="I356" s="3"/>
      <c r="J356" s="3" t="s">
        <v>1588</v>
      </c>
      <c r="K356" s="3"/>
      <c r="L356" s="3" t="s">
        <v>1589</v>
      </c>
      <c r="M356" s="3" t="str">
        <f>HYPERLINK("https://ceds.ed.gov/cedselementdetails.aspx?termid=6256")</f>
        <v>https://ceds.ed.gov/cedselementdetails.aspx?termid=6256</v>
      </c>
      <c r="N356" s="3" t="str">
        <f>HYPERLINK("https://ceds.ed.gov/elementComment.aspx?elementName=Career Education Plan Type &amp;elementID=6256", "Click here to submit comment")</f>
        <v>Click here to submit comment</v>
      </c>
    </row>
    <row r="357" spans="1:14" ht="75">
      <c r="A357" s="3" t="s">
        <v>1590</v>
      </c>
      <c r="B357" s="3" t="s">
        <v>1591</v>
      </c>
      <c r="C357" s="3" t="s">
        <v>5963</v>
      </c>
      <c r="D357" s="3" t="s">
        <v>6090</v>
      </c>
      <c r="E357" s="3"/>
      <c r="F357" s="3" t="s">
        <v>54</v>
      </c>
      <c r="G357" s="3"/>
      <c r="H357" s="3"/>
      <c r="I357" s="3"/>
      <c r="J357" s="3" t="s">
        <v>1592</v>
      </c>
      <c r="K357" s="3"/>
      <c r="L357" s="3" t="s">
        <v>1593</v>
      </c>
      <c r="M357" s="3" t="str">
        <f>HYPERLINK("https://ceds.ed.gov/cedselementdetails.aspx?termid=6257")</f>
        <v>https://ceds.ed.gov/cedselementdetails.aspx?termid=6257</v>
      </c>
      <c r="N357" s="3" t="str">
        <f>HYPERLINK("https://ceds.ed.gov/elementComment.aspx?elementName=Career Pathways Program Participation Indicator &amp;elementID=6257", "Click here to submit comment")</f>
        <v>Click here to submit comment</v>
      </c>
    </row>
    <row r="358" spans="1:14" ht="90">
      <c r="A358" s="3" t="s">
        <v>1594</v>
      </c>
      <c r="B358" s="3" t="s">
        <v>1595</v>
      </c>
      <c r="C358" s="4" t="s">
        <v>6417</v>
      </c>
      <c r="D358" s="3" t="s">
        <v>6091</v>
      </c>
      <c r="E358" s="3" t="s">
        <v>218</v>
      </c>
      <c r="F358" s="3"/>
      <c r="G358" s="3"/>
      <c r="H358" s="3"/>
      <c r="I358" s="3"/>
      <c r="J358" s="3" t="s">
        <v>1596</v>
      </c>
      <c r="K358" s="3" t="s">
        <v>1597</v>
      </c>
      <c r="L358" s="3" t="s">
        <v>1598</v>
      </c>
      <c r="M358" s="3" t="str">
        <f>HYPERLINK("https://ceds.ed.gov/cedselementdetails.aspx?termid=5581")</f>
        <v>https://ceds.ed.gov/cedselementdetails.aspx?termid=5581</v>
      </c>
      <c r="N358" s="3" t="str">
        <f>HYPERLINK("https://ceds.ed.gov/elementComment.aspx?elementName=Career Technical Education Nontraditional Gender Status &amp;elementID=5581", "Click here to submit comment")</f>
        <v>Click here to submit comment</v>
      </c>
    </row>
    <row r="359" spans="1:14" ht="270">
      <c r="A359" s="3" t="s">
        <v>1599</v>
      </c>
      <c r="B359" s="3" t="s">
        <v>1600</v>
      </c>
      <c r="C359" s="3" t="s">
        <v>5963</v>
      </c>
      <c r="D359" s="3" t="s">
        <v>6092</v>
      </c>
      <c r="E359" s="3" t="s">
        <v>218</v>
      </c>
      <c r="F359" s="3"/>
      <c r="G359" s="3"/>
      <c r="H359" s="3"/>
      <c r="I359" s="3"/>
      <c r="J359" s="3" t="s">
        <v>1601</v>
      </c>
      <c r="K359" s="3" t="s">
        <v>1602</v>
      </c>
      <c r="L359" s="3" t="s">
        <v>1603</v>
      </c>
      <c r="M359" s="3" t="str">
        <f>HYPERLINK("https://ceds.ed.gov/cedselementdetails.aspx?termid=5084")</f>
        <v>https://ceds.ed.gov/cedselementdetails.aspx?termid=5084</v>
      </c>
      <c r="N359" s="3" t="str">
        <f>HYPERLINK("https://ceds.ed.gov/elementComment.aspx?elementName=Career-Technical-Adult Education Displaced Homemaker Indicator &amp;elementID=5084", "Click here to submit comment")</f>
        <v>Click here to submit comment</v>
      </c>
    </row>
    <row r="360" spans="1:14" ht="409.5">
      <c r="A360" s="3" t="s">
        <v>1604</v>
      </c>
      <c r="B360" s="3" t="s">
        <v>1605</v>
      </c>
      <c r="C360" s="4" t="s">
        <v>6418</v>
      </c>
      <c r="D360" s="3" t="s">
        <v>1606</v>
      </c>
      <c r="E360" s="3" t="s">
        <v>6093</v>
      </c>
      <c r="F360" s="3" t="s">
        <v>66</v>
      </c>
      <c r="G360" s="3"/>
      <c r="H360" s="3" t="s">
        <v>1607</v>
      </c>
      <c r="I360" s="3"/>
      <c r="J360" s="3" t="s">
        <v>1608</v>
      </c>
      <c r="K360" s="3"/>
      <c r="L360" s="3" t="s">
        <v>1609</v>
      </c>
      <c r="M360" s="3" t="str">
        <f>HYPERLINK("https://ceds.ed.gov/cedselementdetails.aspx?termid=5038")</f>
        <v>https://ceds.ed.gov/cedselementdetails.aspx?termid=5038</v>
      </c>
      <c r="N360" s="3" t="str">
        <f>HYPERLINK("https://ceds.ed.gov/elementComment.aspx?elementName=Carnegie Basic Classification &amp;elementID=5038", "Click here to submit comment")</f>
        <v>Click here to submit comment</v>
      </c>
    </row>
    <row r="361" spans="1:14" ht="90">
      <c r="A361" s="3" t="s">
        <v>1610</v>
      </c>
      <c r="B361" s="3" t="s">
        <v>1611</v>
      </c>
      <c r="C361" s="4" t="s">
        <v>6419</v>
      </c>
      <c r="D361" s="3" t="s">
        <v>224</v>
      </c>
      <c r="E361" s="3"/>
      <c r="F361" s="3" t="s">
        <v>54</v>
      </c>
      <c r="G361" s="3"/>
      <c r="H361" s="3"/>
      <c r="I361" s="3"/>
      <c r="J361" s="3" t="s">
        <v>1612</v>
      </c>
      <c r="K361" s="3"/>
      <c r="L361" s="3" t="s">
        <v>1613</v>
      </c>
      <c r="M361" s="3" t="str">
        <f>HYPERLINK("https://ceds.ed.gov/cedselementdetails.aspx?termid=6258")</f>
        <v>https://ceds.ed.gov/cedselementdetails.aspx?termid=6258</v>
      </c>
      <c r="N361" s="3" t="str">
        <f>HYPERLINK("https://ceds.ed.gov/elementComment.aspx?elementName=Charter School Approval Agency Type &amp;elementID=6258", "Click here to submit comment")</f>
        <v>Click here to submit comment</v>
      </c>
    </row>
    <row r="362" spans="1:14" ht="30">
      <c r="A362" s="3" t="s">
        <v>1614</v>
      </c>
      <c r="B362" s="3" t="s">
        <v>1615</v>
      </c>
      <c r="C362" s="3" t="s">
        <v>13</v>
      </c>
      <c r="D362" s="3" t="s">
        <v>224</v>
      </c>
      <c r="E362" s="3"/>
      <c r="F362" s="3" t="s">
        <v>54</v>
      </c>
      <c r="G362" s="3" t="s">
        <v>1616</v>
      </c>
      <c r="H362" s="3"/>
      <c r="I362" s="3"/>
      <c r="J362" s="3" t="s">
        <v>1617</v>
      </c>
      <c r="K362" s="3"/>
      <c r="L362" s="3" t="s">
        <v>1618</v>
      </c>
      <c r="M362" s="3" t="str">
        <f>HYPERLINK("https://ceds.ed.gov/cedselementdetails.aspx?termid=6259")</f>
        <v>https://ceds.ed.gov/cedselementdetails.aspx?termid=6259</v>
      </c>
      <c r="N362" s="3" t="str">
        <f>HYPERLINK("https://ceds.ed.gov/elementComment.aspx?elementName=Charter School Approval Year &amp;elementID=6259", "Click here to submit comment")</f>
        <v>Click here to submit comment</v>
      </c>
    </row>
    <row r="363" spans="1:14" ht="105">
      <c r="A363" s="3" t="s">
        <v>1619</v>
      </c>
      <c r="B363" s="3" t="s">
        <v>1620</v>
      </c>
      <c r="C363" s="3" t="s">
        <v>5963</v>
      </c>
      <c r="D363" s="3" t="s">
        <v>6094</v>
      </c>
      <c r="E363" s="3" t="s">
        <v>5968</v>
      </c>
      <c r="F363" s="3"/>
      <c r="G363" s="3"/>
      <c r="H363" s="3"/>
      <c r="I363" s="3"/>
      <c r="J363" s="3" t="s">
        <v>1621</v>
      </c>
      <c r="K363" s="3"/>
      <c r="L363" s="3" t="s">
        <v>1622</v>
      </c>
      <c r="M363" s="3" t="str">
        <f>HYPERLINK("https://ceds.ed.gov/cedselementdetails.aspx?termid=5039")</f>
        <v>https://ceds.ed.gov/cedselementdetails.aspx?termid=5039</v>
      </c>
      <c r="N363" s="3" t="str">
        <f>HYPERLINK("https://ceds.ed.gov/elementComment.aspx?elementName=Charter School Indicator &amp;elementID=5039", "Click here to submit comment")</f>
        <v>Click here to submit comment</v>
      </c>
    </row>
    <row r="364" spans="1:14" ht="90">
      <c r="A364" s="3" t="s">
        <v>1623</v>
      </c>
      <c r="B364" s="3" t="s">
        <v>1624</v>
      </c>
      <c r="C364" s="4" t="s">
        <v>6420</v>
      </c>
      <c r="D364" s="3" t="s">
        <v>224</v>
      </c>
      <c r="E364" s="3"/>
      <c r="F364" s="3"/>
      <c r="G364" s="3"/>
      <c r="H364" s="3"/>
      <c r="I364" s="3"/>
      <c r="J364" s="3" t="s">
        <v>1625</v>
      </c>
      <c r="K364" s="3"/>
      <c r="L364" s="3" t="s">
        <v>1626</v>
      </c>
      <c r="M364" s="3" t="str">
        <f>HYPERLINK("https://ceds.ed.gov/cedselementdetails.aspx?termid=5686")</f>
        <v>https://ceds.ed.gov/cedselementdetails.aspx?termid=5686</v>
      </c>
      <c r="N364" s="3" t="str">
        <f>HYPERLINK("https://ceds.ed.gov/elementComment.aspx?elementName=Charter School Type &amp;elementID=5686", "Click here to submit comment")</f>
        <v>Click here to submit comment</v>
      </c>
    </row>
    <row r="365" spans="1:14" ht="120">
      <c r="A365" s="3" t="s">
        <v>1627</v>
      </c>
      <c r="B365" s="3" t="s">
        <v>1628</v>
      </c>
      <c r="C365" s="4" t="s">
        <v>6421</v>
      </c>
      <c r="D365" s="3" t="s">
        <v>1629</v>
      </c>
      <c r="E365" s="3" t="s">
        <v>202</v>
      </c>
      <c r="F365" s="3"/>
      <c r="G365" s="3"/>
      <c r="H365" s="3"/>
      <c r="I365" s="3"/>
      <c r="J365" s="3" t="s">
        <v>1630</v>
      </c>
      <c r="K365" s="3" t="s">
        <v>1631</v>
      </c>
      <c r="L365" s="3" t="s">
        <v>1632</v>
      </c>
      <c r="M365" s="3" t="str">
        <f>HYPERLINK("https://ceds.ed.gov/cedselementdetails.aspx?termid=5805")</f>
        <v>https://ceds.ed.gov/cedselementdetails.aspx?termid=5805</v>
      </c>
      <c r="N365" s="3" t="str">
        <f>HYPERLINK("https://ceds.ed.gov/elementComment.aspx?elementName=Child Development Associate Type &amp;elementID=5805", "Click here to submit comment")</f>
        <v>Click here to submit comment</v>
      </c>
    </row>
    <row r="366" spans="1:14" ht="225">
      <c r="A366" s="3" t="s">
        <v>1633</v>
      </c>
      <c r="B366" s="3" t="s">
        <v>1634</v>
      </c>
      <c r="C366" s="4" t="s">
        <v>6422</v>
      </c>
      <c r="D366" s="3" t="s">
        <v>1635</v>
      </c>
      <c r="E366" s="3" t="s">
        <v>6095</v>
      </c>
      <c r="F366" s="3"/>
      <c r="G366" s="3"/>
      <c r="H366" s="3"/>
      <c r="I366" s="3"/>
      <c r="J366" s="3" t="s">
        <v>1636</v>
      </c>
      <c r="K366" s="3"/>
      <c r="L366" s="3" t="s">
        <v>1637</v>
      </c>
      <c r="M366" s="3" t="str">
        <f>HYPERLINK("https://ceds.ed.gov/cedselementdetails.aspx?termid=5782")</f>
        <v>https://ceds.ed.gov/cedselementdetails.aspx?termid=5782</v>
      </c>
      <c r="N366" s="3" t="str">
        <f>HYPERLINK("https://ceds.ed.gov/elementComment.aspx?elementName=Child Identification System &amp;elementID=5782", "Click here to submit comment")</f>
        <v>Click here to submit comment</v>
      </c>
    </row>
    <row r="367" spans="1:14" ht="60">
      <c r="A367" s="3" t="s">
        <v>1638</v>
      </c>
      <c r="B367" s="3" t="s">
        <v>1639</v>
      </c>
      <c r="C367" s="3" t="s">
        <v>13</v>
      </c>
      <c r="D367" s="3" t="s">
        <v>1635</v>
      </c>
      <c r="E367" s="3" t="s">
        <v>6095</v>
      </c>
      <c r="F367" s="3"/>
      <c r="G367" s="3" t="s">
        <v>100</v>
      </c>
      <c r="H367" s="3"/>
      <c r="I367" s="3"/>
      <c r="J367" s="3" t="s">
        <v>1640</v>
      </c>
      <c r="K367" s="3"/>
      <c r="L367" s="3" t="s">
        <v>1641</v>
      </c>
      <c r="M367" s="3" t="str">
        <f>HYPERLINK("https://ceds.ed.gov/cedselementdetails.aspx?termid=5781")</f>
        <v>https://ceds.ed.gov/cedselementdetails.aspx?termid=5781</v>
      </c>
      <c r="N367" s="3" t="str">
        <f>HYPERLINK("https://ceds.ed.gov/elementComment.aspx?elementName=Child Identifier &amp;elementID=5781", "Click here to submit comment")</f>
        <v>Click here to submit comment</v>
      </c>
    </row>
    <row r="368" spans="1:14" ht="45">
      <c r="A368" s="3" t="s">
        <v>1642</v>
      </c>
      <c r="B368" s="3" t="s">
        <v>1643</v>
      </c>
      <c r="C368" s="3" t="s">
        <v>5963</v>
      </c>
      <c r="D368" s="3" t="s">
        <v>1644</v>
      </c>
      <c r="E368" s="3"/>
      <c r="F368" s="3" t="s">
        <v>54</v>
      </c>
      <c r="G368" s="3"/>
      <c r="H368" s="3"/>
      <c r="I368" s="3"/>
      <c r="J368" s="3" t="s">
        <v>1645</v>
      </c>
      <c r="K368" s="3" t="s">
        <v>1646</v>
      </c>
      <c r="L368" s="3" t="s">
        <v>1647</v>
      </c>
      <c r="M368" s="3" t="str">
        <f>HYPERLINK("https://ceds.ed.gov/cedselementdetails.aspx?termid=6476")</f>
        <v>https://ceds.ed.gov/cedselementdetails.aspx?termid=6476</v>
      </c>
      <c r="N368" s="3" t="str">
        <f>HYPERLINK("https://ceds.ed.gov/elementComment.aspx?elementName=Child Outcomes Summary Progress A Indicator &amp;elementID=6476", "Click here to submit comment")</f>
        <v>Click here to submit comment</v>
      </c>
    </row>
    <row r="369" spans="1:14" ht="60">
      <c r="A369" s="3" t="s">
        <v>1648</v>
      </c>
      <c r="B369" s="3" t="s">
        <v>1649</v>
      </c>
      <c r="C369" s="3" t="s">
        <v>5963</v>
      </c>
      <c r="D369" s="3" t="s">
        <v>1644</v>
      </c>
      <c r="E369" s="3"/>
      <c r="F369" s="3" t="s">
        <v>54</v>
      </c>
      <c r="G369" s="3"/>
      <c r="H369" s="3"/>
      <c r="I369" s="3"/>
      <c r="J369" s="3" t="s">
        <v>1650</v>
      </c>
      <c r="K369" s="3" t="s">
        <v>1651</v>
      </c>
      <c r="L369" s="3" t="s">
        <v>1652</v>
      </c>
      <c r="M369" s="3" t="str">
        <f>HYPERLINK("https://ceds.ed.gov/cedselementdetails.aspx?termid=6477")</f>
        <v>https://ceds.ed.gov/cedselementdetails.aspx?termid=6477</v>
      </c>
      <c r="N369" s="3" t="str">
        <f>HYPERLINK("https://ceds.ed.gov/elementComment.aspx?elementName=Child Outcomes Summary Progress B Indicator &amp;elementID=6477", "Click here to submit comment")</f>
        <v>Click here to submit comment</v>
      </c>
    </row>
    <row r="370" spans="1:14" ht="45">
      <c r="A370" s="3" t="s">
        <v>1653</v>
      </c>
      <c r="B370" s="3" t="s">
        <v>1654</v>
      </c>
      <c r="C370" s="3" t="s">
        <v>5963</v>
      </c>
      <c r="D370" s="3" t="s">
        <v>1644</v>
      </c>
      <c r="E370" s="3"/>
      <c r="F370" s="3" t="s">
        <v>54</v>
      </c>
      <c r="G370" s="3"/>
      <c r="H370" s="3"/>
      <c r="I370" s="3"/>
      <c r="J370" s="3" t="s">
        <v>1655</v>
      </c>
      <c r="K370" s="3" t="s">
        <v>1656</v>
      </c>
      <c r="L370" s="3" t="s">
        <v>1657</v>
      </c>
      <c r="M370" s="3" t="str">
        <f>HYPERLINK("https://ceds.ed.gov/cedselementdetails.aspx?termid=6478")</f>
        <v>https://ceds.ed.gov/cedselementdetails.aspx?termid=6478</v>
      </c>
      <c r="N370" s="3" t="str">
        <f>HYPERLINK("https://ceds.ed.gov/elementComment.aspx?elementName=Child Outcomes Summary Progress C Indicator &amp;elementID=6478", "Click here to submit comment")</f>
        <v>Click here to submit comment</v>
      </c>
    </row>
    <row r="371" spans="1:14" ht="330">
      <c r="A371" s="3" t="s">
        <v>1658</v>
      </c>
      <c r="B371" s="3" t="s">
        <v>1659</v>
      </c>
      <c r="C371" s="4" t="s">
        <v>6423</v>
      </c>
      <c r="D371" s="3" t="s">
        <v>1644</v>
      </c>
      <c r="E371" s="3"/>
      <c r="F371" s="3" t="s">
        <v>54</v>
      </c>
      <c r="G371" s="3"/>
      <c r="H371" s="3"/>
      <c r="I371" s="3"/>
      <c r="J371" s="3" t="s">
        <v>1660</v>
      </c>
      <c r="K371" s="3" t="s">
        <v>1661</v>
      </c>
      <c r="L371" s="3" t="s">
        <v>1662</v>
      </c>
      <c r="M371" s="3" t="str">
        <f>HYPERLINK("https://ceds.ed.gov/cedselementdetails.aspx?termid=6479")</f>
        <v>https://ceds.ed.gov/cedselementdetails.aspx?termid=6479</v>
      </c>
      <c r="N371" s="3" t="str">
        <f>HYPERLINK("https://ceds.ed.gov/elementComment.aspx?elementName=Child Outcomes Summary Rating A &amp;elementID=6479", "Click here to submit comment")</f>
        <v>Click here to submit comment</v>
      </c>
    </row>
    <row r="372" spans="1:14" ht="330">
      <c r="A372" s="3" t="s">
        <v>1663</v>
      </c>
      <c r="B372" s="3" t="s">
        <v>1664</v>
      </c>
      <c r="C372" s="4" t="s">
        <v>6423</v>
      </c>
      <c r="D372" s="3" t="s">
        <v>1644</v>
      </c>
      <c r="E372" s="3"/>
      <c r="F372" s="3" t="s">
        <v>54</v>
      </c>
      <c r="G372" s="3"/>
      <c r="H372" s="3"/>
      <c r="I372" s="3"/>
      <c r="J372" s="3" t="s">
        <v>1665</v>
      </c>
      <c r="K372" s="3" t="s">
        <v>1666</v>
      </c>
      <c r="L372" s="3" t="s">
        <v>1667</v>
      </c>
      <c r="M372" s="3" t="str">
        <f>HYPERLINK("https://ceds.ed.gov/cedselementdetails.aspx?termid=6480")</f>
        <v>https://ceds.ed.gov/cedselementdetails.aspx?termid=6480</v>
      </c>
      <c r="N372" s="3" t="str">
        <f>HYPERLINK("https://ceds.ed.gov/elementComment.aspx?elementName=Child Outcomes Summary Rating B &amp;elementID=6480", "Click here to submit comment")</f>
        <v>Click here to submit comment</v>
      </c>
    </row>
    <row r="373" spans="1:14" ht="330">
      <c r="A373" s="3" t="s">
        <v>1668</v>
      </c>
      <c r="B373" s="3" t="s">
        <v>1669</v>
      </c>
      <c r="C373" s="4" t="s">
        <v>6423</v>
      </c>
      <c r="D373" s="3" t="s">
        <v>1644</v>
      </c>
      <c r="E373" s="3"/>
      <c r="F373" s="3" t="s">
        <v>54</v>
      </c>
      <c r="G373" s="3"/>
      <c r="H373" s="3"/>
      <c r="I373" s="3"/>
      <c r="J373" s="3" t="s">
        <v>1670</v>
      </c>
      <c r="K373" s="3" t="s">
        <v>1671</v>
      </c>
      <c r="L373" s="3" t="s">
        <v>1672</v>
      </c>
      <c r="M373" s="3" t="str">
        <f>HYPERLINK("https://ceds.ed.gov/cedselementdetails.aspx?termid=6481")</f>
        <v>https://ceds.ed.gov/cedselementdetails.aspx?termid=6481</v>
      </c>
      <c r="N373" s="3" t="str">
        <f>HYPERLINK("https://ceds.ed.gov/elementComment.aspx?elementName=Child Outcomes Summary Rating C &amp;elementID=6481", "Click here to submit comment")</f>
        <v>Click here to submit comment</v>
      </c>
    </row>
    <row r="374" spans="1:14" ht="30">
      <c r="A374" s="3" t="s">
        <v>1673</v>
      </c>
      <c r="B374" s="3" t="s">
        <v>1674</v>
      </c>
      <c r="C374" s="3" t="s">
        <v>13</v>
      </c>
      <c r="D374" s="3" t="s">
        <v>1675</v>
      </c>
      <c r="E374" s="3" t="s">
        <v>1480</v>
      </c>
      <c r="F374" s="3"/>
      <c r="G374" s="3" t="s">
        <v>100</v>
      </c>
      <c r="H374" s="3"/>
      <c r="I374" s="3"/>
      <c r="J374" s="3" t="s">
        <v>1676</v>
      </c>
      <c r="K374" s="3"/>
      <c r="L374" s="3" t="s">
        <v>1677</v>
      </c>
      <c r="M374" s="3" t="str">
        <f>HYPERLINK("https://ceds.ed.gov/cedselementdetails.aspx?termid=5416")</f>
        <v>https://ceds.ed.gov/cedselementdetails.aspx?termid=5416</v>
      </c>
      <c r="N374" s="3" t="str">
        <f>HYPERLINK("https://ceds.ed.gov/elementComment.aspx?elementName=City of Birth &amp;elementID=5416", "Click here to submit comment")</f>
        <v>Click here to submit comment</v>
      </c>
    </row>
    <row r="375" spans="1:14" ht="90">
      <c r="A375" s="3" t="s">
        <v>1678</v>
      </c>
      <c r="B375" s="3" t="s">
        <v>1679</v>
      </c>
      <c r="C375" s="3" t="s">
        <v>13</v>
      </c>
      <c r="D375" s="3" t="s">
        <v>6096</v>
      </c>
      <c r="E375" s="3" t="s">
        <v>6097</v>
      </c>
      <c r="F375" s="3"/>
      <c r="G375" s="3" t="s">
        <v>426</v>
      </c>
      <c r="H375" s="3"/>
      <c r="I375" s="3"/>
      <c r="J375" s="3" t="s">
        <v>1680</v>
      </c>
      <c r="K375" s="3"/>
      <c r="L375" s="3" t="s">
        <v>1681</v>
      </c>
      <c r="M375" s="3" t="str">
        <f>HYPERLINK("https://ceds.ed.gov/cedselementdetails.aspx?termid=5510")</f>
        <v>https://ceds.ed.gov/cedselementdetails.aspx?termid=5510</v>
      </c>
      <c r="N375" s="3" t="str">
        <f>HYPERLINK("https://ceds.ed.gov/elementComment.aspx?elementName=Class Beginning Time &amp;elementID=5510", "Click here to submit comment")</f>
        <v>Click here to submit comment</v>
      </c>
    </row>
    <row r="376" spans="1:14" ht="90">
      <c r="A376" s="3" t="s">
        <v>1682</v>
      </c>
      <c r="B376" s="3" t="s">
        <v>1683</v>
      </c>
      <c r="C376" s="3" t="s">
        <v>13</v>
      </c>
      <c r="D376" s="3" t="s">
        <v>6096</v>
      </c>
      <c r="E376" s="3" t="s">
        <v>6097</v>
      </c>
      <c r="F376" s="3"/>
      <c r="G376" s="3" t="s">
        <v>1684</v>
      </c>
      <c r="H376" s="3"/>
      <c r="I376" s="3"/>
      <c r="J376" s="3" t="s">
        <v>1685</v>
      </c>
      <c r="K376" s="3"/>
      <c r="L376" s="3" t="s">
        <v>1686</v>
      </c>
      <c r="M376" s="3" t="str">
        <f>HYPERLINK("https://ceds.ed.gov/cedselementdetails.aspx?termid=5511")</f>
        <v>https://ceds.ed.gov/cedselementdetails.aspx?termid=5511</v>
      </c>
      <c r="N376" s="3" t="str">
        <f>HYPERLINK("https://ceds.ed.gov/elementComment.aspx?elementName=Class Ending Time &amp;elementID=5511", "Click here to submit comment")</f>
        <v>Click here to submit comment</v>
      </c>
    </row>
    <row r="377" spans="1:14" ht="60">
      <c r="A377" s="3" t="s">
        <v>1687</v>
      </c>
      <c r="B377" s="3" t="s">
        <v>1688</v>
      </c>
      <c r="C377" s="3" t="s">
        <v>13</v>
      </c>
      <c r="D377" s="3" t="s">
        <v>6098</v>
      </c>
      <c r="E377" s="3"/>
      <c r="F377" s="3"/>
      <c r="G377" s="3" t="s">
        <v>106</v>
      </c>
      <c r="H377" s="3"/>
      <c r="I377" s="3"/>
      <c r="J377" s="3" t="s">
        <v>1689</v>
      </c>
      <c r="K377" s="3"/>
      <c r="L377" s="3" t="s">
        <v>1690</v>
      </c>
      <c r="M377" s="3" t="str">
        <f>HYPERLINK("https://ceds.ed.gov/cedselementdetails.aspx?termid=5512")</f>
        <v>https://ceds.ed.gov/cedselementdetails.aspx?termid=5512</v>
      </c>
      <c r="N377" s="3" t="str">
        <f>HYPERLINK("https://ceds.ed.gov/elementComment.aspx?elementName=Class Meeting Days &amp;elementID=5512", "Click here to submit comment")</f>
        <v>Click here to submit comment</v>
      </c>
    </row>
    <row r="378" spans="1:14" ht="75">
      <c r="A378" s="3" t="s">
        <v>1691</v>
      </c>
      <c r="B378" s="3" t="s">
        <v>1692</v>
      </c>
      <c r="C378" s="3" t="s">
        <v>13</v>
      </c>
      <c r="D378" s="3" t="s">
        <v>6098</v>
      </c>
      <c r="E378" s="3"/>
      <c r="F378" s="3"/>
      <c r="G378" s="3" t="s">
        <v>100</v>
      </c>
      <c r="H378" s="3"/>
      <c r="I378" s="3"/>
      <c r="J378" s="3" t="s">
        <v>1693</v>
      </c>
      <c r="K378" s="3"/>
      <c r="L378" s="3" t="s">
        <v>1694</v>
      </c>
      <c r="M378" s="3" t="str">
        <f>HYPERLINK("https://ceds.ed.gov/cedselementdetails.aspx?termid=5513")</f>
        <v>https://ceds.ed.gov/cedselementdetails.aspx?termid=5513</v>
      </c>
      <c r="N378" s="3" t="str">
        <f>HYPERLINK("https://ceds.ed.gov/elementComment.aspx?elementName=Class Period &amp;elementID=5513", "Click here to submit comment")</f>
        <v>Click here to submit comment</v>
      </c>
    </row>
    <row r="379" spans="1:14" ht="90">
      <c r="A379" s="3" t="s">
        <v>1695</v>
      </c>
      <c r="B379" s="3" t="s">
        <v>1696</v>
      </c>
      <c r="C379" s="3" t="s">
        <v>13</v>
      </c>
      <c r="D379" s="3" t="s">
        <v>30</v>
      </c>
      <c r="E379" s="3" t="s">
        <v>5968</v>
      </c>
      <c r="F379" s="3"/>
      <c r="G379" s="3" t="s">
        <v>1697</v>
      </c>
      <c r="H379" s="3"/>
      <c r="I379" s="3"/>
      <c r="J379" s="3" t="s">
        <v>1698</v>
      </c>
      <c r="K379" s="3"/>
      <c r="L379" s="3" t="s">
        <v>1699</v>
      </c>
      <c r="M379" s="3" t="str">
        <f>HYPERLINK("https://ceds.ed.gov/cedselementdetails.aspx?termid=5042")</f>
        <v>https://ceds.ed.gov/cedselementdetails.aspx?termid=5042</v>
      </c>
      <c r="N379" s="3" t="str">
        <f>HYPERLINK("https://ceds.ed.gov/elementComment.aspx?elementName=Class Ranking Date &amp;elementID=5042", "Click here to submit comment")</f>
        <v>Click here to submit comment</v>
      </c>
    </row>
    <row r="380" spans="1:14" ht="75">
      <c r="A380" s="3" t="s">
        <v>1700</v>
      </c>
      <c r="B380" s="3" t="s">
        <v>1701</v>
      </c>
      <c r="C380" s="5" t="s">
        <v>1702</v>
      </c>
      <c r="D380" s="3" t="s">
        <v>6099</v>
      </c>
      <c r="E380" s="3" t="s">
        <v>5967</v>
      </c>
      <c r="F380" s="3" t="s">
        <v>3</v>
      </c>
      <c r="G380" s="3"/>
      <c r="H380" s="3"/>
      <c r="I380" s="3"/>
      <c r="J380" s="3" t="s">
        <v>1703</v>
      </c>
      <c r="K380" s="3" t="s">
        <v>1704</v>
      </c>
      <c r="L380" s="3" t="s">
        <v>1705</v>
      </c>
      <c r="M380" s="3" t="str">
        <f>HYPERLINK("https://ceds.ed.gov/cedselementdetails.aspx?termid=5043")</f>
        <v>https://ceds.ed.gov/cedselementdetails.aspx?termid=5043</v>
      </c>
      <c r="N380" s="3" t="str">
        <f>HYPERLINK("https://ceds.ed.gov/elementComment.aspx?elementName=Classification of Instructional Program Code &amp;elementID=5043", "Click here to submit comment")</f>
        <v>Click here to submit comment</v>
      </c>
    </row>
    <row r="381" spans="1:14" ht="135">
      <c r="A381" s="3" t="s">
        <v>1706</v>
      </c>
      <c r="B381" s="3" t="s">
        <v>1707</v>
      </c>
      <c r="C381" s="4" t="s">
        <v>6424</v>
      </c>
      <c r="D381" s="3" t="s">
        <v>1708</v>
      </c>
      <c r="E381" s="3" t="s">
        <v>5976</v>
      </c>
      <c r="F381" s="3"/>
      <c r="G381" s="3"/>
      <c r="H381" s="3"/>
      <c r="I381" s="3"/>
      <c r="J381" s="3" t="s">
        <v>1709</v>
      </c>
      <c r="K381" s="3" t="s">
        <v>1710</v>
      </c>
      <c r="L381" s="3" t="s">
        <v>1711</v>
      </c>
      <c r="M381" s="3" t="str">
        <f>HYPERLINK("https://ceds.ed.gov/cedselementdetails.aspx?termid=5044")</f>
        <v>https://ceds.ed.gov/cedselementdetails.aspx?termid=5044</v>
      </c>
      <c r="N381" s="3" t="str">
        <f>HYPERLINK("https://ceds.ed.gov/elementComment.aspx?elementName=Classification of Instructional Program Use &amp;elementID=5044", "Click here to submit comment")</f>
        <v>Click here to submit comment</v>
      </c>
    </row>
    <row r="382" spans="1:14" ht="90">
      <c r="A382" s="3" t="s">
        <v>1712</v>
      </c>
      <c r="B382" s="3" t="s">
        <v>1713</v>
      </c>
      <c r="C382" s="4" t="s">
        <v>6425</v>
      </c>
      <c r="D382" s="3" t="s">
        <v>1708</v>
      </c>
      <c r="E382" s="3" t="s">
        <v>5976</v>
      </c>
      <c r="F382" s="3"/>
      <c r="G382" s="3"/>
      <c r="H382" s="3"/>
      <c r="I382" s="3"/>
      <c r="J382" s="3" t="s">
        <v>1714</v>
      </c>
      <c r="K382" s="3" t="s">
        <v>1715</v>
      </c>
      <c r="L382" s="3" t="s">
        <v>1716</v>
      </c>
      <c r="M382" s="3" t="str">
        <f>HYPERLINK("https://ceds.ed.gov/cedselementdetails.aspx?termid=5045")</f>
        <v>https://ceds.ed.gov/cedselementdetails.aspx?termid=5045</v>
      </c>
      <c r="N382" s="3" t="str">
        <f>HYPERLINK("https://ceds.ed.gov/elementComment.aspx?elementName=Classification of Instructional Program Version &amp;elementID=5045", "Click here to submit comment")</f>
        <v>Click here to submit comment</v>
      </c>
    </row>
    <row r="383" spans="1:14" ht="60">
      <c r="A383" s="3" t="s">
        <v>1717</v>
      </c>
      <c r="B383" s="3" t="s">
        <v>1718</v>
      </c>
      <c r="C383" s="3" t="s">
        <v>13</v>
      </c>
      <c r="D383" s="3" t="s">
        <v>6098</v>
      </c>
      <c r="E383" s="3"/>
      <c r="F383" s="3"/>
      <c r="G383" s="3" t="s">
        <v>100</v>
      </c>
      <c r="H383" s="3"/>
      <c r="I383" s="3"/>
      <c r="J383" s="3" t="s">
        <v>1719</v>
      </c>
      <c r="K383" s="3"/>
      <c r="L383" s="3" t="s">
        <v>1720</v>
      </c>
      <c r="M383" s="3" t="str">
        <f>HYPERLINK("https://ceds.ed.gov/cedselementdetails.aspx?termid=5507")</f>
        <v>https://ceds.ed.gov/cedselementdetails.aspx?termid=5507</v>
      </c>
      <c r="N383" s="3" t="str">
        <f>HYPERLINK("https://ceds.ed.gov/elementComment.aspx?elementName=Classroom Identifier &amp;elementID=5507", "Click here to submit comment")</f>
        <v>Click here to submit comment</v>
      </c>
    </row>
    <row r="384" spans="1:14" ht="270">
      <c r="A384" s="3" t="s">
        <v>1721</v>
      </c>
      <c r="B384" s="3" t="s">
        <v>1722</v>
      </c>
      <c r="C384" s="4" t="s">
        <v>6426</v>
      </c>
      <c r="D384" s="3" t="s">
        <v>1723</v>
      </c>
      <c r="E384" s="3"/>
      <c r="F384" s="3"/>
      <c r="G384" s="3"/>
      <c r="H384" s="3"/>
      <c r="I384" s="3"/>
      <c r="J384" s="3" t="s">
        <v>1724</v>
      </c>
      <c r="K384" s="3"/>
      <c r="L384" s="3" t="s">
        <v>1725</v>
      </c>
      <c r="M384" s="3" t="str">
        <f>HYPERLINK("https://ceds.ed.gov/cedselementdetails.aspx?termid=5615")</f>
        <v>https://ceds.ed.gov/cedselementdetails.aspx?termid=5615</v>
      </c>
      <c r="N384" s="3" t="str">
        <f>HYPERLINK("https://ceds.ed.gov/elementComment.aspx?elementName=Classroom Position Type &amp;elementID=5615", "Click here to submit comment")</f>
        <v>Click here to submit comment</v>
      </c>
    </row>
    <row r="385" spans="1:14">
      <c r="A385" s="3" t="s">
        <v>1726</v>
      </c>
      <c r="B385" s="3" t="s">
        <v>1727</v>
      </c>
      <c r="C385" s="3" t="s">
        <v>13</v>
      </c>
      <c r="D385" s="3" t="s">
        <v>30</v>
      </c>
      <c r="E385" s="3"/>
      <c r="F385" s="3"/>
      <c r="G385" s="3" t="s">
        <v>100</v>
      </c>
      <c r="H385" s="3"/>
      <c r="I385" s="3"/>
      <c r="J385" s="3" t="s">
        <v>1728</v>
      </c>
      <c r="K385" s="3"/>
      <c r="L385" s="3" t="s">
        <v>1729</v>
      </c>
      <c r="M385" s="3" t="str">
        <f>HYPERLINK("https://ceds.ed.gov/cedselementdetails.aspx?termid=5687")</f>
        <v>https://ceds.ed.gov/cedselementdetails.aspx?termid=5687</v>
      </c>
      <c r="N385" s="3" t="str">
        <f>HYPERLINK("https://ceds.ed.gov/elementComment.aspx?elementName=Cohort Description &amp;elementID=5687", "Click here to submit comment")</f>
        <v>Click here to submit comment</v>
      </c>
    </row>
    <row r="386" spans="1:14" ht="195">
      <c r="A386" s="3" t="s">
        <v>1730</v>
      </c>
      <c r="B386" s="3" t="s">
        <v>1731</v>
      </c>
      <c r="C386" s="4" t="s">
        <v>6427</v>
      </c>
      <c r="D386" s="3" t="s">
        <v>1536</v>
      </c>
      <c r="E386" s="3" t="s">
        <v>1537</v>
      </c>
      <c r="F386" s="3"/>
      <c r="G386" s="3"/>
      <c r="H386" s="3"/>
      <c r="I386" s="3"/>
      <c r="J386" s="3" t="s">
        <v>1732</v>
      </c>
      <c r="K386" s="3"/>
      <c r="L386" s="3" t="s">
        <v>1733</v>
      </c>
      <c r="M386" s="3" t="str">
        <f>HYPERLINK("https://ceds.ed.gov/cedselementdetails.aspx?termid=5106")</f>
        <v>https://ceds.ed.gov/cedselementdetails.aspx?termid=5106</v>
      </c>
      <c r="N386" s="3" t="str">
        <f>HYPERLINK("https://ceds.ed.gov/elementComment.aspx?elementName=Cohort Exclusion &amp;elementID=5106", "Click here to submit comment")</f>
        <v>Click here to submit comment</v>
      </c>
    </row>
    <row r="387" spans="1:14" ht="60">
      <c r="A387" s="3" t="s">
        <v>1734</v>
      </c>
      <c r="B387" s="3" t="s">
        <v>1735</v>
      </c>
      <c r="C387" s="3" t="s">
        <v>13</v>
      </c>
      <c r="D387" s="3" t="s">
        <v>6100</v>
      </c>
      <c r="E387" s="3" t="s">
        <v>6101</v>
      </c>
      <c r="F387" s="3" t="s">
        <v>3</v>
      </c>
      <c r="G387" s="3" t="s">
        <v>1736</v>
      </c>
      <c r="H387" s="3"/>
      <c r="I387" s="3"/>
      <c r="J387" s="3" t="s">
        <v>1737</v>
      </c>
      <c r="K387" s="3"/>
      <c r="L387" s="3" t="s">
        <v>1738</v>
      </c>
      <c r="M387" s="3" t="str">
        <f>HYPERLINK("https://ceds.ed.gov/cedselementdetails.aspx?termid=5577")</f>
        <v>https://ceds.ed.gov/cedselementdetails.aspx?termid=5577</v>
      </c>
      <c r="N387" s="3" t="str">
        <f>HYPERLINK("https://ceds.ed.gov/elementComment.aspx?elementName=Cohort Graduation Year &amp;elementID=5577", "Click here to submit comment")</f>
        <v>Click here to submit comment</v>
      </c>
    </row>
    <row r="388" spans="1:14" ht="60">
      <c r="A388" s="3" t="s">
        <v>1739</v>
      </c>
      <c r="B388" s="3" t="s">
        <v>1740</v>
      </c>
      <c r="C388" s="3" t="s">
        <v>13</v>
      </c>
      <c r="D388" s="3" t="s">
        <v>6102</v>
      </c>
      <c r="E388" s="3" t="s">
        <v>6093</v>
      </c>
      <c r="F388" s="3"/>
      <c r="G388" s="3" t="s">
        <v>1736</v>
      </c>
      <c r="H388" s="3"/>
      <c r="I388" s="3"/>
      <c r="J388" s="3" t="s">
        <v>1741</v>
      </c>
      <c r="K388" s="3"/>
      <c r="L388" s="3" t="s">
        <v>1742</v>
      </c>
      <c r="M388" s="3" t="str">
        <f>HYPERLINK("https://ceds.ed.gov/cedselementdetails.aspx?termid=5046")</f>
        <v>https://ceds.ed.gov/cedselementdetails.aspx?termid=5046</v>
      </c>
      <c r="N388" s="3" t="str">
        <f>HYPERLINK("https://ceds.ed.gov/elementComment.aspx?elementName=Cohort Year &amp;elementID=5046", "Click here to submit comment")</f>
        <v>Click here to submit comment</v>
      </c>
    </row>
    <row r="389" spans="1:14" ht="120">
      <c r="A389" s="3" t="s">
        <v>1743</v>
      </c>
      <c r="B389" s="3" t="s">
        <v>1744</v>
      </c>
      <c r="C389" s="3" t="s">
        <v>13</v>
      </c>
      <c r="D389" s="3" t="s">
        <v>6103</v>
      </c>
      <c r="E389" s="3"/>
      <c r="F389" s="3"/>
      <c r="G389" s="3" t="s">
        <v>93</v>
      </c>
      <c r="H389" s="3"/>
      <c r="I389" s="3" t="s">
        <v>1745</v>
      </c>
      <c r="J389" s="3" t="s">
        <v>1746</v>
      </c>
      <c r="K389" s="3"/>
      <c r="L389" s="3" t="s">
        <v>1747</v>
      </c>
      <c r="M389" s="3" t="str">
        <f>HYPERLINK("https://ceds.ed.gov/cedselementdetails.aspx?termid=5877")</f>
        <v>https://ceds.ed.gov/cedselementdetails.aspx?termid=5877</v>
      </c>
      <c r="N389" s="3" t="str">
        <f>HYPERLINK("https://ceds.ed.gov/elementComment.aspx?elementName=Competency Set Completion Criteria &amp;elementID=5877", "Click here to submit comment")</f>
        <v>Click here to submit comment</v>
      </c>
    </row>
    <row r="390" spans="1:14" ht="90">
      <c r="A390" s="3" t="s">
        <v>1748</v>
      </c>
      <c r="B390" s="3" t="s">
        <v>1749</v>
      </c>
      <c r="C390" s="3" t="s">
        <v>13</v>
      </c>
      <c r="D390" s="3" t="s">
        <v>6103</v>
      </c>
      <c r="E390" s="3"/>
      <c r="F390" s="3"/>
      <c r="G390" s="3" t="s">
        <v>308</v>
      </c>
      <c r="H390" s="3"/>
      <c r="I390" s="3" t="s">
        <v>1750</v>
      </c>
      <c r="J390" s="3" t="s">
        <v>1751</v>
      </c>
      <c r="K390" s="3"/>
      <c r="L390" s="3" t="s">
        <v>1752</v>
      </c>
      <c r="M390" s="3" t="str">
        <f>HYPERLINK("https://ceds.ed.gov/cedselementdetails.aspx?termid=5878")</f>
        <v>https://ceds.ed.gov/cedselementdetails.aspx?termid=5878</v>
      </c>
      <c r="N390" s="3" t="str">
        <f>HYPERLINK("https://ceds.ed.gov/elementComment.aspx?elementName=Competency Set Completion Criteria Threshold &amp;elementID=5878", "Click here to submit comment")</f>
        <v>Click here to submit comment</v>
      </c>
    </row>
    <row r="391" spans="1:14" ht="90">
      <c r="A391" s="3" t="s">
        <v>1753</v>
      </c>
      <c r="B391" s="3" t="s">
        <v>1754</v>
      </c>
      <c r="C391" s="3" t="s">
        <v>13</v>
      </c>
      <c r="D391" s="3" t="s">
        <v>1494</v>
      </c>
      <c r="E391" s="3" t="s">
        <v>1495</v>
      </c>
      <c r="F391" s="3"/>
      <c r="G391" s="3" t="s">
        <v>1461</v>
      </c>
      <c r="H391" s="3"/>
      <c r="I391" s="3" t="s">
        <v>358</v>
      </c>
      <c r="J391" s="3" t="s">
        <v>1755</v>
      </c>
      <c r="K391" s="3"/>
      <c r="L391" s="3" t="s">
        <v>1756</v>
      </c>
      <c r="M391" s="3" t="str">
        <f>HYPERLINK("https://ceds.ed.gov/cedselementdetails.aspx?termid=5733")</f>
        <v>https://ceds.ed.gov/cedselementdetails.aspx?termid=5733</v>
      </c>
      <c r="N391" s="3" t="str">
        <f>HYPERLINK("https://ceds.ed.gov/elementComment.aspx?elementName=Comprehensive Fee &amp;elementID=5733", "Click here to submit comment")</f>
        <v>Click here to submit comment</v>
      </c>
    </row>
    <row r="392" spans="1:14" ht="90">
      <c r="A392" s="3" t="s">
        <v>1757</v>
      </c>
      <c r="B392" s="3" t="s">
        <v>1758</v>
      </c>
      <c r="C392" s="3" t="s">
        <v>5963</v>
      </c>
      <c r="D392" s="3" t="s">
        <v>1759</v>
      </c>
      <c r="E392" s="3"/>
      <c r="F392" s="3" t="s">
        <v>54</v>
      </c>
      <c r="G392" s="3"/>
      <c r="H392" s="3"/>
      <c r="I392" s="3"/>
      <c r="J392" s="3" t="s">
        <v>1760</v>
      </c>
      <c r="K392" s="3"/>
      <c r="L392" s="3" t="s">
        <v>1761</v>
      </c>
      <c r="M392" s="3" t="str">
        <f>HYPERLINK("https://ceds.ed.gov/cedselementdetails.aspx?termid=6261")</f>
        <v>https://ceds.ed.gov/cedselementdetails.aspx?termid=6261</v>
      </c>
      <c r="N392" s="3" t="str">
        <f>HYPERLINK("https://ceds.ed.gov/elementComment.aspx?elementName=Consent to Share Data &amp;elementID=6261", "Click here to submit comment")</f>
        <v>Click here to submit comment</v>
      </c>
    </row>
    <row r="393" spans="1:14" ht="105">
      <c r="A393" s="3" t="s">
        <v>1762</v>
      </c>
      <c r="B393" s="3" t="s">
        <v>1763</v>
      </c>
      <c r="C393" s="4" t="s">
        <v>6371</v>
      </c>
      <c r="D393" s="3" t="s">
        <v>1764</v>
      </c>
      <c r="E393" s="3" t="s">
        <v>218</v>
      </c>
      <c r="F393" s="3"/>
      <c r="G393" s="3"/>
      <c r="H393" s="3"/>
      <c r="I393" s="3"/>
      <c r="J393" s="3" t="s">
        <v>1765</v>
      </c>
      <c r="K393" s="3" t="s">
        <v>1766</v>
      </c>
      <c r="L393" s="3" t="s">
        <v>1767</v>
      </c>
      <c r="M393" s="3" t="str">
        <f>HYPERLINK("https://ceds.ed.gov/cedselementdetails.aspx?termid=5533")</f>
        <v>https://ceds.ed.gov/cedselementdetails.aspx?termid=5533</v>
      </c>
      <c r="N393" s="3" t="str">
        <f>HYPERLINK("https://ceds.ed.gov/elementComment.aspx?elementName=Consolidated Migrant Education Program Funds Status &amp;elementID=5533", "Click here to submit comment")</f>
        <v>Click here to submit comment</v>
      </c>
    </row>
    <row r="394" spans="1:14" ht="120">
      <c r="A394" s="3" t="s">
        <v>1768</v>
      </c>
      <c r="B394" s="3" t="s">
        <v>1769</v>
      </c>
      <c r="C394" s="4" t="s">
        <v>6428</v>
      </c>
      <c r="D394" s="3" t="s">
        <v>1479</v>
      </c>
      <c r="E394" s="3" t="s">
        <v>1480</v>
      </c>
      <c r="F394" s="3"/>
      <c r="G394" s="3"/>
      <c r="H394" s="3"/>
      <c r="I394" s="3"/>
      <c r="J394" s="3" t="s">
        <v>1770</v>
      </c>
      <c r="K394" s="3"/>
      <c r="L394" s="3" t="s">
        <v>1771</v>
      </c>
      <c r="M394" s="3" t="str">
        <f>HYPERLINK("https://ceds.ed.gov/cedselementdetails.aspx?termid=5419")</f>
        <v>https://ceds.ed.gov/cedselementdetails.aspx?termid=5419</v>
      </c>
      <c r="N394" s="3" t="str">
        <f>HYPERLINK("https://ceds.ed.gov/elementComment.aspx?elementName=Continuation of Services Reason &amp;elementID=5419", "Click here to submit comment")</f>
        <v>Click here to submit comment</v>
      </c>
    </row>
    <row r="395" spans="1:14" ht="45">
      <c r="A395" s="3" t="s">
        <v>1772</v>
      </c>
      <c r="B395" s="3" t="s">
        <v>1773</v>
      </c>
      <c r="C395" s="3" t="s">
        <v>13</v>
      </c>
      <c r="D395" s="3" t="s">
        <v>1774</v>
      </c>
      <c r="E395" s="3" t="s">
        <v>6104</v>
      </c>
      <c r="F395" s="3"/>
      <c r="G395" s="3" t="s">
        <v>73</v>
      </c>
      <c r="H395" s="3"/>
      <c r="I395" s="3"/>
      <c r="J395" s="3" t="s">
        <v>1775</v>
      </c>
      <c r="K395" s="3"/>
      <c r="L395" s="3" t="s">
        <v>1776</v>
      </c>
      <c r="M395" s="3" t="str">
        <f>HYPERLINK("https://ceds.ed.gov/cedselementdetails.aspx?termid=5348")</f>
        <v>https://ceds.ed.gov/cedselementdetails.aspx?termid=5348</v>
      </c>
      <c r="N395" s="3" t="str">
        <f>HYPERLINK("https://ceds.ed.gov/elementComment.aspx?elementName=Continuing License Date &amp;elementID=5348", "Click here to submit comment")</f>
        <v>Click here to submit comment</v>
      </c>
    </row>
    <row r="396" spans="1:14" ht="60">
      <c r="A396" s="3" t="s">
        <v>1777</v>
      </c>
      <c r="B396" s="3" t="s">
        <v>1778</v>
      </c>
      <c r="C396" s="3" t="s">
        <v>13</v>
      </c>
      <c r="D396" s="3" t="s">
        <v>1779</v>
      </c>
      <c r="E396" s="3" t="s">
        <v>1780</v>
      </c>
      <c r="F396" s="3"/>
      <c r="G396" s="3" t="s">
        <v>1461</v>
      </c>
      <c r="H396" s="3"/>
      <c r="I396" s="3"/>
      <c r="J396" s="3" t="s">
        <v>1781</v>
      </c>
      <c r="K396" s="3"/>
      <c r="L396" s="3" t="s">
        <v>1782</v>
      </c>
      <c r="M396" s="3" t="str">
        <f>HYPERLINK("https://ceds.ed.gov/cedselementdetails.aspx?termid=5047")</f>
        <v>https://ceds.ed.gov/cedselementdetails.aspx?termid=5047</v>
      </c>
      <c r="N396" s="3" t="str">
        <f>HYPERLINK("https://ceds.ed.gov/elementComment.aspx?elementName=Contract Days of Service per Year &amp;elementID=5047", "Click here to submit comment")</f>
        <v>Click here to submit comment</v>
      </c>
    </row>
    <row r="397" spans="1:14" ht="75">
      <c r="A397" s="3" t="s">
        <v>1783</v>
      </c>
      <c r="B397" s="3" t="s">
        <v>1784</v>
      </c>
      <c r="C397" s="4" t="s">
        <v>6429</v>
      </c>
      <c r="D397" s="3" t="s">
        <v>35</v>
      </c>
      <c r="E397" s="3" t="s">
        <v>36</v>
      </c>
      <c r="F397" s="3"/>
      <c r="G397" s="3"/>
      <c r="H397" s="3"/>
      <c r="I397" s="3" t="s">
        <v>1785</v>
      </c>
      <c r="J397" s="3" t="s">
        <v>1786</v>
      </c>
      <c r="K397" s="3"/>
      <c r="L397" s="3" t="s">
        <v>1787</v>
      </c>
      <c r="M397" s="3" t="str">
        <f>HYPERLINK("https://ceds.ed.gov/cedselementdetails.aspx?termid=5714")</f>
        <v>https://ceds.ed.gov/cedselementdetails.aspx?termid=5714</v>
      </c>
      <c r="N397" s="3" t="str">
        <f>HYPERLINK("https://ceds.ed.gov/elementComment.aspx?elementName=Contract Type &amp;elementID=5714", "Click here to submit comment")</f>
        <v>Click here to submit comment</v>
      </c>
    </row>
    <row r="398" spans="1:14" ht="105">
      <c r="A398" s="3" t="s">
        <v>1788</v>
      </c>
      <c r="B398" s="3" t="s">
        <v>1789</v>
      </c>
      <c r="C398" s="4" t="s">
        <v>6430</v>
      </c>
      <c r="D398" s="3" t="s">
        <v>1606</v>
      </c>
      <c r="E398" s="3" t="s">
        <v>6093</v>
      </c>
      <c r="F398" s="3"/>
      <c r="G398" s="3"/>
      <c r="H398" s="3"/>
      <c r="I398" s="3"/>
      <c r="J398" s="3" t="s">
        <v>1790</v>
      </c>
      <c r="K398" s="3"/>
      <c r="L398" s="3" t="s">
        <v>1791</v>
      </c>
      <c r="M398" s="3" t="str">
        <f>HYPERLINK("https://ceds.ed.gov/cedselementdetails.aspx?termid=5048")</f>
        <v>https://ceds.ed.gov/cedselementdetails.aspx?termid=5048</v>
      </c>
      <c r="N398" s="3" t="str">
        <f>HYPERLINK("https://ceds.ed.gov/elementComment.aspx?elementName=Control of Institution &amp;elementID=5048", "Click here to submit comment")</f>
        <v>Click here to submit comment</v>
      </c>
    </row>
    <row r="399" spans="1:14" ht="45">
      <c r="A399" s="3" t="s">
        <v>1792</v>
      </c>
      <c r="B399" s="3" t="s">
        <v>1793</v>
      </c>
      <c r="C399" s="3" t="s">
        <v>5963</v>
      </c>
      <c r="D399" s="3" t="s">
        <v>6105</v>
      </c>
      <c r="E399" s="3"/>
      <c r="F399" s="3"/>
      <c r="G399" s="3"/>
      <c r="H399" s="3"/>
      <c r="I399" s="3"/>
      <c r="J399" s="3" t="s">
        <v>1794</v>
      </c>
      <c r="K399" s="3"/>
      <c r="L399" s="3" t="s">
        <v>1795</v>
      </c>
      <c r="M399" s="3" t="str">
        <f>HYPERLINK("https://ceds.ed.gov/cedselementdetails.aspx?termid=5509")</f>
        <v>https://ceds.ed.gov/cedselementdetails.aspx?termid=5509</v>
      </c>
      <c r="N399" s="3" t="str">
        <f>HYPERLINK("https://ceds.ed.gov/elementComment.aspx?elementName=Core Academic Course &amp;elementID=5509", "Click here to submit comment")</f>
        <v>Click here to submit comment</v>
      </c>
    </row>
    <row r="400" spans="1:14" ht="120">
      <c r="A400" s="3" t="s">
        <v>1796</v>
      </c>
      <c r="B400" s="3" t="s">
        <v>1797</v>
      </c>
      <c r="C400" s="4" t="s">
        <v>6431</v>
      </c>
      <c r="D400" s="3" t="s">
        <v>248</v>
      </c>
      <c r="E400" s="3"/>
      <c r="F400" s="3" t="s">
        <v>54</v>
      </c>
      <c r="G400" s="3"/>
      <c r="H400" s="3"/>
      <c r="I400" s="3"/>
      <c r="J400" s="3" t="s">
        <v>1798</v>
      </c>
      <c r="K400" s="3"/>
      <c r="L400" s="3" t="s">
        <v>1799</v>
      </c>
      <c r="M400" s="3" t="str">
        <f>HYPERLINK("https://ceds.ed.gov/cedselementdetails.aspx?termid=6262")</f>
        <v>https://ceds.ed.gov/cedselementdetails.aspx?termid=6262</v>
      </c>
      <c r="N400" s="3" t="str">
        <f>HYPERLINK("https://ceds.ed.gov/elementComment.aspx?elementName=Correctional Education Facility Type &amp;elementID=6262", "Click here to submit comment")</f>
        <v>Click here to submit comment</v>
      </c>
    </row>
    <row r="401" spans="1:14" ht="75">
      <c r="A401" s="3" t="s">
        <v>1800</v>
      </c>
      <c r="B401" s="3" t="s">
        <v>1801</v>
      </c>
      <c r="C401" s="3" t="s">
        <v>5963</v>
      </c>
      <c r="D401" s="3" t="s">
        <v>248</v>
      </c>
      <c r="E401" s="3"/>
      <c r="F401" s="3" t="s">
        <v>54</v>
      </c>
      <c r="G401" s="3"/>
      <c r="H401" s="3"/>
      <c r="I401" s="3"/>
      <c r="J401" s="3" t="s">
        <v>1802</v>
      </c>
      <c r="K401" s="3"/>
      <c r="L401" s="3" t="s">
        <v>1803</v>
      </c>
      <c r="M401" s="3" t="str">
        <f>HYPERLINK("https://ceds.ed.gov/cedselementdetails.aspx?termid=6263")</f>
        <v>https://ceds.ed.gov/cedselementdetails.aspx?termid=6263</v>
      </c>
      <c r="N401" s="3" t="str">
        <f>HYPERLINK("https://ceds.ed.gov/elementComment.aspx?elementName=Correctional Education Reentry Services Participation Indicator &amp;elementID=6263", "Click here to submit comment")</f>
        <v>Click here to submit comment</v>
      </c>
    </row>
    <row r="402" spans="1:14" ht="255">
      <c r="A402" s="3" t="s">
        <v>1804</v>
      </c>
      <c r="B402" s="3" t="s">
        <v>1805</v>
      </c>
      <c r="C402" s="4" t="s">
        <v>6432</v>
      </c>
      <c r="D402" s="3" t="s">
        <v>1806</v>
      </c>
      <c r="E402" s="3" t="s">
        <v>218</v>
      </c>
      <c r="F402" s="3"/>
      <c r="G402" s="3"/>
      <c r="H402" s="3"/>
      <c r="I402" s="3"/>
      <c r="J402" s="3" t="s">
        <v>1807</v>
      </c>
      <c r="K402" s="3"/>
      <c r="L402" s="3" t="s">
        <v>1808</v>
      </c>
      <c r="M402" s="3" t="str">
        <f>HYPERLINK("https://ceds.ed.gov/cedselementdetails.aspx?termid=5049")</f>
        <v>https://ceds.ed.gov/cedselementdetails.aspx?termid=5049</v>
      </c>
      <c r="N402" s="3" t="str">
        <f>HYPERLINK("https://ceds.ed.gov/elementComment.aspx?elementName=Corrective Action Type &amp;elementID=5049", "Click here to submit comment")</f>
        <v>Click here to submit comment</v>
      </c>
    </row>
    <row r="403" spans="1:14" ht="409.5">
      <c r="A403" s="3" t="s">
        <v>1809</v>
      </c>
      <c r="B403" s="3" t="s">
        <v>1810</v>
      </c>
      <c r="C403" s="4" t="s">
        <v>6433</v>
      </c>
      <c r="D403" s="3" t="s">
        <v>6106</v>
      </c>
      <c r="E403" s="3" t="s">
        <v>6107</v>
      </c>
      <c r="F403" s="3" t="s">
        <v>3</v>
      </c>
      <c r="G403" s="3"/>
      <c r="H403" s="3"/>
      <c r="I403" s="3"/>
      <c r="J403" s="3" t="s">
        <v>1811</v>
      </c>
      <c r="K403" s="3"/>
      <c r="L403" s="3" t="s">
        <v>1812</v>
      </c>
      <c r="M403" s="3" t="str">
        <f>HYPERLINK("https://ceds.ed.gov/cedselementdetails.aspx?termid=5050")</f>
        <v>https://ceds.ed.gov/cedselementdetails.aspx?termid=5050</v>
      </c>
      <c r="N403" s="3" t="str">
        <f>HYPERLINK("https://ceds.ed.gov/elementComment.aspx?elementName=Country Code &amp;elementID=5050", "Click here to submit comment")</f>
        <v>Click here to submit comment</v>
      </c>
    </row>
    <row r="404" spans="1:14" ht="409.5">
      <c r="A404" s="3" t="s">
        <v>1813</v>
      </c>
      <c r="B404" s="3" t="s">
        <v>1814</v>
      </c>
      <c r="C404" s="4" t="s">
        <v>6433</v>
      </c>
      <c r="D404" s="3" t="s">
        <v>1675</v>
      </c>
      <c r="E404" s="3" t="s">
        <v>6108</v>
      </c>
      <c r="F404" s="3"/>
      <c r="G404" s="3"/>
      <c r="H404" s="3"/>
      <c r="I404" s="3"/>
      <c r="J404" s="3" t="s">
        <v>1815</v>
      </c>
      <c r="K404" s="3"/>
      <c r="L404" s="3" t="s">
        <v>1816</v>
      </c>
      <c r="M404" s="3" t="str">
        <f>HYPERLINK("https://ceds.ed.gov/cedselementdetails.aspx?termid=5051")</f>
        <v>https://ceds.ed.gov/cedselementdetails.aspx?termid=5051</v>
      </c>
      <c r="N404" s="3" t="str">
        <f>HYPERLINK("https://ceds.ed.gov/elementComment.aspx?elementName=Country of Birth Code &amp;elementID=5051", "Click here to submit comment")</f>
        <v>Click here to submit comment</v>
      </c>
    </row>
    <row r="405" spans="1:14" ht="180">
      <c r="A405" s="3" t="s">
        <v>1817</v>
      </c>
      <c r="B405" s="3" t="s">
        <v>1818</v>
      </c>
      <c r="C405" s="3" t="s">
        <v>13</v>
      </c>
      <c r="D405" s="3" t="s">
        <v>6109</v>
      </c>
      <c r="E405" s="3"/>
      <c r="F405" s="3" t="s">
        <v>66</v>
      </c>
      <c r="G405" s="3" t="s">
        <v>1819</v>
      </c>
      <c r="H405" s="3" t="s">
        <v>1820</v>
      </c>
      <c r="I405" s="3"/>
      <c r="J405" s="3" t="s">
        <v>1821</v>
      </c>
      <c r="K405" s="3"/>
      <c r="L405" s="3" t="s">
        <v>1822</v>
      </c>
      <c r="M405" s="3" t="str">
        <f>HYPERLINK("https://ceds.ed.gov/cedselementdetails.aspx?termid=6176")</f>
        <v>https://ceds.ed.gov/cedselementdetails.aspx?termid=6176</v>
      </c>
      <c r="N405" s="3" t="str">
        <f>HYPERLINK("https://ceds.ed.gov/elementComment.aspx?elementName=County ANSI Code &amp;elementID=6176", "Click here to submit comment")</f>
        <v>Click here to submit comment</v>
      </c>
    </row>
    <row r="406" spans="1:14" ht="30">
      <c r="A406" s="3" t="s">
        <v>1823</v>
      </c>
      <c r="B406" s="3" t="s">
        <v>1824</v>
      </c>
      <c r="C406" s="3" t="s">
        <v>13</v>
      </c>
      <c r="D406" s="3" t="s">
        <v>1825</v>
      </c>
      <c r="E406" s="3" t="s">
        <v>6093</v>
      </c>
      <c r="F406" s="3"/>
      <c r="G406" s="3" t="s">
        <v>1826</v>
      </c>
      <c r="H406" s="3"/>
      <c r="I406" s="3"/>
      <c r="J406" s="3" t="s">
        <v>1827</v>
      </c>
      <c r="K406" s="3"/>
      <c r="L406" s="3" t="s">
        <v>1828</v>
      </c>
      <c r="M406" s="3" t="str">
        <f>HYPERLINK("https://ceds.ed.gov/cedselementdetails.aspx?termid=5053")</f>
        <v>https://ceds.ed.gov/cedselementdetails.aspx?termid=5053</v>
      </c>
      <c r="N406" s="3" t="str">
        <f>HYPERLINK("https://ceds.ed.gov/elementComment.aspx?elementName=Course Academic Grade &amp;elementID=5053", "Click here to submit comment")</f>
        <v>Click here to submit comment</v>
      </c>
    </row>
    <row r="407" spans="1:14" ht="150">
      <c r="A407" s="3" t="s">
        <v>1829</v>
      </c>
      <c r="B407" s="3" t="s">
        <v>1830</v>
      </c>
      <c r="C407" s="3" t="s">
        <v>13</v>
      </c>
      <c r="D407" s="3" t="s">
        <v>1831</v>
      </c>
      <c r="E407" s="3"/>
      <c r="F407" s="3" t="s">
        <v>54</v>
      </c>
      <c r="G407" s="3" t="s">
        <v>1832</v>
      </c>
      <c r="H407" s="3"/>
      <c r="I407" s="3" t="s">
        <v>1833</v>
      </c>
      <c r="J407" s="3" t="s">
        <v>1834</v>
      </c>
      <c r="K407" s="3"/>
      <c r="L407" s="3" t="s">
        <v>1835</v>
      </c>
      <c r="M407" s="3" t="str">
        <f>HYPERLINK("https://ceds.ed.gov/cedselementdetails.aspx?termid=6264")</f>
        <v>https://ceds.ed.gov/cedselementdetails.aspx?termid=6264</v>
      </c>
      <c r="N407" s="3" t="str">
        <f>HYPERLINK("https://ceds.ed.gov/elementComment.aspx?elementName=Course Academic Grade Scale Code &amp;elementID=6264", "Click here to submit comment")</f>
        <v>Click here to submit comment</v>
      </c>
    </row>
    <row r="408" spans="1:14" ht="285">
      <c r="A408" s="3" t="s">
        <v>1836</v>
      </c>
      <c r="B408" s="3" t="s">
        <v>1837</v>
      </c>
      <c r="C408" s="4" t="s">
        <v>6434</v>
      </c>
      <c r="D408" s="3" t="s">
        <v>1838</v>
      </c>
      <c r="E408" s="3"/>
      <c r="F408" s="3" t="s">
        <v>54</v>
      </c>
      <c r="G408" s="3"/>
      <c r="H408" s="3"/>
      <c r="I408" s="3"/>
      <c r="J408" s="3" t="s">
        <v>1839</v>
      </c>
      <c r="K408" s="3"/>
      <c r="L408" s="3" t="s">
        <v>1840</v>
      </c>
      <c r="M408" s="3" t="str">
        <f>HYPERLINK("https://ceds.ed.gov/cedselementdetails.aspx?termid=6265")</f>
        <v>https://ceds.ed.gov/cedselementdetails.aspx?termid=6265</v>
      </c>
      <c r="N408" s="3" t="str">
        <f>HYPERLINK("https://ceds.ed.gov/elementComment.aspx?elementName=Course Academic Grade Status Code &amp;elementID=6265", "Click here to submit comment")</f>
        <v>Click here to submit comment</v>
      </c>
    </row>
    <row r="409" spans="1:14" ht="30">
      <c r="A409" s="3" t="s">
        <v>1841</v>
      </c>
      <c r="B409" s="3" t="s">
        <v>1842</v>
      </c>
      <c r="C409" s="3" t="s">
        <v>13</v>
      </c>
      <c r="D409" s="3" t="s">
        <v>1825</v>
      </c>
      <c r="E409" s="3"/>
      <c r="F409" s="3" t="s">
        <v>54</v>
      </c>
      <c r="G409" s="3" t="s">
        <v>73</v>
      </c>
      <c r="H409" s="3"/>
      <c r="I409" s="3"/>
      <c r="J409" s="3" t="s">
        <v>1843</v>
      </c>
      <c r="K409" s="3"/>
      <c r="L409" s="3" t="s">
        <v>1844</v>
      </c>
      <c r="M409" s="3" t="str">
        <f>HYPERLINK("https://ceds.ed.gov/cedselementdetails.aspx?termid=6266")</f>
        <v>https://ceds.ed.gov/cedselementdetails.aspx?termid=6266</v>
      </c>
      <c r="N409" s="3" t="str">
        <f>HYPERLINK("https://ceds.ed.gov/elementComment.aspx?elementName=Course Add Date &amp;elementID=6266", "Click here to submit comment")</f>
        <v>Click here to submit comment</v>
      </c>
    </row>
    <row r="410" spans="1:14" ht="120">
      <c r="A410" s="3" t="s">
        <v>1845</v>
      </c>
      <c r="B410" s="3" t="s">
        <v>1846</v>
      </c>
      <c r="C410" s="3" t="s">
        <v>5963</v>
      </c>
      <c r="D410" s="3" t="s">
        <v>6110</v>
      </c>
      <c r="E410" s="3"/>
      <c r="F410" s="3" t="s">
        <v>66</v>
      </c>
      <c r="G410" s="3"/>
      <c r="H410" s="3" t="s">
        <v>1847</v>
      </c>
      <c r="I410" s="3"/>
      <c r="J410" s="3" t="s">
        <v>1848</v>
      </c>
      <c r="K410" s="3"/>
      <c r="L410" s="3" t="s">
        <v>1849</v>
      </c>
      <c r="M410" s="3" t="str">
        <f>HYPERLINK("https://ceds.ed.gov/cedselementdetails.aspx?termid=5013")</f>
        <v>https://ceds.ed.gov/cedselementdetails.aspx?termid=5013</v>
      </c>
      <c r="N410" s="3" t="str">
        <f>HYPERLINK("https://ceds.ed.gov/elementComment.aspx?elementName=Course Aligned with Standards &amp;elementID=5013", "Click here to submit comment")</f>
        <v>Click here to submit comment</v>
      </c>
    </row>
    <row r="411" spans="1:14" ht="409.5">
      <c r="A411" s="3" t="s">
        <v>1850</v>
      </c>
      <c r="B411" s="3" t="s">
        <v>1851</v>
      </c>
      <c r="C411" s="13" t="s">
        <v>6921</v>
      </c>
      <c r="D411" s="3" t="s">
        <v>6081</v>
      </c>
      <c r="E411" s="3"/>
      <c r="F411" s="3" t="s">
        <v>54</v>
      </c>
      <c r="G411" s="3"/>
      <c r="H411" s="3"/>
      <c r="I411" s="3" t="s">
        <v>1852</v>
      </c>
      <c r="J411" s="3" t="s">
        <v>1853</v>
      </c>
      <c r="K411" s="3"/>
      <c r="L411" s="3" t="s">
        <v>1854</v>
      </c>
      <c r="M411" s="3" t="str">
        <f>HYPERLINK("https://ceds.ed.gov/cedselementdetails.aspx?termid=6267")</f>
        <v>https://ceds.ed.gov/cedselementdetails.aspx?termid=6267</v>
      </c>
      <c r="N411" s="3" t="str">
        <f>HYPERLINK("https://ceds.ed.gov/elementComment.aspx?elementName=Course Applicable Education Level &amp;elementID=6267", "Click here to submit comment")</f>
        <v>Click here to submit comment</v>
      </c>
    </row>
    <row r="412" spans="1:14" ht="30">
      <c r="A412" s="3" t="s">
        <v>1855</v>
      </c>
      <c r="B412" s="3" t="s">
        <v>1856</v>
      </c>
      <c r="C412" s="3" t="s">
        <v>13</v>
      </c>
      <c r="D412" s="3" t="s">
        <v>314</v>
      </c>
      <c r="E412" s="3" t="s">
        <v>6093</v>
      </c>
      <c r="F412" s="3"/>
      <c r="G412" s="3" t="s">
        <v>73</v>
      </c>
      <c r="H412" s="3"/>
      <c r="I412" s="3"/>
      <c r="J412" s="3" t="s">
        <v>1857</v>
      </c>
      <c r="K412" s="3"/>
      <c r="L412" s="3" t="s">
        <v>1858</v>
      </c>
      <c r="M412" s="3" t="str">
        <f>HYPERLINK("https://ceds.ed.gov/cedselementdetails.aspx?termid=5054")</f>
        <v>https://ceds.ed.gov/cedselementdetails.aspx?termid=5054</v>
      </c>
      <c r="N412" s="3" t="str">
        <f>HYPERLINK("https://ceds.ed.gov/elementComment.aspx?elementName=Course Begin Date &amp;elementID=5054", "Click here to submit comment")</f>
        <v>Click here to submit comment</v>
      </c>
    </row>
    <row r="413" spans="1:14" ht="45">
      <c r="A413" s="3" t="s">
        <v>1859</v>
      </c>
      <c r="B413" s="3" t="s">
        <v>1860</v>
      </c>
      <c r="C413" s="3" t="s">
        <v>13</v>
      </c>
      <c r="D413" s="3" t="s">
        <v>6081</v>
      </c>
      <c r="E413" s="3"/>
      <c r="F413" s="3" t="s">
        <v>54</v>
      </c>
      <c r="G413" s="3" t="s">
        <v>93</v>
      </c>
      <c r="H413" s="3"/>
      <c r="I413" s="3"/>
      <c r="J413" s="3" t="s">
        <v>1861</v>
      </c>
      <c r="K413" s="3"/>
      <c r="L413" s="3" t="s">
        <v>1862</v>
      </c>
      <c r="M413" s="3" t="str">
        <f>HYPERLINK("https://ceds.ed.gov/cedselementdetails.aspx?termid=6268")</f>
        <v>https://ceds.ed.gov/cedselementdetails.aspx?termid=6268</v>
      </c>
      <c r="N413" s="3" t="str">
        <f>HYPERLINK("https://ceds.ed.gov/elementComment.aspx?elementName=Course Certification Description &amp;elementID=6268", "Click here to submit comment")</f>
        <v>Click here to submit comment</v>
      </c>
    </row>
    <row r="414" spans="1:14" ht="45">
      <c r="A414" s="3" t="s">
        <v>1863</v>
      </c>
      <c r="B414" s="3" t="s">
        <v>1864</v>
      </c>
      <c r="C414" s="5" t="s">
        <v>1702</v>
      </c>
      <c r="D414" s="3" t="s">
        <v>1831</v>
      </c>
      <c r="E414" s="3"/>
      <c r="F414" s="3" t="s">
        <v>54</v>
      </c>
      <c r="G414" s="3"/>
      <c r="H414" s="3"/>
      <c r="I414" s="3"/>
      <c r="J414" s="3" t="s">
        <v>1865</v>
      </c>
      <c r="K414" s="3" t="s">
        <v>1866</v>
      </c>
      <c r="L414" s="3" t="s">
        <v>1867</v>
      </c>
      <c r="M414" s="3" t="str">
        <f>HYPERLINK("https://ceds.ed.gov/cedselementdetails.aspx?termid=6474")</f>
        <v>https://ceds.ed.gov/cedselementdetails.aspx?termid=6474</v>
      </c>
      <c r="N414" s="3" t="str">
        <f>HYPERLINK("https://ceds.ed.gov/elementComment.aspx?elementName=Course Classification of Instructional Programs Code &amp;elementID=6474", "Click here to submit comment")</f>
        <v>Click here to submit comment</v>
      </c>
    </row>
    <row r="415" spans="1:14" ht="195">
      <c r="A415" s="3" t="s">
        <v>1868</v>
      </c>
      <c r="B415" s="3" t="s">
        <v>1869</v>
      </c>
      <c r="C415" s="4" t="s">
        <v>6435</v>
      </c>
      <c r="D415" s="3" t="s">
        <v>6111</v>
      </c>
      <c r="E415" s="3" t="s">
        <v>6078</v>
      </c>
      <c r="F415" s="3"/>
      <c r="G415" s="3"/>
      <c r="H415" s="3"/>
      <c r="I415" s="3"/>
      <c r="J415" s="3" t="s">
        <v>1870</v>
      </c>
      <c r="K415" s="3"/>
      <c r="L415" s="3" t="s">
        <v>1871</v>
      </c>
      <c r="M415" s="3" t="str">
        <f>HYPERLINK("https://ceds.ed.gov/cedselementdetails.aspx?termid=5056")</f>
        <v>https://ceds.ed.gov/cedselementdetails.aspx?termid=5056</v>
      </c>
      <c r="N415" s="3" t="str">
        <f>HYPERLINK("https://ceds.ed.gov/elementComment.aspx?elementName=Course Code System &amp;elementID=5056", "Click here to submit comment")</f>
        <v>Click here to submit comment</v>
      </c>
    </row>
    <row r="416" spans="1:14" ht="409.5">
      <c r="A416" s="3" t="s">
        <v>1872</v>
      </c>
      <c r="B416" s="3" t="s">
        <v>1873</v>
      </c>
      <c r="C416" s="4" t="s">
        <v>6436</v>
      </c>
      <c r="D416" s="3" t="s">
        <v>1831</v>
      </c>
      <c r="E416" s="3"/>
      <c r="F416" s="3" t="s">
        <v>54</v>
      </c>
      <c r="G416" s="3"/>
      <c r="H416" s="3"/>
      <c r="I416" s="3"/>
      <c r="J416" s="3" t="s">
        <v>1874</v>
      </c>
      <c r="K416" s="3"/>
      <c r="L416" s="3" t="s">
        <v>1875</v>
      </c>
      <c r="M416" s="3" t="str">
        <f>HYPERLINK("https://ceds.ed.gov/cedselementdetails.aspx?termid=6269")</f>
        <v>https://ceds.ed.gov/cedselementdetails.aspx?termid=6269</v>
      </c>
      <c r="N416" s="3" t="str">
        <f>HYPERLINK("https://ceds.ed.gov/elementComment.aspx?elementName=Course Credit Basis Type &amp;elementID=6269", "Click here to submit comment")</f>
        <v>Click here to submit comment</v>
      </c>
    </row>
    <row r="417" spans="1:14" ht="255">
      <c r="A417" s="3" t="s">
        <v>1876</v>
      </c>
      <c r="B417" s="3" t="s">
        <v>1877</v>
      </c>
      <c r="C417" s="4" t="s">
        <v>6437</v>
      </c>
      <c r="D417" s="3" t="s">
        <v>1831</v>
      </c>
      <c r="E417" s="3"/>
      <c r="F417" s="3" t="s">
        <v>54</v>
      </c>
      <c r="G417" s="3"/>
      <c r="H417" s="3"/>
      <c r="I417" s="3"/>
      <c r="J417" s="3" t="s">
        <v>1878</v>
      </c>
      <c r="K417" s="3"/>
      <c r="L417" s="3" t="s">
        <v>1879</v>
      </c>
      <c r="M417" s="3" t="str">
        <f>HYPERLINK("https://ceds.ed.gov/cedselementdetails.aspx?termid=6270")</f>
        <v>https://ceds.ed.gov/cedselementdetails.aspx?termid=6270</v>
      </c>
      <c r="N417" s="3" t="str">
        <f>HYPERLINK("https://ceds.ed.gov/elementComment.aspx?elementName=Course Credit Level Type &amp;elementID=6270", "Click here to submit comment")</f>
        <v>Click here to submit comment</v>
      </c>
    </row>
    <row r="418" spans="1:14" ht="165">
      <c r="A418" s="3" t="s">
        <v>1880</v>
      </c>
      <c r="B418" s="3" t="s">
        <v>1881</v>
      </c>
      <c r="C418" s="4" t="s">
        <v>6438</v>
      </c>
      <c r="D418" s="3" t="s">
        <v>6112</v>
      </c>
      <c r="E418" s="3" t="s">
        <v>24</v>
      </c>
      <c r="F418" s="3"/>
      <c r="G418" s="3"/>
      <c r="H418" s="3"/>
      <c r="I418" s="3"/>
      <c r="J418" s="3" t="s">
        <v>1882</v>
      </c>
      <c r="K418" s="3"/>
      <c r="L418" s="3" t="s">
        <v>1883</v>
      </c>
      <c r="M418" s="3" t="str">
        <f>HYPERLINK("https://ceds.ed.gov/cedselementdetails.aspx?termid=5057")</f>
        <v>https://ceds.ed.gov/cedselementdetails.aspx?termid=5057</v>
      </c>
      <c r="N418" s="3" t="str">
        <f>HYPERLINK("https://ceds.ed.gov/elementComment.aspx?elementName=Course Credit Units &amp;elementID=5057", "Click here to submit comment")</f>
        <v>Click here to submit comment</v>
      </c>
    </row>
    <row r="419" spans="1:14" ht="105">
      <c r="A419" s="3" t="s">
        <v>1884</v>
      </c>
      <c r="B419" s="3" t="s">
        <v>1885</v>
      </c>
      <c r="C419" s="3" t="s">
        <v>13</v>
      </c>
      <c r="D419" s="3" t="s">
        <v>6113</v>
      </c>
      <c r="E419" s="3" t="s">
        <v>24</v>
      </c>
      <c r="F419" s="3"/>
      <c r="G419" s="3" t="s">
        <v>1461</v>
      </c>
      <c r="H419" s="3"/>
      <c r="I419" s="3" t="s">
        <v>1886</v>
      </c>
      <c r="J419" s="3" t="s">
        <v>1887</v>
      </c>
      <c r="K419" s="3"/>
      <c r="L419" s="3" t="s">
        <v>1888</v>
      </c>
      <c r="M419" s="3" t="str">
        <f>HYPERLINK("https://ceds.ed.gov/cedselementdetails.aspx?termid=5058")</f>
        <v>https://ceds.ed.gov/cedselementdetails.aspx?termid=5058</v>
      </c>
      <c r="N419" s="3" t="str">
        <f>HYPERLINK("https://ceds.ed.gov/elementComment.aspx?elementName=Course Credit Value &amp;elementID=5058", "Click here to submit comment")</f>
        <v>Click here to submit comment</v>
      </c>
    </row>
    <row r="420" spans="1:14" ht="90">
      <c r="A420" s="3" t="s">
        <v>1889</v>
      </c>
      <c r="B420" s="3" t="s">
        <v>1890</v>
      </c>
      <c r="C420" s="3" t="s">
        <v>13</v>
      </c>
      <c r="D420" s="3" t="s">
        <v>5971</v>
      </c>
      <c r="E420" s="3"/>
      <c r="F420" s="3" t="s">
        <v>66</v>
      </c>
      <c r="G420" s="3" t="s">
        <v>106</v>
      </c>
      <c r="H420" s="3" t="s">
        <v>1820</v>
      </c>
      <c r="I420" s="3"/>
      <c r="J420" s="3" t="s">
        <v>1891</v>
      </c>
      <c r="K420" s="3"/>
      <c r="L420" s="3" t="s">
        <v>1892</v>
      </c>
      <c r="M420" s="3" t="str">
        <f>HYPERLINK("https://ceds.ed.gov/cedselementdetails.aspx?termid=5508")</f>
        <v>https://ceds.ed.gov/cedselementdetails.aspx?termid=5508</v>
      </c>
      <c r="N420" s="3" t="str">
        <f>HYPERLINK("https://ceds.ed.gov/elementComment.aspx?elementName=Course Description &amp;elementID=5508", "Click here to submit comment")</f>
        <v>Click here to submit comment</v>
      </c>
    </row>
    <row r="421" spans="1:14" ht="30">
      <c r="A421" s="3" t="s">
        <v>1893</v>
      </c>
      <c r="B421" s="3" t="s">
        <v>1894</v>
      </c>
      <c r="C421" s="3" t="s">
        <v>13</v>
      </c>
      <c r="D421" s="3" t="s">
        <v>1831</v>
      </c>
      <c r="E421" s="3"/>
      <c r="F421" s="3" t="s">
        <v>54</v>
      </c>
      <c r="G421" s="3" t="s">
        <v>73</v>
      </c>
      <c r="H421" s="3"/>
      <c r="I421" s="3"/>
      <c r="J421" s="3" t="s">
        <v>1895</v>
      </c>
      <c r="K421" s="3"/>
      <c r="L421" s="3" t="s">
        <v>1896</v>
      </c>
      <c r="M421" s="3" t="str">
        <f>HYPERLINK("https://ceds.ed.gov/cedselementdetails.aspx?termid=6271")</f>
        <v>https://ceds.ed.gov/cedselementdetails.aspx?termid=6271</v>
      </c>
      <c r="N421" s="3" t="str">
        <f>HYPERLINK("https://ceds.ed.gov/elementComment.aspx?elementName=Course Drop Date &amp;elementID=6271", "Click here to submit comment")</f>
        <v>Click here to submit comment</v>
      </c>
    </row>
    <row r="422" spans="1:14" ht="30">
      <c r="A422" s="3" t="s">
        <v>1897</v>
      </c>
      <c r="B422" s="3" t="s">
        <v>1898</v>
      </c>
      <c r="C422" s="3" t="s">
        <v>13</v>
      </c>
      <c r="D422" s="3" t="s">
        <v>314</v>
      </c>
      <c r="E422" s="3" t="s">
        <v>6093</v>
      </c>
      <c r="F422" s="3"/>
      <c r="G422" s="3" t="s">
        <v>73</v>
      </c>
      <c r="H422" s="3"/>
      <c r="I422" s="3"/>
      <c r="J422" s="3" t="s">
        <v>1899</v>
      </c>
      <c r="K422" s="3"/>
      <c r="L422" s="3" t="s">
        <v>1900</v>
      </c>
      <c r="M422" s="3" t="str">
        <f>HYPERLINK("https://ceds.ed.gov/cedselementdetails.aspx?termid=5059")</f>
        <v>https://ceds.ed.gov/cedselementdetails.aspx?termid=5059</v>
      </c>
      <c r="N422" s="3" t="str">
        <f>HYPERLINK("https://ceds.ed.gov/elementComment.aspx?elementName=Course End Date &amp;elementID=5059", "Click here to submit comment")</f>
        <v>Click here to submit comment</v>
      </c>
    </row>
    <row r="423" spans="1:14" ht="90">
      <c r="A423" s="3" t="s">
        <v>1901</v>
      </c>
      <c r="B423" s="3" t="s">
        <v>1902</v>
      </c>
      <c r="C423" s="3" t="s">
        <v>13</v>
      </c>
      <c r="D423" s="3" t="s">
        <v>6081</v>
      </c>
      <c r="E423" s="3"/>
      <c r="F423" s="3" t="s">
        <v>54</v>
      </c>
      <c r="G423" s="3" t="s">
        <v>100</v>
      </c>
      <c r="H423" s="3"/>
      <c r="I423" s="3" t="s">
        <v>1903</v>
      </c>
      <c r="J423" s="3" t="s">
        <v>1904</v>
      </c>
      <c r="K423" s="3"/>
      <c r="L423" s="3" t="s">
        <v>1905</v>
      </c>
      <c r="M423" s="3" t="str">
        <f>HYPERLINK("https://ceds.ed.gov/cedselementdetails.aspx?termid=6272")</f>
        <v>https://ceds.ed.gov/cedselementdetails.aspx?termid=6272</v>
      </c>
      <c r="N423" s="3" t="str">
        <f>HYPERLINK("https://ceds.ed.gov/elementComment.aspx?elementName=Course Funding Program &amp;elementID=6272", "Click here to submit comment")</f>
        <v>Click here to submit comment</v>
      </c>
    </row>
    <row r="424" spans="1:14" ht="135">
      <c r="A424" s="3" t="s">
        <v>1906</v>
      </c>
      <c r="B424" s="3" t="s">
        <v>1907</v>
      </c>
      <c r="C424" s="4" t="s">
        <v>6439</v>
      </c>
      <c r="D424" s="3" t="s">
        <v>6114</v>
      </c>
      <c r="E424" s="3" t="s">
        <v>6078</v>
      </c>
      <c r="F424" s="3" t="s">
        <v>66</v>
      </c>
      <c r="G424" s="3"/>
      <c r="H424" s="3" t="s">
        <v>1820</v>
      </c>
      <c r="I424" s="3"/>
      <c r="J424" s="3" t="s">
        <v>1908</v>
      </c>
      <c r="K424" s="3" t="s">
        <v>1909</v>
      </c>
      <c r="L424" s="3" t="s">
        <v>1910</v>
      </c>
      <c r="M424" s="3" t="str">
        <f>HYPERLINK("https://ceds.ed.gov/cedselementdetails.aspx?termid=5060")</f>
        <v>https://ceds.ed.gov/cedselementdetails.aspx?termid=5060</v>
      </c>
      <c r="N424" s="3" t="str">
        <f>HYPERLINK("https://ceds.ed.gov/elementComment.aspx?elementName=Course Grade Point Average Applicability &amp;elementID=5060", "Click here to submit comment")</f>
        <v>Click here to submit comment</v>
      </c>
    </row>
    <row r="425" spans="1:14" ht="45">
      <c r="A425" s="3" t="s">
        <v>1911</v>
      </c>
      <c r="B425" s="3" t="s">
        <v>1912</v>
      </c>
      <c r="C425" s="4" t="s">
        <v>6440</v>
      </c>
      <c r="D425" s="3" t="s">
        <v>1831</v>
      </c>
      <c r="E425" s="3"/>
      <c r="F425" s="3" t="s">
        <v>54</v>
      </c>
      <c r="G425" s="3"/>
      <c r="H425" s="3"/>
      <c r="I425" s="3"/>
      <c r="J425" s="3" t="s">
        <v>1913</v>
      </c>
      <c r="K425" s="3"/>
      <c r="L425" s="3" t="s">
        <v>1914</v>
      </c>
      <c r="M425" s="3" t="str">
        <f>HYPERLINK("https://ceds.ed.gov/cedselementdetails.aspx?termid=6273")</f>
        <v>https://ceds.ed.gov/cedselementdetails.aspx?termid=6273</v>
      </c>
      <c r="N425" s="3" t="str">
        <f>HYPERLINK("https://ceds.ed.gov/elementComment.aspx?elementName=Course Honors Type &amp;elementID=6273", "Click here to submit comment")</f>
        <v>Click here to submit comment</v>
      </c>
    </row>
    <row r="426" spans="1:14" ht="180">
      <c r="A426" s="3" t="s">
        <v>1915</v>
      </c>
      <c r="B426" s="3" t="s">
        <v>1916</v>
      </c>
      <c r="C426" s="3" t="s">
        <v>13</v>
      </c>
      <c r="D426" s="3" t="s">
        <v>6115</v>
      </c>
      <c r="E426" s="3" t="s">
        <v>6116</v>
      </c>
      <c r="F426" s="3" t="s">
        <v>66</v>
      </c>
      <c r="G426" s="3" t="s">
        <v>1917</v>
      </c>
      <c r="H426" s="3" t="s">
        <v>1918</v>
      </c>
      <c r="I426" s="3"/>
      <c r="J426" s="3" t="s">
        <v>1919</v>
      </c>
      <c r="K426" s="3"/>
      <c r="L426" s="3" t="s">
        <v>1920</v>
      </c>
      <c r="M426" s="3" t="str">
        <f>HYPERLINK("https://ceds.ed.gov/cedselementdetails.aspx?termid=5055")</f>
        <v>https://ceds.ed.gov/cedselementdetails.aspx?termid=5055</v>
      </c>
      <c r="N426" s="3" t="str">
        <f>HYPERLINK("https://ceds.ed.gov/elementComment.aspx?elementName=Course Identifier &amp;elementID=5055", "Click here to submit comment")</f>
        <v>Click here to submit comment</v>
      </c>
    </row>
    <row r="427" spans="1:14" ht="390">
      <c r="A427" s="3" t="s">
        <v>1921</v>
      </c>
      <c r="B427" s="3" t="s">
        <v>1922</v>
      </c>
      <c r="C427" s="3" t="s">
        <v>6117</v>
      </c>
      <c r="D427" s="3" t="s">
        <v>1831</v>
      </c>
      <c r="E427" s="3"/>
      <c r="F427" s="3" t="s">
        <v>54</v>
      </c>
      <c r="G427" s="3"/>
      <c r="H427" s="3"/>
      <c r="I427" s="3"/>
      <c r="J427" s="3" t="s">
        <v>1923</v>
      </c>
      <c r="K427" s="3"/>
      <c r="L427" s="3" t="s">
        <v>1924</v>
      </c>
      <c r="M427" s="3" t="str">
        <f>HYPERLINK("https://ceds.ed.gov/cedselementdetails.aspx?termid=6274")</f>
        <v>https://ceds.ed.gov/cedselementdetails.aspx?termid=6274</v>
      </c>
      <c r="N427" s="3" t="str">
        <f>HYPERLINK("https://ceds.ed.gov/elementComment.aspx?elementName=Course Instruction Method &amp;elementID=6274", "Click here to submit comment")</f>
        <v>Click here to submit comment</v>
      </c>
    </row>
    <row r="428" spans="1:14" ht="30">
      <c r="A428" s="3" t="s">
        <v>1925</v>
      </c>
      <c r="B428" s="3" t="s">
        <v>1926</v>
      </c>
      <c r="C428" s="3" t="s">
        <v>13</v>
      </c>
      <c r="D428" s="3" t="s">
        <v>1831</v>
      </c>
      <c r="E428" s="3"/>
      <c r="F428" s="3" t="s">
        <v>54</v>
      </c>
      <c r="G428" s="3" t="s">
        <v>106</v>
      </c>
      <c r="H428" s="3"/>
      <c r="I428" s="3"/>
      <c r="J428" s="3" t="s">
        <v>1927</v>
      </c>
      <c r="K428" s="3"/>
      <c r="L428" s="3" t="s">
        <v>1928</v>
      </c>
      <c r="M428" s="3" t="str">
        <f>HYPERLINK("https://ceds.ed.gov/cedselementdetails.aspx?termid=6275")</f>
        <v>https://ceds.ed.gov/cedselementdetails.aspx?termid=6275</v>
      </c>
      <c r="N428" s="3" t="str">
        <f>HYPERLINK("https://ceds.ed.gov/elementComment.aspx?elementName=Course Instruction Site Name &amp;elementID=6275", "Click here to submit comment")</f>
        <v>Click here to submit comment</v>
      </c>
    </row>
    <row r="429" spans="1:14" ht="180">
      <c r="A429" s="3" t="s">
        <v>1929</v>
      </c>
      <c r="B429" s="3" t="s">
        <v>1930</v>
      </c>
      <c r="C429" s="4" t="s">
        <v>6441</v>
      </c>
      <c r="D429" s="3" t="s">
        <v>1831</v>
      </c>
      <c r="E429" s="3"/>
      <c r="F429" s="3" t="s">
        <v>54</v>
      </c>
      <c r="G429" s="3"/>
      <c r="H429" s="3"/>
      <c r="I429" s="3"/>
      <c r="J429" s="3" t="s">
        <v>1931</v>
      </c>
      <c r="K429" s="3"/>
      <c r="L429" s="3" t="s">
        <v>1932</v>
      </c>
      <c r="M429" s="3" t="str">
        <f>HYPERLINK("https://ceds.ed.gov/cedselementdetails.aspx?termid=6276")</f>
        <v>https://ceds.ed.gov/cedselementdetails.aspx?termid=6276</v>
      </c>
      <c r="N429" s="3" t="str">
        <f>HYPERLINK("https://ceds.ed.gov/elementComment.aspx?elementName=Course Instruction Site Type &amp;elementID=6276", "Click here to submit comment")</f>
        <v>Click here to submit comment</v>
      </c>
    </row>
    <row r="430" spans="1:14" ht="45">
      <c r="A430" s="3" t="s">
        <v>1933</v>
      </c>
      <c r="B430" s="3" t="s">
        <v>1934</v>
      </c>
      <c r="C430" s="4" t="s">
        <v>6442</v>
      </c>
      <c r="D430" s="3" t="s">
        <v>6081</v>
      </c>
      <c r="E430" s="3"/>
      <c r="F430" s="3" t="s">
        <v>54</v>
      </c>
      <c r="G430" s="3"/>
      <c r="H430" s="3"/>
      <c r="I430" s="3" t="s">
        <v>1935</v>
      </c>
      <c r="J430" s="3" t="s">
        <v>1936</v>
      </c>
      <c r="K430" s="3"/>
      <c r="L430" s="3" t="s">
        <v>1937</v>
      </c>
      <c r="M430" s="3" t="str">
        <f>HYPERLINK("https://ceds.ed.gov/cedselementdetails.aspx?termid=6277")</f>
        <v>https://ceds.ed.gov/cedselementdetails.aspx?termid=6277</v>
      </c>
      <c r="N430" s="3" t="str">
        <f>HYPERLINK("https://ceds.ed.gov/elementComment.aspx?elementName=Course Interaction Mode &amp;elementID=6277", "Click here to submit comment")</f>
        <v>Click here to submit comment</v>
      </c>
    </row>
    <row r="431" spans="1:14" ht="345">
      <c r="A431" s="3" t="s">
        <v>1938</v>
      </c>
      <c r="B431" s="3" t="s">
        <v>1939</v>
      </c>
      <c r="C431" s="4" t="s">
        <v>6443</v>
      </c>
      <c r="D431" s="3" t="s">
        <v>6077</v>
      </c>
      <c r="E431" s="3" t="s">
        <v>6116</v>
      </c>
      <c r="F431" s="3"/>
      <c r="G431" s="3"/>
      <c r="H431" s="3"/>
      <c r="I431" s="3"/>
      <c r="J431" s="3" t="s">
        <v>1940</v>
      </c>
      <c r="K431" s="3"/>
      <c r="L431" s="3" t="s">
        <v>1941</v>
      </c>
      <c r="M431" s="3" t="str">
        <f>HYPERLINK("https://ceds.ed.gov/cedselementdetails.aspx?termid=5061")</f>
        <v>https://ceds.ed.gov/cedselementdetails.aspx?termid=5061</v>
      </c>
      <c r="N431" s="3" t="str">
        <f>HYPERLINK("https://ceds.ed.gov/elementComment.aspx?elementName=Course Level Characteristic &amp;elementID=5061", "Click here to submit comment")</f>
        <v>Click here to submit comment</v>
      </c>
    </row>
    <row r="432" spans="1:14" ht="375">
      <c r="A432" s="3" t="s">
        <v>1942</v>
      </c>
      <c r="B432" s="3" t="s">
        <v>1943</v>
      </c>
      <c r="C432" s="4" t="s">
        <v>6444</v>
      </c>
      <c r="D432" s="3" t="s">
        <v>6118</v>
      </c>
      <c r="E432" s="3"/>
      <c r="F432" s="3" t="s">
        <v>54</v>
      </c>
      <c r="G432" s="3"/>
      <c r="H432" s="3"/>
      <c r="I432" s="3"/>
      <c r="J432" s="3" t="s">
        <v>1944</v>
      </c>
      <c r="K432" s="3"/>
      <c r="L432" s="3" t="s">
        <v>1945</v>
      </c>
      <c r="M432" s="3" t="str">
        <f>HYPERLINK("https://ceds.ed.gov/cedselementdetails.aspx?termid=6278")</f>
        <v>https://ceds.ed.gov/cedselementdetails.aspx?termid=6278</v>
      </c>
      <c r="N432" s="3" t="str">
        <f>HYPERLINK("https://ceds.ed.gov/elementComment.aspx?elementName=Course Level Type &amp;elementID=6278", "Click here to submit comment")</f>
        <v>Click here to submit comment</v>
      </c>
    </row>
    <row r="433" spans="1:14" ht="90">
      <c r="A433" s="3" t="s">
        <v>1946</v>
      </c>
      <c r="B433" s="3" t="s">
        <v>1947</v>
      </c>
      <c r="C433" s="3" t="s">
        <v>13</v>
      </c>
      <c r="D433" s="3" t="s">
        <v>1831</v>
      </c>
      <c r="E433" s="3"/>
      <c r="F433" s="3" t="s">
        <v>54</v>
      </c>
      <c r="G433" s="3" t="s">
        <v>319</v>
      </c>
      <c r="H433" s="3"/>
      <c r="I433" s="3"/>
      <c r="J433" s="3" t="s">
        <v>1948</v>
      </c>
      <c r="K433" s="3"/>
      <c r="L433" s="3" t="s">
        <v>1949</v>
      </c>
      <c r="M433" s="3" t="str">
        <f>HYPERLINK("https://ceds.ed.gov/cedselementdetails.aspx?termid=6279")</f>
        <v>https://ceds.ed.gov/cedselementdetails.aspx?termid=6279</v>
      </c>
      <c r="N433" s="3" t="str">
        <f>HYPERLINK("https://ceds.ed.gov/elementComment.aspx?elementName=Course Narrative Explanation Grade &amp;elementID=6279", "Click here to submit comment")</f>
        <v>Click here to submit comment</v>
      </c>
    </row>
    <row r="434" spans="1:14" ht="90">
      <c r="A434" s="3" t="s">
        <v>1950</v>
      </c>
      <c r="B434" s="3" t="s">
        <v>1951</v>
      </c>
      <c r="C434" s="3" t="s">
        <v>13</v>
      </c>
      <c r="D434" s="3" t="s">
        <v>1831</v>
      </c>
      <c r="E434" s="3"/>
      <c r="F434" s="3" t="s">
        <v>54</v>
      </c>
      <c r="G434" s="3" t="s">
        <v>100</v>
      </c>
      <c r="H434" s="3"/>
      <c r="I434" s="3"/>
      <c r="J434" s="3" t="s">
        <v>1952</v>
      </c>
      <c r="K434" s="3"/>
      <c r="L434" s="3" t="s">
        <v>1953</v>
      </c>
      <c r="M434" s="3" t="str">
        <f>HYPERLINK("https://ceds.ed.gov/cedselementdetails.aspx?termid=6280")</f>
        <v>https://ceds.ed.gov/cedselementdetails.aspx?termid=6280</v>
      </c>
      <c r="N434" s="3" t="str">
        <f>HYPERLINK("https://ceds.ed.gov/elementComment.aspx?elementName=Course Number &amp;elementID=6280", "Click here to submit comment")</f>
        <v>Click here to submit comment</v>
      </c>
    </row>
    <row r="435" spans="1:14" ht="45">
      <c r="A435" s="3" t="s">
        <v>1954</v>
      </c>
      <c r="B435" s="3" t="s">
        <v>1955</v>
      </c>
      <c r="C435" s="3" t="s">
        <v>13</v>
      </c>
      <c r="D435" s="3" t="s">
        <v>1825</v>
      </c>
      <c r="E435" s="3" t="s">
        <v>24</v>
      </c>
      <c r="F435" s="3"/>
      <c r="G435" s="3" t="s">
        <v>25</v>
      </c>
      <c r="H435" s="3"/>
      <c r="I435" s="3"/>
      <c r="J435" s="3" t="s">
        <v>1956</v>
      </c>
      <c r="K435" s="3"/>
      <c r="L435" s="3" t="s">
        <v>1957</v>
      </c>
      <c r="M435" s="3" t="str">
        <f>HYPERLINK("https://ceds.ed.gov/cedselementdetails.aspx?termid=5063")</f>
        <v>https://ceds.ed.gov/cedselementdetails.aspx?termid=5063</v>
      </c>
      <c r="N435" s="3" t="str">
        <f>HYPERLINK("https://ceds.ed.gov/elementComment.aspx?elementName=Course Override School &amp;elementID=5063", "Click here to submit comment")</f>
        <v>Click here to submit comment</v>
      </c>
    </row>
    <row r="436" spans="1:14" ht="60">
      <c r="A436" s="3" t="s">
        <v>1958</v>
      </c>
      <c r="B436" s="3" t="s">
        <v>1959</v>
      </c>
      <c r="C436" s="3" t="s">
        <v>13</v>
      </c>
      <c r="D436" s="3" t="s">
        <v>1825</v>
      </c>
      <c r="E436" s="3" t="s">
        <v>24</v>
      </c>
      <c r="F436" s="3"/>
      <c r="G436" s="3" t="s">
        <v>1461</v>
      </c>
      <c r="H436" s="3"/>
      <c r="I436" s="3"/>
      <c r="J436" s="3" t="s">
        <v>1960</v>
      </c>
      <c r="K436" s="3"/>
      <c r="L436" s="3" t="s">
        <v>1961</v>
      </c>
      <c r="M436" s="3" t="str">
        <f>HYPERLINK("https://ceds.ed.gov/cedselementdetails.aspx?termid=5064")</f>
        <v>https://ceds.ed.gov/cedselementdetails.aspx?termid=5064</v>
      </c>
      <c r="N436" s="3" t="str">
        <f>HYPERLINK("https://ceds.ed.gov/elementComment.aspx?elementName=Course Quality Points Earned &amp;elementID=5064", "Click here to submit comment")</f>
        <v>Click here to submit comment</v>
      </c>
    </row>
    <row r="437" spans="1:14" ht="210">
      <c r="A437" s="3" t="s">
        <v>1962</v>
      </c>
      <c r="B437" s="3" t="s">
        <v>1963</v>
      </c>
      <c r="C437" s="4" t="s">
        <v>6445</v>
      </c>
      <c r="D437" s="3" t="s">
        <v>6119</v>
      </c>
      <c r="E437" s="3" t="s">
        <v>5968</v>
      </c>
      <c r="F437" s="3" t="s">
        <v>3</v>
      </c>
      <c r="G437" s="3"/>
      <c r="H437" s="3"/>
      <c r="I437" s="3"/>
      <c r="J437" s="3" t="s">
        <v>1964</v>
      </c>
      <c r="K437" s="3"/>
      <c r="L437" s="3" t="s">
        <v>1965</v>
      </c>
      <c r="M437" s="3" t="str">
        <f>HYPERLINK("https://ceds.ed.gov/cedselementdetails.aspx?termid=5065")</f>
        <v>https://ceds.ed.gov/cedselementdetails.aspx?termid=5065</v>
      </c>
      <c r="N437" s="3" t="str">
        <f>HYPERLINK("https://ceds.ed.gov/elementComment.aspx?elementName=Course Repeat Code &amp;elementID=5065", "Click here to submit comment")</f>
        <v>Click here to submit comment</v>
      </c>
    </row>
    <row r="438" spans="1:14" ht="409.5">
      <c r="A438" s="3" t="s">
        <v>1966</v>
      </c>
      <c r="B438" s="3" t="s">
        <v>1967</v>
      </c>
      <c r="C438" s="4" t="s">
        <v>6398</v>
      </c>
      <c r="D438" s="3" t="s">
        <v>6120</v>
      </c>
      <c r="E438" s="3" t="s">
        <v>6121</v>
      </c>
      <c r="F438" s="3" t="s">
        <v>66</v>
      </c>
      <c r="G438" s="3"/>
      <c r="H438" s="3" t="s">
        <v>1968</v>
      </c>
      <c r="I438" s="3"/>
      <c r="J438" s="3" t="s">
        <v>1969</v>
      </c>
      <c r="K438" s="3"/>
      <c r="L438" s="3" t="s">
        <v>1970</v>
      </c>
      <c r="M438" s="3" t="str">
        <f>HYPERLINK("https://ceds.ed.gov/cedselementdetails.aspx?termid=5027")</f>
        <v>https://ceds.ed.gov/cedselementdetails.aspx?termid=5027</v>
      </c>
      <c r="N438" s="3" t="str">
        <f>HYPERLINK("https://ceds.ed.gov/elementComment.aspx?elementName=Course Section Assessment Reporting Method &amp;elementID=5027", "Click here to submit comment")</f>
        <v>Click here to submit comment</v>
      </c>
    </row>
    <row r="439" spans="1:14" ht="120">
      <c r="A439" s="3" t="s">
        <v>1971</v>
      </c>
      <c r="B439" s="3" t="s">
        <v>1972</v>
      </c>
      <c r="C439" s="3" t="s">
        <v>13</v>
      </c>
      <c r="D439" s="3" t="s">
        <v>1973</v>
      </c>
      <c r="E439" s="3"/>
      <c r="F439" s="3" t="s">
        <v>66</v>
      </c>
      <c r="G439" s="3" t="s">
        <v>73</v>
      </c>
      <c r="H439" s="3" t="s">
        <v>1974</v>
      </c>
      <c r="I439" s="3" t="s">
        <v>1975</v>
      </c>
      <c r="J439" s="3" t="s">
        <v>1976</v>
      </c>
      <c r="K439" s="3"/>
      <c r="L439" s="3" t="s">
        <v>1977</v>
      </c>
      <c r="M439" s="3" t="str">
        <f>HYPERLINK("https://ceds.ed.gov/cedselementdetails.aspx?termid=5976")</f>
        <v>https://ceds.ed.gov/cedselementdetails.aspx?termid=5976</v>
      </c>
      <c r="N439" s="3" t="str">
        <f>HYPERLINK("https://ceds.ed.gov/elementComment.aspx?elementName=Course Section Enrollment Status End Date &amp;elementID=5976", "Click here to submit comment")</f>
        <v>Click here to submit comment</v>
      </c>
    </row>
    <row r="440" spans="1:14" ht="120">
      <c r="A440" s="3" t="s">
        <v>1978</v>
      </c>
      <c r="B440" s="3" t="s">
        <v>1979</v>
      </c>
      <c r="C440" s="3" t="s">
        <v>13</v>
      </c>
      <c r="D440" s="3" t="s">
        <v>1973</v>
      </c>
      <c r="E440" s="3"/>
      <c r="F440" s="3"/>
      <c r="G440" s="3" t="s">
        <v>73</v>
      </c>
      <c r="H440" s="3" t="s">
        <v>1980</v>
      </c>
      <c r="I440" s="3" t="s">
        <v>1975</v>
      </c>
      <c r="J440" s="3" t="s">
        <v>1981</v>
      </c>
      <c r="K440" s="3"/>
      <c r="L440" s="3" t="s">
        <v>1982</v>
      </c>
      <c r="M440" s="3" t="str">
        <f>HYPERLINK("https://ceds.ed.gov/cedselementdetails.aspx?termid=5975")</f>
        <v>https://ceds.ed.gov/cedselementdetails.aspx?termid=5975</v>
      </c>
      <c r="N440" s="3" t="str">
        <f>HYPERLINK("https://ceds.ed.gov/elementComment.aspx?elementName=Course Section Enrollment Status Start Date &amp;elementID=5975", "Click here to submit comment")</f>
        <v>Click here to submit comment</v>
      </c>
    </row>
    <row r="441" spans="1:14" ht="120">
      <c r="A441" s="3" t="s">
        <v>1983</v>
      </c>
      <c r="B441" s="3" t="s">
        <v>1984</v>
      </c>
      <c r="C441" s="3" t="s">
        <v>6122</v>
      </c>
      <c r="D441" s="3" t="s">
        <v>1973</v>
      </c>
      <c r="E441" s="3"/>
      <c r="F441" s="3" t="s">
        <v>66</v>
      </c>
      <c r="G441" s="3"/>
      <c r="H441" s="3" t="s">
        <v>1985</v>
      </c>
      <c r="I441" s="3" t="s">
        <v>1975</v>
      </c>
      <c r="J441" s="3" t="s">
        <v>1986</v>
      </c>
      <c r="K441" s="3"/>
      <c r="L441" s="3" t="s">
        <v>1987</v>
      </c>
      <c r="M441" s="3" t="str">
        <f>HYPERLINK("https://ceds.ed.gov/cedselementdetails.aspx?termid=5977")</f>
        <v>https://ceds.ed.gov/cedselementdetails.aspx?termid=5977</v>
      </c>
      <c r="N441" s="3" t="str">
        <f>HYPERLINK("https://ceds.ed.gov/elementComment.aspx?elementName=Course Section Enrollment Status Type &amp;elementID=5977", "Click here to submit comment")</f>
        <v>Click here to submit comment</v>
      </c>
    </row>
    <row r="442" spans="1:14" ht="45">
      <c r="A442" s="3" t="s">
        <v>1988</v>
      </c>
      <c r="B442" s="3" t="s">
        <v>1989</v>
      </c>
      <c r="C442" s="4" t="s">
        <v>6446</v>
      </c>
      <c r="D442" s="3" t="s">
        <v>1973</v>
      </c>
      <c r="E442" s="3" t="s">
        <v>1990</v>
      </c>
      <c r="F442" s="3" t="s">
        <v>66</v>
      </c>
      <c r="G442" s="3"/>
      <c r="H442" s="3" t="s">
        <v>1991</v>
      </c>
      <c r="I442" s="3"/>
      <c r="J442" s="3" t="s">
        <v>1992</v>
      </c>
      <c r="K442" s="3"/>
      <c r="L442" s="3" t="s">
        <v>1993</v>
      </c>
      <c r="M442" s="3" t="str">
        <f>HYPERLINK("https://ceds.ed.gov/cedselementdetails.aspx?termid=5652")</f>
        <v>https://ceds.ed.gov/cedselementdetails.aspx?termid=5652</v>
      </c>
      <c r="N442" s="3" t="str">
        <f>HYPERLINK("https://ceds.ed.gov/elementComment.aspx?elementName=Course Section Entry Type &amp;elementID=5652", "Click here to submit comment")</f>
        <v>Click here to submit comment</v>
      </c>
    </row>
    <row r="443" spans="1:14" ht="210">
      <c r="A443" s="3" t="s">
        <v>1994</v>
      </c>
      <c r="B443" s="3" t="s">
        <v>1995</v>
      </c>
      <c r="C443" s="4" t="s">
        <v>6447</v>
      </c>
      <c r="D443" s="3" t="s">
        <v>1973</v>
      </c>
      <c r="E443" s="3" t="s">
        <v>1990</v>
      </c>
      <c r="F443" s="3" t="s">
        <v>66</v>
      </c>
      <c r="G443" s="3"/>
      <c r="H443" s="3" t="s">
        <v>1996</v>
      </c>
      <c r="I443" s="3"/>
      <c r="J443" s="3" t="s">
        <v>1997</v>
      </c>
      <c r="K443" s="3"/>
      <c r="L443" s="3" t="s">
        <v>1998</v>
      </c>
      <c r="M443" s="3" t="str">
        <f>HYPERLINK("https://ceds.ed.gov/cedselementdetails.aspx?termid=5654")</f>
        <v>https://ceds.ed.gov/cedselementdetails.aspx?termid=5654</v>
      </c>
      <c r="N443" s="3" t="str">
        <f>HYPERLINK("https://ceds.ed.gov/elementComment.aspx?elementName=Course Section Exit Type &amp;elementID=5654", "Click here to submit comment")</f>
        <v>Click here to submit comment</v>
      </c>
    </row>
    <row r="444" spans="1:14" ht="45">
      <c r="A444" s="3" t="s">
        <v>1999</v>
      </c>
      <c r="B444" s="3" t="s">
        <v>2000</v>
      </c>
      <c r="C444" s="3" t="s">
        <v>13</v>
      </c>
      <c r="D444" s="3" t="s">
        <v>1973</v>
      </c>
      <c r="E444" s="3" t="s">
        <v>1990</v>
      </c>
      <c r="F444" s="3" t="s">
        <v>66</v>
      </c>
      <c r="G444" s="3" t="s">
        <v>73</v>
      </c>
      <c r="H444" s="3" t="s">
        <v>2001</v>
      </c>
      <c r="I444" s="3"/>
      <c r="J444" s="3" t="s">
        <v>2002</v>
      </c>
      <c r="K444" s="3"/>
      <c r="L444" s="3" t="s">
        <v>2003</v>
      </c>
      <c r="M444" s="3" t="str">
        <f>HYPERLINK("https://ceds.ed.gov/cedselementdetails.aspx?termid=5653")</f>
        <v>https://ceds.ed.gov/cedselementdetails.aspx?termid=5653</v>
      </c>
      <c r="N444" s="3" t="str">
        <f>HYPERLINK("https://ceds.ed.gov/elementComment.aspx?elementName=Course Section Exit Withdrawal Date &amp;elementID=5653", "Click here to submit comment")</f>
        <v>Click here to submit comment</v>
      </c>
    </row>
    <row r="445" spans="1:14" ht="75">
      <c r="A445" s="3" t="s">
        <v>2004</v>
      </c>
      <c r="B445" s="3" t="s">
        <v>2005</v>
      </c>
      <c r="C445" s="3" t="s">
        <v>13</v>
      </c>
      <c r="D445" s="3" t="s">
        <v>6098</v>
      </c>
      <c r="E445" s="3"/>
      <c r="F445" s="3" t="s">
        <v>66</v>
      </c>
      <c r="G445" s="3" t="s">
        <v>100</v>
      </c>
      <c r="H445" s="3" t="s">
        <v>2006</v>
      </c>
      <c r="I445" s="3"/>
      <c r="J445" s="3" t="s">
        <v>2007</v>
      </c>
      <c r="K445" s="3"/>
      <c r="L445" s="3" t="s">
        <v>2008</v>
      </c>
      <c r="M445" s="3" t="str">
        <f>HYPERLINK("https://ceds.ed.gov/cedselementdetails.aspx?termid=5979")</f>
        <v>https://ceds.ed.gov/cedselementdetails.aspx?termid=5979</v>
      </c>
      <c r="N445" s="3" t="str">
        <f>HYPERLINK("https://ceds.ed.gov/elementComment.aspx?elementName=Course Section Identifier &amp;elementID=5979", "Click here to submit comment")</f>
        <v>Click here to submit comment</v>
      </c>
    </row>
    <row r="446" spans="1:14" ht="150">
      <c r="A446" s="3" t="s">
        <v>2009</v>
      </c>
      <c r="B446" s="3" t="s">
        <v>2010</v>
      </c>
      <c r="C446" s="4" t="s">
        <v>6448</v>
      </c>
      <c r="D446" s="3" t="s">
        <v>6098</v>
      </c>
      <c r="E446" s="3"/>
      <c r="F446" s="3" t="s">
        <v>66</v>
      </c>
      <c r="G446" s="3"/>
      <c r="H446" s="3" t="s">
        <v>2011</v>
      </c>
      <c r="I446" s="3"/>
      <c r="J446" s="3" t="s">
        <v>2012</v>
      </c>
      <c r="K446" s="3"/>
      <c r="L446" s="3" t="s">
        <v>2013</v>
      </c>
      <c r="M446" s="3" t="str">
        <f>HYPERLINK("https://ceds.ed.gov/cedselementdetails.aspx?termid=6168")</f>
        <v>https://ceds.ed.gov/cedselementdetails.aspx?termid=6168</v>
      </c>
      <c r="N446" s="3" t="str">
        <f>HYPERLINK("https://ceds.ed.gov/elementComment.aspx?elementName=Course Section Instructional Delivery Mode &amp;elementID=6168", "Click here to submit comment")</f>
        <v>Click here to submit comment</v>
      </c>
    </row>
    <row r="447" spans="1:14" ht="75">
      <c r="A447" s="3" t="s">
        <v>2014</v>
      </c>
      <c r="B447" s="3" t="s">
        <v>2015</v>
      </c>
      <c r="C447" s="3" t="s">
        <v>13</v>
      </c>
      <c r="D447" s="3" t="s">
        <v>1831</v>
      </c>
      <c r="E447" s="3"/>
      <c r="F447" s="3" t="s">
        <v>54</v>
      </c>
      <c r="G447" s="3" t="s">
        <v>100</v>
      </c>
      <c r="H447" s="3"/>
      <c r="I447" s="3"/>
      <c r="J447" s="3" t="s">
        <v>2016</v>
      </c>
      <c r="K447" s="3"/>
      <c r="L447" s="3" t="s">
        <v>2017</v>
      </c>
      <c r="M447" s="3" t="str">
        <f>HYPERLINK("https://ceds.ed.gov/cedselementdetails.aspx?termid=6281")</f>
        <v>https://ceds.ed.gov/cedselementdetails.aspx?termid=6281</v>
      </c>
      <c r="N447" s="3" t="str">
        <f>HYPERLINK("https://ceds.ed.gov/elementComment.aspx?elementName=Course Section Number &amp;elementID=6281", "Click here to submit comment")</f>
        <v>Click here to submit comment</v>
      </c>
    </row>
    <row r="448" spans="1:14" ht="60">
      <c r="A448" s="3" t="s">
        <v>2018</v>
      </c>
      <c r="B448" s="3" t="s">
        <v>2019</v>
      </c>
      <c r="C448" s="4" t="s">
        <v>6449</v>
      </c>
      <c r="D448" s="3" t="s">
        <v>6098</v>
      </c>
      <c r="E448" s="3" t="s">
        <v>6123</v>
      </c>
      <c r="F448" s="3" t="s">
        <v>66</v>
      </c>
      <c r="G448" s="3"/>
      <c r="H448" s="3" t="s">
        <v>2020</v>
      </c>
      <c r="I448" s="3"/>
      <c r="J448" s="3" t="s">
        <v>2021</v>
      </c>
      <c r="K448" s="3"/>
      <c r="L448" s="3" t="s">
        <v>2022</v>
      </c>
      <c r="M448" s="3" t="str">
        <f>HYPERLINK("https://ceds.ed.gov/cedselementdetails.aspx?termid=5258")</f>
        <v>https://ceds.ed.gov/cedselementdetails.aspx?termid=5258</v>
      </c>
      <c r="N448" s="3" t="str">
        <f>HYPERLINK("https://ceds.ed.gov/elementComment.aspx?elementName=Course Section Single Sex Class Status &amp;elementID=5258", "Click here to submit comment")</f>
        <v>Click here to submit comment</v>
      </c>
    </row>
    <row r="449" spans="1:14" ht="165">
      <c r="A449" s="3" t="s">
        <v>2023</v>
      </c>
      <c r="B449" s="3" t="s">
        <v>2024</v>
      </c>
      <c r="C449" s="3" t="s">
        <v>13</v>
      </c>
      <c r="D449" s="3" t="s">
        <v>6098</v>
      </c>
      <c r="E449" s="3" t="s">
        <v>2025</v>
      </c>
      <c r="F449" s="3" t="s">
        <v>66</v>
      </c>
      <c r="G449" s="3" t="s">
        <v>308</v>
      </c>
      <c r="H449" s="3" t="s">
        <v>2026</v>
      </c>
      <c r="I449" s="3"/>
      <c r="J449" s="3" t="s">
        <v>2027</v>
      </c>
      <c r="K449" s="3"/>
      <c r="L449" s="3" t="s">
        <v>2028</v>
      </c>
      <c r="M449" s="3" t="str">
        <f>HYPERLINK("https://ceds.ed.gov/cedselementdetails.aspx?termid=5101")</f>
        <v>https://ceds.ed.gov/cedselementdetails.aspx?termid=5101</v>
      </c>
      <c r="N449" s="3" t="str">
        <f>HYPERLINK("https://ceds.ed.gov/elementComment.aspx?elementName=Course Section Time Required For Completion &amp;elementID=5101", "Click here to submit comment")</f>
        <v>Click here to submit comment</v>
      </c>
    </row>
    <row r="450" spans="1:14" ht="60">
      <c r="A450" s="3" t="s">
        <v>2029</v>
      </c>
      <c r="B450" s="3" t="s">
        <v>2030</v>
      </c>
      <c r="C450" s="3" t="s">
        <v>13</v>
      </c>
      <c r="D450" s="3" t="s">
        <v>314</v>
      </c>
      <c r="E450" s="3" t="s">
        <v>24</v>
      </c>
      <c r="F450" s="3"/>
      <c r="G450" s="3" t="s">
        <v>2031</v>
      </c>
      <c r="H450" s="3"/>
      <c r="I450" s="3"/>
      <c r="J450" s="3" t="s">
        <v>2032</v>
      </c>
      <c r="K450" s="3"/>
      <c r="L450" s="3" t="s">
        <v>2033</v>
      </c>
      <c r="M450" s="3" t="str">
        <f>HYPERLINK("https://ceds.ed.gov/cedselementdetails.aspx?termid=5066")</f>
        <v>https://ceds.ed.gov/cedselementdetails.aspx?termid=5066</v>
      </c>
      <c r="N450" s="3" t="str">
        <f>HYPERLINK("https://ceds.ed.gov/elementComment.aspx?elementName=Course Subject Abbreviation &amp;elementID=5066", "Click here to submit comment")</f>
        <v>Click here to submit comment</v>
      </c>
    </row>
    <row r="451" spans="1:14" ht="225">
      <c r="A451" s="3" t="s">
        <v>2034</v>
      </c>
      <c r="B451" s="3" t="s">
        <v>2035</v>
      </c>
      <c r="C451" s="3" t="s">
        <v>13</v>
      </c>
      <c r="D451" s="3" t="s">
        <v>6111</v>
      </c>
      <c r="E451" s="3" t="s">
        <v>6078</v>
      </c>
      <c r="F451" s="3"/>
      <c r="G451" s="3" t="s">
        <v>106</v>
      </c>
      <c r="H451" s="3"/>
      <c r="I451" s="3"/>
      <c r="J451" s="3" t="s">
        <v>2036</v>
      </c>
      <c r="K451" s="3"/>
      <c r="L451" s="3" t="s">
        <v>2037</v>
      </c>
      <c r="M451" s="3" t="str">
        <f>HYPERLINK("https://ceds.ed.gov/cedselementdetails.aspx?termid=5067")</f>
        <v>https://ceds.ed.gov/cedselementdetails.aspx?termid=5067</v>
      </c>
      <c r="N451" s="3" t="str">
        <f>HYPERLINK("https://ceds.ed.gov/elementComment.aspx?elementName=Course Title &amp;elementID=5067", "Click here to submit comment")</f>
        <v>Click here to submit comment</v>
      </c>
    </row>
    <row r="452" spans="1:14" ht="45">
      <c r="A452" s="3" t="s">
        <v>2038</v>
      </c>
      <c r="B452" s="3" t="s">
        <v>2039</v>
      </c>
      <c r="C452" s="3" t="s">
        <v>13</v>
      </c>
      <c r="D452" s="3" t="s">
        <v>14</v>
      </c>
      <c r="E452" s="3"/>
      <c r="F452" s="3" t="s">
        <v>54</v>
      </c>
      <c r="G452" s="3" t="s">
        <v>575</v>
      </c>
      <c r="H452" s="3"/>
      <c r="I452" s="3"/>
      <c r="J452" s="3" t="s">
        <v>2040</v>
      </c>
      <c r="K452" s="3"/>
      <c r="L452" s="3" t="s">
        <v>2041</v>
      </c>
      <c r="M452" s="3" t="str">
        <f>HYPERLINK("https://ceds.ed.gov/cedselementdetails.aspx?termid=6282")</f>
        <v>https://ceds.ed.gov/cedselementdetails.aspx?termid=6282</v>
      </c>
      <c r="N452" s="3" t="str">
        <f>HYPERLINK("https://ceds.ed.gov/elementComment.aspx?elementName=Course Total &amp;elementID=6282", "Click here to submit comment")</f>
        <v>Click here to submit comment</v>
      </c>
    </row>
    <row r="453" spans="1:14" ht="45">
      <c r="A453" s="3" t="s">
        <v>2042</v>
      </c>
      <c r="B453" s="3" t="s">
        <v>2043</v>
      </c>
      <c r="C453" s="3" t="s">
        <v>13</v>
      </c>
      <c r="D453" s="3" t="s">
        <v>6124</v>
      </c>
      <c r="E453" s="3" t="s">
        <v>202</v>
      </c>
      <c r="F453" s="3"/>
      <c r="G453" s="3" t="s">
        <v>73</v>
      </c>
      <c r="H453" s="3"/>
      <c r="I453" s="3"/>
      <c r="J453" s="3" t="s">
        <v>2044</v>
      </c>
      <c r="K453" s="3"/>
      <c r="L453" s="3" t="s">
        <v>2045</v>
      </c>
      <c r="M453" s="3" t="str">
        <f>HYPERLINK("https://ceds.ed.gov/cedselementdetails.aspx?termid=5069")</f>
        <v>https://ceds.ed.gov/cedselementdetails.aspx?termid=5069</v>
      </c>
      <c r="N453" s="3" t="str">
        <f>HYPERLINK("https://ceds.ed.gov/elementComment.aspx?elementName=Credential Expiration Date &amp;elementID=5069", "Click here to submit comment")</f>
        <v>Click here to submit comment</v>
      </c>
    </row>
    <row r="454" spans="1:14" ht="45">
      <c r="A454" s="3" t="s">
        <v>2046</v>
      </c>
      <c r="B454" s="3" t="s">
        <v>2047</v>
      </c>
      <c r="C454" s="3" t="s">
        <v>13</v>
      </c>
      <c r="D454" s="3" t="s">
        <v>6124</v>
      </c>
      <c r="E454" s="3" t="s">
        <v>202</v>
      </c>
      <c r="F454" s="3"/>
      <c r="G454" s="3" t="s">
        <v>73</v>
      </c>
      <c r="H454" s="3"/>
      <c r="I454" s="3"/>
      <c r="J454" s="3" t="s">
        <v>2048</v>
      </c>
      <c r="K454" s="3"/>
      <c r="L454" s="3" t="s">
        <v>2049</v>
      </c>
      <c r="M454" s="3" t="str">
        <f>HYPERLINK("https://ceds.ed.gov/cedselementdetails.aspx?termid=5070")</f>
        <v>https://ceds.ed.gov/cedselementdetails.aspx?termid=5070</v>
      </c>
      <c r="N454" s="3" t="str">
        <f>HYPERLINK("https://ceds.ed.gov/elementComment.aspx?elementName=Credential Issuance Date &amp;elementID=5070", "Click here to submit comment")</f>
        <v>Click here to submit comment</v>
      </c>
    </row>
    <row r="455" spans="1:14" ht="105">
      <c r="A455" s="3" t="s">
        <v>2050</v>
      </c>
      <c r="B455" s="3" t="s">
        <v>2051</v>
      </c>
      <c r="C455" s="3" t="s">
        <v>6125</v>
      </c>
      <c r="D455" s="3" t="s">
        <v>6126</v>
      </c>
      <c r="E455" s="3"/>
      <c r="F455" s="3" t="s">
        <v>3</v>
      </c>
      <c r="G455" s="3"/>
      <c r="H455" s="3"/>
      <c r="I455" s="3"/>
      <c r="J455" s="3" t="s">
        <v>2052</v>
      </c>
      <c r="K455" s="3"/>
      <c r="L455" s="3" t="s">
        <v>2053</v>
      </c>
      <c r="M455" s="3" t="str">
        <f>HYPERLINK("https://ceds.ed.gov/cedselementdetails.aspx?termid=5071")</f>
        <v>https://ceds.ed.gov/cedselementdetails.aspx?termid=5071</v>
      </c>
      <c r="N455" s="3" t="str">
        <f>HYPERLINK("https://ceds.ed.gov/elementComment.aspx?elementName=Credential Type &amp;elementID=5071", "Click here to submit comment")</f>
        <v>Click here to submit comment</v>
      </c>
    </row>
    <row r="456" spans="1:14" ht="270">
      <c r="A456" s="3" t="s">
        <v>2054</v>
      </c>
      <c r="B456" s="3" t="s">
        <v>2055</v>
      </c>
      <c r="C456" s="4" t="s">
        <v>6450</v>
      </c>
      <c r="D456" s="3" t="s">
        <v>14</v>
      </c>
      <c r="E456" s="3"/>
      <c r="F456" s="3" t="s">
        <v>54</v>
      </c>
      <c r="G456" s="3"/>
      <c r="H456" s="3"/>
      <c r="I456" s="3"/>
      <c r="J456" s="3" t="s">
        <v>2056</v>
      </c>
      <c r="K456" s="3"/>
      <c r="L456" s="3" t="s">
        <v>2057</v>
      </c>
      <c r="M456" s="3" t="str">
        <f>HYPERLINK("https://ceds.ed.gov/cedselementdetails.aspx?termid=6283")</f>
        <v>https://ceds.ed.gov/cedselementdetails.aspx?termid=6283</v>
      </c>
      <c r="N456" s="3" t="str">
        <f>HYPERLINK("https://ceds.ed.gov/elementComment.aspx?elementName=Credit Hours Applied Other Program &amp;elementID=6283", "Click here to submit comment")</f>
        <v>Click here to submit comment</v>
      </c>
    </row>
    <row r="457" spans="1:14" ht="285">
      <c r="A457" s="3" t="s">
        <v>2058</v>
      </c>
      <c r="B457" s="3" t="s">
        <v>2059</v>
      </c>
      <c r="C457" s="4" t="s">
        <v>6451</v>
      </c>
      <c r="D457" s="3" t="s">
        <v>6127</v>
      </c>
      <c r="E457" s="3" t="s">
        <v>5968</v>
      </c>
      <c r="F457" s="3"/>
      <c r="G457" s="3"/>
      <c r="H457" s="3"/>
      <c r="I457" s="3"/>
      <c r="J457" s="3" t="s">
        <v>2060</v>
      </c>
      <c r="K457" s="3"/>
      <c r="L457" s="3" t="s">
        <v>2061</v>
      </c>
      <c r="M457" s="3" t="str">
        <f>HYPERLINK("https://ceds.ed.gov/cedselementdetails.aspx?termid=5072")</f>
        <v>https://ceds.ed.gov/cedselementdetails.aspx?termid=5072</v>
      </c>
      <c r="N457" s="3" t="str">
        <f>HYPERLINK("https://ceds.ed.gov/elementComment.aspx?elementName=Credit Type Earned &amp;elementID=5072", "Click here to submit comment")</f>
        <v>Click here to submit comment</v>
      </c>
    </row>
    <row r="458" spans="1:14" ht="105">
      <c r="A458" s="3" t="s">
        <v>2062</v>
      </c>
      <c r="B458" s="3" t="s">
        <v>2063</v>
      </c>
      <c r="C458" s="3" t="s">
        <v>13</v>
      </c>
      <c r="D458" s="3" t="s">
        <v>30</v>
      </c>
      <c r="E458" s="3" t="s">
        <v>5968</v>
      </c>
      <c r="F458" s="3"/>
      <c r="G458" s="3" t="s">
        <v>1461</v>
      </c>
      <c r="H458" s="3"/>
      <c r="I458" s="3"/>
      <c r="J458" s="3" t="s">
        <v>2064</v>
      </c>
      <c r="K458" s="3"/>
      <c r="L458" s="3" t="s">
        <v>2065</v>
      </c>
      <c r="M458" s="3" t="str">
        <f>HYPERLINK("https://ceds.ed.gov/cedselementdetails.aspx?termid=5073")</f>
        <v>https://ceds.ed.gov/cedselementdetails.aspx?termid=5073</v>
      </c>
      <c r="N458" s="3" t="str">
        <f>HYPERLINK("https://ceds.ed.gov/elementComment.aspx?elementName=Credits Attempted Cumulative &amp;elementID=5073", "Click here to submit comment")</f>
        <v>Click here to submit comment</v>
      </c>
    </row>
    <row r="459" spans="1:14" ht="105">
      <c r="A459" s="3" t="s">
        <v>2066</v>
      </c>
      <c r="B459" s="3" t="s">
        <v>2067</v>
      </c>
      <c r="C459" s="3" t="s">
        <v>13</v>
      </c>
      <c r="D459" s="3" t="s">
        <v>30</v>
      </c>
      <c r="E459" s="3" t="s">
        <v>5968</v>
      </c>
      <c r="F459" s="3"/>
      <c r="G459" s="3" t="s">
        <v>1461</v>
      </c>
      <c r="H459" s="3"/>
      <c r="I459" s="3"/>
      <c r="J459" s="3" t="s">
        <v>2068</v>
      </c>
      <c r="K459" s="3"/>
      <c r="L459" s="3" t="s">
        <v>2069</v>
      </c>
      <c r="M459" s="3" t="str">
        <f>HYPERLINK("https://ceds.ed.gov/cedselementdetails.aspx?termid=5074")</f>
        <v>https://ceds.ed.gov/cedselementdetails.aspx?termid=5074</v>
      </c>
      <c r="N459" s="3" t="str">
        <f>HYPERLINK("https://ceds.ed.gov/elementComment.aspx?elementName=Credits Earned Cumulative &amp;elementID=5074", "Click here to submit comment")</f>
        <v>Click here to submit comment</v>
      </c>
    </row>
    <row r="460" spans="1:14" ht="195">
      <c r="A460" s="3" t="s">
        <v>2070</v>
      </c>
      <c r="B460" s="3" t="s">
        <v>2071</v>
      </c>
      <c r="C460" s="3" t="s">
        <v>13</v>
      </c>
      <c r="D460" s="3" t="s">
        <v>2072</v>
      </c>
      <c r="E460" s="3"/>
      <c r="F460" s="3"/>
      <c r="G460" s="3" t="s">
        <v>100</v>
      </c>
      <c r="H460" s="3"/>
      <c r="I460" s="3"/>
      <c r="J460" s="3" t="s">
        <v>2073</v>
      </c>
      <c r="K460" s="3"/>
      <c r="L460" s="3" t="s">
        <v>2074</v>
      </c>
      <c r="M460" s="3" t="str">
        <f>HYPERLINK("https://ceds.ed.gov/cedselementdetails.aspx?termid=5604")</f>
        <v>https://ceds.ed.gov/cedselementdetails.aspx?termid=5604</v>
      </c>
      <c r="N460" s="3" t="str">
        <f>HYPERLINK("https://ceds.ed.gov/elementComment.aspx?elementName=Crisis Code &amp;elementID=5604", "Click here to submit comment")</f>
        <v>Click here to submit comment</v>
      </c>
    </row>
    <row r="461" spans="1:14" ht="30">
      <c r="A461" s="3" t="s">
        <v>2075</v>
      </c>
      <c r="B461" s="3" t="s">
        <v>2076</v>
      </c>
      <c r="C461" s="3" t="s">
        <v>13</v>
      </c>
      <c r="D461" s="3" t="s">
        <v>2072</v>
      </c>
      <c r="E461" s="3"/>
      <c r="F461" s="3"/>
      <c r="G461" s="3" t="s">
        <v>1249</v>
      </c>
      <c r="H461" s="3"/>
      <c r="I461" s="3"/>
      <c r="J461" s="3" t="s">
        <v>2077</v>
      </c>
      <c r="K461" s="3"/>
      <c r="L461" s="3" t="s">
        <v>2078</v>
      </c>
      <c r="M461" s="3" t="str">
        <f>HYPERLINK("https://ceds.ed.gov/cedselementdetails.aspx?termid=5605")</f>
        <v>https://ceds.ed.gov/cedselementdetails.aspx?termid=5605</v>
      </c>
      <c r="N461" s="3" t="str">
        <f>HYPERLINK("https://ceds.ed.gov/elementComment.aspx?elementName=Crisis Name &amp;elementID=5605", "Click here to submit comment")</f>
        <v>Click here to submit comment</v>
      </c>
    </row>
    <row r="462" spans="1:14" ht="75">
      <c r="A462" s="3" t="s">
        <v>2079</v>
      </c>
      <c r="B462" s="3" t="s">
        <v>2080</v>
      </c>
      <c r="C462" s="3" t="s">
        <v>13</v>
      </c>
      <c r="D462" s="3" t="s">
        <v>2072</v>
      </c>
      <c r="E462" s="3"/>
      <c r="F462" s="3"/>
      <c r="G462" s="3" t="s">
        <v>73</v>
      </c>
      <c r="H462" s="3"/>
      <c r="I462" s="3"/>
      <c r="J462" s="3" t="s">
        <v>2081</v>
      </c>
      <c r="K462" s="3"/>
      <c r="L462" s="3" t="s">
        <v>2082</v>
      </c>
      <c r="M462" s="3" t="str">
        <f>HYPERLINK("https://ceds.ed.gov/cedselementdetails.aspx?termid=5607")</f>
        <v>https://ceds.ed.gov/cedselementdetails.aspx?termid=5607</v>
      </c>
      <c r="N462" s="3" t="str">
        <f>HYPERLINK("https://ceds.ed.gov/elementComment.aspx?elementName=Crisis Start Date &amp;elementID=5607", "Click here to submit comment")</f>
        <v>Click here to submit comment</v>
      </c>
    </row>
    <row r="463" spans="1:14" ht="45">
      <c r="A463" s="3" t="s">
        <v>2083</v>
      </c>
      <c r="B463" s="3" t="s">
        <v>2084</v>
      </c>
      <c r="C463" s="3" t="s">
        <v>13</v>
      </c>
      <c r="D463" s="3" t="s">
        <v>2072</v>
      </c>
      <c r="E463" s="3"/>
      <c r="F463" s="3"/>
      <c r="G463" s="3" t="s">
        <v>1249</v>
      </c>
      <c r="H463" s="3"/>
      <c r="I463" s="3"/>
      <c r="J463" s="3" t="s">
        <v>2085</v>
      </c>
      <c r="K463" s="3"/>
      <c r="L463" s="3" t="s">
        <v>2086</v>
      </c>
      <c r="M463" s="3" t="str">
        <f>HYPERLINK("https://ceds.ed.gov/cedselementdetails.aspx?termid=5606")</f>
        <v>https://ceds.ed.gov/cedselementdetails.aspx?termid=5606</v>
      </c>
      <c r="N463" s="3" t="str">
        <f>HYPERLINK("https://ceds.ed.gov/elementComment.aspx?elementName=Crisis Type &amp;elementID=5606", "Click here to submit comment")</f>
        <v>Click here to submit comment</v>
      </c>
    </row>
    <row r="464" spans="1:14" ht="60">
      <c r="A464" s="3" t="s">
        <v>2087</v>
      </c>
      <c r="B464" s="3" t="s">
        <v>2088</v>
      </c>
      <c r="C464" s="4" t="s">
        <v>6371</v>
      </c>
      <c r="D464" s="3" t="s">
        <v>343</v>
      </c>
      <c r="E464" s="3" t="s">
        <v>344</v>
      </c>
      <c r="F464" s="3"/>
      <c r="G464" s="3"/>
      <c r="H464" s="3"/>
      <c r="I464" s="3" t="s">
        <v>2089</v>
      </c>
      <c r="J464" s="3" t="s">
        <v>2090</v>
      </c>
      <c r="K464" s="3"/>
      <c r="L464" s="3" t="s">
        <v>2091</v>
      </c>
      <c r="M464" s="3" t="str">
        <f>HYPERLINK("https://ceds.ed.gov/cedselementdetails.aspx?termid=5753")</f>
        <v>https://ceds.ed.gov/cedselementdetails.aspx?termid=5753</v>
      </c>
      <c r="N464" s="3" t="str">
        <f>HYPERLINK("https://ceds.ed.gov/elementComment.aspx?elementName=Critical Teacher Shortage Area Candidate &amp;elementID=5753", "Click here to submit comment")</f>
        <v>Click here to submit comment</v>
      </c>
    </row>
    <row r="465" spans="1:14" ht="150">
      <c r="A465" s="3" t="s">
        <v>2092</v>
      </c>
      <c r="B465" s="3" t="s">
        <v>2093</v>
      </c>
      <c r="C465" s="4" t="s">
        <v>6452</v>
      </c>
      <c r="D465" s="3" t="s">
        <v>6105</v>
      </c>
      <c r="E465" s="3"/>
      <c r="F465" s="3"/>
      <c r="G465" s="3"/>
      <c r="H465" s="3"/>
      <c r="I465" s="3"/>
      <c r="J465" s="3" t="s">
        <v>2094</v>
      </c>
      <c r="K465" s="3"/>
      <c r="L465" s="3" t="s">
        <v>2095</v>
      </c>
      <c r="M465" s="3" t="str">
        <f>HYPERLINK("https://ceds.ed.gov/cedselementdetails.aspx?termid=5688")</f>
        <v>https://ceds.ed.gov/cedselementdetails.aspx?termid=5688</v>
      </c>
      <c r="N465" s="3" t="str">
        <f>HYPERLINK("https://ceds.ed.gov/elementComment.aspx?elementName=Curriculum Framework Type &amp;elementID=5688", "Click here to submit comment")</f>
        <v>Click here to submit comment</v>
      </c>
    </row>
    <row r="466" spans="1:14" ht="165">
      <c r="A466" s="3" t="s">
        <v>2096</v>
      </c>
      <c r="B466" s="3" t="s">
        <v>2097</v>
      </c>
      <c r="C466" s="4" t="s">
        <v>6453</v>
      </c>
      <c r="D466" s="3" t="s">
        <v>2098</v>
      </c>
      <c r="E466" s="3" t="s">
        <v>5988</v>
      </c>
      <c r="F466" s="3"/>
      <c r="G466" s="3"/>
      <c r="H466" s="3"/>
      <c r="I466" s="3"/>
      <c r="J466" s="3" t="s">
        <v>2099</v>
      </c>
      <c r="K466" s="3"/>
      <c r="L466" s="3" t="s">
        <v>2100</v>
      </c>
      <c r="M466" s="3" t="str">
        <f>HYPERLINK("https://ceds.ed.gov/cedselementdetails.aspx?termid=5328")</f>
        <v>https://ceds.ed.gov/cedselementdetails.aspx?termid=5328</v>
      </c>
      <c r="N466" s="3" t="str">
        <f>HYPERLINK("https://ceds.ed.gov/elementComment.aspx?elementName=Custodial Parent or Guardian Indicator &amp;elementID=5328", "Click here to submit comment")</f>
        <v>Click here to submit comment</v>
      </c>
    </row>
    <row r="467" spans="1:14" ht="45">
      <c r="A467" s="3" t="s">
        <v>2101</v>
      </c>
      <c r="B467" s="3" t="s">
        <v>2102</v>
      </c>
      <c r="C467" s="3" t="s">
        <v>13</v>
      </c>
      <c r="D467" s="3" t="s">
        <v>2103</v>
      </c>
      <c r="E467" s="3" t="s">
        <v>207</v>
      </c>
      <c r="F467" s="3"/>
      <c r="G467" s="3" t="s">
        <v>73</v>
      </c>
      <c r="H467" s="3"/>
      <c r="I467" s="3"/>
      <c r="J467" s="3" t="s">
        <v>2104</v>
      </c>
      <c r="K467" s="3"/>
      <c r="L467" s="3" t="s">
        <v>2105</v>
      </c>
      <c r="M467" s="3" t="str">
        <f>HYPERLINK("https://ceds.ed.gov/cedselementdetails.aspx?termid=5445")</f>
        <v>https://ceds.ed.gov/cedselementdetails.aspx?termid=5445</v>
      </c>
      <c r="N467" s="3" t="str">
        <f>HYPERLINK("https://ceds.ed.gov/elementComment.aspx?elementName=Date State Received Title III Allocation &amp;elementID=5445", "Click here to submit comment")</f>
        <v>Click here to submit comment</v>
      </c>
    </row>
    <row r="468" spans="1:14" ht="30">
      <c r="A468" s="3" t="s">
        <v>2106</v>
      </c>
      <c r="B468" s="3" t="s">
        <v>2107</v>
      </c>
      <c r="C468" s="3" t="s">
        <v>13</v>
      </c>
      <c r="D468" s="3" t="s">
        <v>2103</v>
      </c>
      <c r="E468" s="3" t="s">
        <v>207</v>
      </c>
      <c r="F468" s="3"/>
      <c r="G468" s="3" t="s">
        <v>73</v>
      </c>
      <c r="H468" s="3"/>
      <c r="I468" s="3"/>
      <c r="J468" s="3" t="s">
        <v>2108</v>
      </c>
      <c r="K468" s="3"/>
      <c r="L468" s="3" t="s">
        <v>2109</v>
      </c>
      <c r="M468" s="3" t="str">
        <f>HYPERLINK("https://ceds.ed.gov/cedselementdetails.aspx?termid=5446")</f>
        <v>https://ceds.ed.gov/cedselementdetails.aspx?termid=5446</v>
      </c>
      <c r="N468" s="3" t="str">
        <f>HYPERLINK("https://ceds.ed.gov/elementComment.aspx?elementName=Date Title III Funds Available to Subgrantees &amp;elementID=5446", "Click here to submit comment")</f>
        <v>Click here to submit comment</v>
      </c>
    </row>
    <row r="469" spans="1:14" ht="75">
      <c r="A469" s="3" t="s">
        <v>2110</v>
      </c>
      <c r="B469" s="3" t="s">
        <v>2111</v>
      </c>
      <c r="C469" s="3" t="s">
        <v>13</v>
      </c>
      <c r="D469" s="3" t="s">
        <v>6128</v>
      </c>
      <c r="E469" s="3" t="s">
        <v>6129</v>
      </c>
      <c r="F469" s="3"/>
      <c r="G469" s="3" t="s">
        <v>308</v>
      </c>
      <c r="H469" s="3"/>
      <c r="I469" s="3"/>
      <c r="J469" s="3" t="s">
        <v>2112</v>
      </c>
      <c r="K469" s="3"/>
      <c r="L469" s="3" t="s">
        <v>2113</v>
      </c>
      <c r="M469" s="3" t="str">
        <f>HYPERLINK("https://ceds.ed.gov/cedselementdetails.aspx?termid=5354")</f>
        <v>https://ceds.ed.gov/cedselementdetails.aspx?termid=5354</v>
      </c>
      <c r="N469" s="3" t="str">
        <f>HYPERLINK("https://ceds.ed.gov/elementComment.aspx?elementName=Days Available Per Week &amp;elementID=5354", "Click here to submit comment")</f>
        <v>Click here to submit comment</v>
      </c>
    </row>
    <row r="470" spans="1:14" ht="135">
      <c r="A470" s="3" t="s">
        <v>2114</v>
      </c>
      <c r="B470" s="3" t="s">
        <v>2115</v>
      </c>
      <c r="C470" s="3" t="s">
        <v>13</v>
      </c>
      <c r="D470" s="3" t="s">
        <v>2116</v>
      </c>
      <c r="E470" s="3"/>
      <c r="F470" s="3"/>
      <c r="G470" s="3" t="s">
        <v>308</v>
      </c>
      <c r="H470" s="3"/>
      <c r="I470" s="3"/>
      <c r="J470" s="3" t="s">
        <v>2117</v>
      </c>
      <c r="K470" s="3"/>
      <c r="L470" s="3" t="s">
        <v>2118</v>
      </c>
      <c r="M470" s="3" t="str">
        <f>HYPERLINK("https://ceds.ed.gov/cedselementdetails.aspx?termid=5487")</f>
        <v>https://ceds.ed.gov/cedselementdetails.aspx?termid=5487</v>
      </c>
      <c r="N470" s="3" t="str">
        <f>HYPERLINK("https://ceds.ed.gov/elementComment.aspx?elementName=Days In Session &amp;elementID=5487", "Click here to submit comment")</f>
        <v>Click here to submit comment</v>
      </c>
    </row>
    <row r="471" spans="1:14" ht="45">
      <c r="A471" s="3" t="s">
        <v>2119</v>
      </c>
      <c r="B471" s="3" t="s">
        <v>2120</v>
      </c>
      <c r="C471" s="3" t="s">
        <v>5963</v>
      </c>
      <c r="D471" s="3" t="s">
        <v>1825</v>
      </c>
      <c r="E471" s="3" t="s">
        <v>24</v>
      </c>
      <c r="F471" s="3"/>
      <c r="G471" s="3"/>
      <c r="H471" s="3"/>
      <c r="I471" s="3"/>
      <c r="J471" s="3" t="s">
        <v>2121</v>
      </c>
      <c r="K471" s="3"/>
      <c r="L471" s="3" t="s">
        <v>2122</v>
      </c>
      <c r="M471" s="3" t="str">
        <f>HYPERLINK("https://ceds.ed.gov/cedselementdetails.aspx?termid=5077")</f>
        <v>https://ceds.ed.gov/cedselementdetails.aspx?termid=5077</v>
      </c>
      <c r="N471" s="3" t="str">
        <f>HYPERLINK("https://ceds.ed.gov/elementComment.aspx?elementName=Degree Applicability &amp;elementID=5077", "Click here to submit comment")</f>
        <v>Click here to submit comment</v>
      </c>
    </row>
    <row r="472" spans="1:14" ht="60">
      <c r="A472" s="3" t="s">
        <v>2123</v>
      </c>
      <c r="B472" s="3" t="s">
        <v>2124</v>
      </c>
      <c r="C472" s="3" t="s">
        <v>13</v>
      </c>
      <c r="D472" s="3" t="s">
        <v>6130</v>
      </c>
      <c r="E472" s="3" t="s">
        <v>6131</v>
      </c>
      <c r="F472" s="3"/>
      <c r="G472" s="3" t="s">
        <v>73</v>
      </c>
      <c r="H472" s="3"/>
      <c r="I472" s="3"/>
      <c r="J472" s="3" t="s">
        <v>2125</v>
      </c>
      <c r="K472" s="3"/>
      <c r="L472" s="3" t="s">
        <v>2126</v>
      </c>
      <c r="M472" s="3" t="str">
        <f>HYPERLINK("https://ceds.ed.gov/cedselementdetails.aspx?termid=5343")</f>
        <v>https://ceds.ed.gov/cedselementdetails.aspx?termid=5343</v>
      </c>
      <c r="N472" s="3" t="str">
        <f>HYPERLINK("https://ceds.ed.gov/elementComment.aspx?elementName=Degree or Certificate Conferring Date &amp;elementID=5343", "Click here to submit comment")</f>
        <v>Click here to submit comment</v>
      </c>
    </row>
    <row r="473" spans="1:14" ht="105">
      <c r="A473" s="3" t="s">
        <v>2127</v>
      </c>
      <c r="B473" s="3" t="s">
        <v>2128</v>
      </c>
      <c r="C473" s="3" t="s">
        <v>5963</v>
      </c>
      <c r="D473" s="3" t="s">
        <v>1708</v>
      </c>
      <c r="E473" s="3" t="s">
        <v>5967</v>
      </c>
      <c r="F473" s="3"/>
      <c r="G473" s="3"/>
      <c r="H473" s="3"/>
      <c r="I473" s="3"/>
      <c r="J473" s="3" t="s">
        <v>2129</v>
      </c>
      <c r="K473" s="3"/>
      <c r="L473" s="3" t="s">
        <v>2130</v>
      </c>
      <c r="M473" s="3" t="str">
        <f>HYPERLINK("https://ceds.ed.gov/cedselementdetails.aspx?termid=5078")</f>
        <v>https://ceds.ed.gov/cedselementdetails.aspx?termid=5078</v>
      </c>
      <c r="N473" s="3" t="str">
        <f>HYPERLINK("https://ceds.ed.gov/elementComment.aspx?elementName=Degree or Certificate Seeking Student &amp;elementID=5078", "Click here to submit comment")</f>
        <v>Click here to submit comment</v>
      </c>
    </row>
    <row r="474" spans="1:14" ht="60">
      <c r="A474" s="3" t="s">
        <v>2131</v>
      </c>
      <c r="B474" s="3" t="s">
        <v>2132</v>
      </c>
      <c r="C474" s="3" t="s">
        <v>13</v>
      </c>
      <c r="D474" s="3" t="s">
        <v>6130</v>
      </c>
      <c r="E474" s="3" t="s">
        <v>6131</v>
      </c>
      <c r="F474" s="3"/>
      <c r="G474" s="3" t="s">
        <v>1249</v>
      </c>
      <c r="H474" s="3"/>
      <c r="I474" s="3"/>
      <c r="J474" s="3" t="s">
        <v>2133</v>
      </c>
      <c r="K474" s="3"/>
      <c r="L474" s="3" t="s">
        <v>2134</v>
      </c>
      <c r="M474" s="3" t="str">
        <f>HYPERLINK("https://ceds.ed.gov/cedselementdetails.aspx?termid=5341")</f>
        <v>https://ceds.ed.gov/cedselementdetails.aspx?termid=5341</v>
      </c>
      <c r="N474" s="3" t="str">
        <f>HYPERLINK("https://ceds.ed.gov/elementComment.aspx?elementName=Degree or Certificate Title or Subject &amp;elementID=5341", "Click here to submit comment")</f>
        <v>Click here to submit comment</v>
      </c>
    </row>
    <row r="475" spans="1:14" ht="405">
      <c r="A475" s="3" t="s">
        <v>2135</v>
      </c>
      <c r="B475" s="3" t="s">
        <v>2136</v>
      </c>
      <c r="C475" s="4" t="s">
        <v>6454</v>
      </c>
      <c r="D475" s="3" t="s">
        <v>6130</v>
      </c>
      <c r="E475" s="3" t="s">
        <v>6131</v>
      </c>
      <c r="F475" s="3"/>
      <c r="G475" s="3"/>
      <c r="H475" s="3"/>
      <c r="I475" s="3"/>
      <c r="J475" s="3" t="s">
        <v>2137</v>
      </c>
      <c r="K475" s="3"/>
      <c r="L475" s="3" t="s">
        <v>2138</v>
      </c>
      <c r="M475" s="3" t="str">
        <f>HYPERLINK("https://ceds.ed.gov/cedselementdetails.aspx?termid=5342")</f>
        <v>https://ceds.ed.gov/cedselementdetails.aspx?termid=5342</v>
      </c>
      <c r="N475" s="3" t="str">
        <f>HYPERLINK("https://ceds.ed.gov/elementComment.aspx?elementName=Degree or Certificate Type &amp;elementID=5342", "Click here to submit comment")</f>
        <v>Click here to submit comment</v>
      </c>
    </row>
    <row r="476" spans="1:14" ht="75">
      <c r="A476" s="3" t="s">
        <v>2139</v>
      </c>
      <c r="B476" s="3" t="s">
        <v>2140</v>
      </c>
      <c r="C476" s="3" t="s">
        <v>5963</v>
      </c>
      <c r="D476" s="3" t="s">
        <v>1675</v>
      </c>
      <c r="E476" s="3"/>
      <c r="F476" s="3"/>
      <c r="G476" s="3"/>
      <c r="H476" s="3"/>
      <c r="I476" s="3" t="s">
        <v>2141</v>
      </c>
      <c r="J476" s="3" t="s">
        <v>2142</v>
      </c>
      <c r="K476" s="3"/>
      <c r="L476" s="3" t="s">
        <v>2143</v>
      </c>
      <c r="M476" s="3" t="str">
        <f>HYPERLINK("https://ceds.ed.gov/cedselementdetails.aspx?termid=5974")</f>
        <v>https://ceds.ed.gov/cedselementdetails.aspx?termid=5974</v>
      </c>
      <c r="N476" s="3" t="str">
        <f>HYPERLINK("https://ceds.ed.gov/elementComment.aspx?elementName=Demographic Race Two or More Races &amp;elementID=5974", "Click here to submit comment")</f>
        <v>Click here to submit comment</v>
      </c>
    </row>
    <row r="477" spans="1:14" ht="210">
      <c r="A477" s="3" t="s">
        <v>2144</v>
      </c>
      <c r="B477" s="3" t="s">
        <v>2145</v>
      </c>
      <c r="C477" s="4" t="s">
        <v>6455</v>
      </c>
      <c r="D477" s="3" t="s">
        <v>2146</v>
      </c>
      <c r="E477" s="3" t="s">
        <v>2147</v>
      </c>
      <c r="F477" s="3" t="s">
        <v>66</v>
      </c>
      <c r="G477" s="3"/>
      <c r="H477" s="3" t="s">
        <v>2148</v>
      </c>
      <c r="I477" s="3"/>
      <c r="J477" s="3" t="s">
        <v>2149</v>
      </c>
      <c r="K477" s="3"/>
      <c r="L477" s="3" t="s">
        <v>2150</v>
      </c>
      <c r="M477" s="3" t="str">
        <f>HYPERLINK("https://ceds.ed.gov/cedselementdetails.aspx?termid=5335")</f>
        <v>https://ceds.ed.gov/cedselementdetails.aspx?termid=5335</v>
      </c>
      <c r="N477" s="3" t="str">
        <f>HYPERLINK("https://ceds.ed.gov/elementComment.aspx?elementName=Dental Insurance Coverage Type &amp;elementID=5335", "Click here to submit comment")</f>
        <v>Click here to submit comment</v>
      </c>
    </row>
    <row r="478" spans="1:14" ht="30">
      <c r="A478" s="3" t="s">
        <v>2151</v>
      </c>
      <c r="B478" s="3" t="s">
        <v>2152</v>
      </c>
      <c r="C478" s="3" t="s">
        <v>13</v>
      </c>
      <c r="D478" s="3" t="s">
        <v>2153</v>
      </c>
      <c r="E478" s="3"/>
      <c r="F478" s="3"/>
      <c r="G478" s="3" t="s">
        <v>73</v>
      </c>
      <c r="H478" s="3"/>
      <c r="I478" s="3"/>
      <c r="J478" s="3" t="s">
        <v>2154</v>
      </c>
      <c r="K478" s="3"/>
      <c r="L478" s="3" t="s">
        <v>2155</v>
      </c>
      <c r="M478" s="3" t="str">
        <f>HYPERLINK("https://ceds.ed.gov/cedselementdetails.aspx?termid=5682")</f>
        <v>https://ceds.ed.gov/cedselementdetails.aspx?termid=5682</v>
      </c>
      <c r="N478" s="3" t="str">
        <f>HYPERLINK("https://ceds.ed.gov/elementComment.aspx?elementName=Dental Screening Date &amp;elementID=5682", "Click here to submit comment")</f>
        <v>Click here to submit comment</v>
      </c>
    </row>
    <row r="479" spans="1:14" ht="135">
      <c r="A479" s="3" t="s">
        <v>2156</v>
      </c>
      <c r="B479" s="3" t="s">
        <v>2157</v>
      </c>
      <c r="C479" s="4" t="s">
        <v>6456</v>
      </c>
      <c r="D479" s="3" t="s">
        <v>2153</v>
      </c>
      <c r="E479" s="3" t="s">
        <v>2158</v>
      </c>
      <c r="F479" s="3"/>
      <c r="G479" s="3"/>
      <c r="H479" s="3"/>
      <c r="I479" s="3"/>
      <c r="J479" s="3" t="s">
        <v>2159</v>
      </c>
      <c r="K479" s="3"/>
      <c r="L479" s="3" t="s">
        <v>2160</v>
      </c>
      <c r="M479" s="3" t="str">
        <f>HYPERLINK("https://ceds.ed.gov/cedselementdetails.aspx?termid=5310")</f>
        <v>https://ceds.ed.gov/cedselementdetails.aspx?termid=5310</v>
      </c>
      <c r="N479" s="3" t="str">
        <f>HYPERLINK("https://ceds.ed.gov/elementComment.aspx?elementName=Dental Screening Status &amp;elementID=5310", "Click here to submit comment")</f>
        <v>Click here to submit comment</v>
      </c>
    </row>
    <row r="480" spans="1:14" ht="60">
      <c r="A480" s="3" t="s">
        <v>2161</v>
      </c>
      <c r="B480" s="3" t="s">
        <v>2162</v>
      </c>
      <c r="C480" s="3" t="s">
        <v>6132</v>
      </c>
      <c r="D480" s="3" t="s">
        <v>1536</v>
      </c>
      <c r="E480" s="3" t="s">
        <v>6133</v>
      </c>
      <c r="F480" s="3"/>
      <c r="G480" s="3"/>
      <c r="H480" s="3"/>
      <c r="I480" s="3"/>
      <c r="J480" s="3" t="s">
        <v>2163</v>
      </c>
      <c r="K480" s="3"/>
      <c r="L480" s="3" t="s">
        <v>2164</v>
      </c>
      <c r="M480" s="3" t="str">
        <f>HYPERLINK("https://ceds.ed.gov/cedselementdetails.aspx?termid=5079")</f>
        <v>https://ceds.ed.gov/cedselementdetails.aspx?termid=5079</v>
      </c>
      <c r="N480" s="3" t="str">
        <f>HYPERLINK("https://ceds.ed.gov/elementComment.aspx?elementName=Dependency Status &amp;elementID=5079", "Click here to submit comment")</f>
        <v>Click here to submit comment</v>
      </c>
    </row>
    <row r="481" spans="1:14" ht="75">
      <c r="A481" s="3" t="s">
        <v>2165</v>
      </c>
      <c r="B481" s="3" t="s">
        <v>2166</v>
      </c>
      <c r="C481" s="3" t="s">
        <v>5963</v>
      </c>
      <c r="D481" s="3" t="s">
        <v>1471</v>
      </c>
      <c r="E481" s="3" t="s">
        <v>2</v>
      </c>
      <c r="F481" s="3"/>
      <c r="G481" s="3"/>
      <c r="H481" s="3"/>
      <c r="I481" s="3"/>
      <c r="J481" s="3" t="s">
        <v>2167</v>
      </c>
      <c r="K481" s="3"/>
      <c r="L481" s="3" t="s">
        <v>2168</v>
      </c>
      <c r="M481" s="3" t="str">
        <f>HYPERLINK("https://ceds.ed.gov/cedselementdetails.aspx?termid=5080")</f>
        <v>https://ceds.ed.gov/cedselementdetails.aspx?termid=5080</v>
      </c>
      <c r="N481" s="3" t="str">
        <f>HYPERLINK("https://ceds.ed.gov/elementComment.aspx?elementName=Desegregation Order or Plan &amp;elementID=5080", "Click here to submit comment")</f>
        <v>Click here to submit comment</v>
      </c>
    </row>
    <row r="482" spans="1:14" ht="60">
      <c r="A482" s="3" t="s">
        <v>2169</v>
      </c>
      <c r="B482" s="3" t="s">
        <v>2170</v>
      </c>
      <c r="C482" s="3" t="s">
        <v>13</v>
      </c>
      <c r="D482" s="3" t="s">
        <v>1479</v>
      </c>
      <c r="E482" s="3" t="s">
        <v>1480</v>
      </c>
      <c r="F482" s="3"/>
      <c r="G482" s="3" t="s">
        <v>2171</v>
      </c>
      <c r="H482" s="3"/>
      <c r="I482" s="3"/>
      <c r="J482" s="3" t="s">
        <v>2172</v>
      </c>
      <c r="K482" s="3"/>
      <c r="L482" s="3" t="s">
        <v>2173</v>
      </c>
      <c r="M482" s="3" t="str">
        <f>HYPERLINK("https://ceds.ed.gov/cedselementdetails.aspx?termid=5426")</f>
        <v>https://ceds.ed.gov/cedselementdetails.aspx?termid=5426</v>
      </c>
      <c r="N482" s="3" t="str">
        <f>HYPERLINK("https://ceds.ed.gov/elementComment.aspx?elementName=Designated Graduation School Identifier &amp;elementID=5426", "Click here to submit comment")</f>
        <v>Click here to submit comment</v>
      </c>
    </row>
    <row r="483" spans="1:14" ht="255">
      <c r="A483" s="3" t="s">
        <v>2174</v>
      </c>
      <c r="B483" s="3" t="s">
        <v>2175</v>
      </c>
      <c r="C483" s="4" t="s">
        <v>6457</v>
      </c>
      <c r="D483" s="3" t="s">
        <v>2176</v>
      </c>
      <c r="E483" s="3" t="s">
        <v>2158</v>
      </c>
      <c r="F483" s="3" t="s">
        <v>66</v>
      </c>
      <c r="G483" s="3"/>
      <c r="H483" s="3" t="s">
        <v>2177</v>
      </c>
      <c r="I483" s="3"/>
      <c r="J483" s="3" t="s">
        <v>2178</v>
      </c>
      <c r="K483" s="3"/>
      <c r="L483" s="3" t="s">
        <v>2179</v>
      </c>
      <c r="M483" s="3" t="str">
        <f>HYPERLINK("https://ceds.ed.gov/cedselementdetails.aspx?termid=5315")</f>
        <v>https://ceds.ed.gov/cedselementdetails.aspx?termid=5315</v>
      </c>
      <c r="N483" s="3" t="str">
        <f>HYPERLINK("https://ceds.ed.gov/elementComment.aspx?elementName=Developmental Evaluation Finding &amp;elementID=5315", "Click here to submit comment")</f>
        <v>Click here to submit comment</v>
      </c>
    </row>
    <row r="484" spans="1:14" ht="75">
      <c r="A484" s="3" t="s">
        <v>2180</v>
      </c>
      <c r="B484" s="3" t="s">
        <v>2181</v>
      </c>
      <c r="C484" s="3" t="s">
        <v>13</v>
      </c>
      <c r="D484" s="3" t="s">
        <v>6067</v>
      </c>
      <c r="E484" s="3"/>
      <c r="F484" s="3"/>
      <c r="G484" s="3" t="s">
        <v>93</v>
      </c>
      <c r="H484" s="3"/>
      <c r="I484" s="3"/>
      <c r="J484" s="3" t="s">
        <v>2182</v>
      </c>
      <c r="K484" s="3"/>
      <c r="L484" s="3" t="s">
        <v>2183</v>
      </c>
      <c r="M484" s="3" t="str">
        <f>HYPERLINK("https://ceds.ed.gov/cedselementdetails.aspx?termid=6011")</f>
        <v>https://ceds.ed.gov/cedselementdetails.aspx?termid=6011</v>
      </c>
      <c r="N484" s="3" t="str">
        <f>HYPERLINK("https://ceds.ed.gov/elementComment.aspx?elementName=Diagnostic Statement Source &amp;elementID=6011", "Click here to submit comment")</f>
        <v>Click here to submit comment</v>
      </c>
    </row>
    <row r="485" spans="1:14" ht="60">
      <c r="A485" s="3" t="s">
        <v>2184</v>
      </c>
      <c r="B485" s="3" t="s">
        <v>2185</v>
      </c>
      <c r="C485" s="4" t="s">
        <v>6371</v>
      </c>
      <c r="D485" s="3" t="s">
        <v>2186</v>
      </c>
      <c r="E485" s="3" t="s">
        <v>202</v>
      </c>
      <c r="F485" s="3"/>
      <c r="G485" s="3"/>
      <c r="H485" s="3"/>
      <c r="I485" s="3"/>
      <c r="J485" s="3" t="s">
        <v>2187</v>
      </c>
      <c r="K485" s="3"/>
      <c r="L485" s="3" t="s">
        <v>2188</v>
      </c>
      <c r="M485" s="3" t="str">
        <f>HYPERLINK("https://ceds.ed.gov/cedselementdetails.aspx?termid=5868")</f>
        <v>https://ceds.ed.gov/cedselementdetails.aspx?termid=5868</v>
      </c>
      <c r="N485" s="3" t="str">
        <f>HYPERLINK("https://ceds.ed.gov/elementComment.aspx?elementName=Differential Shift Pay Indicator &amp;elementID=5868", "Click here to submit comment")</f>
        <v>Click here to submit comment</v>
      </c>
    </row>
    <row r="486" spans="1:14" ht="180">
      <c r="A486" s="3" t="s">
        <v>2189</v>
      </c>
      <c r="B486" s="3" t="s">
        <v>2190</v>
      </c>
      <c r="C486" s="3" t="s">
        <v>13</v>
      </c>
      <c r="D486" s="3" t="s">
        <v>6134</v>
      </c>
      <c r="E486" s="3" t="s">
        <v>6135</v>
      </c>
      <c r="F486" s="3"/>
      <c r="G486" s="3" t="s">
        <v>2191</v>
      </c>
      <c r="H486" s="3"/>
      <c r="I486" s="3"/>
      <c r="J486" s="3" t="s">
        <v>2192</v>
      </c>
      <c r="K486" s="3"/>
      <c r="L486" s="3" t="s">
        <v>2193</v>
      </c>
      <c r="M486" s="3" t="str">
        <f>HYPERLINK("https://ceds.ed.gov/cedselementdetails.aspx?termid=5081")</f>
        <v>https://ceds.ed.gov/cedselementdetails.aspx?termid=5081</v>
      </c>
      <c r="N486" s="3" t="str">
        <f>HYPERLINK("https://ceds.ed.gov/elementComment.aspx?elementName=Diploma or Credential Award Date &amp;elementID=5081", "Click here to submit comment")</f>
        <v>Click here to submit comment</v>
      </c>
    </row>
    <row r="487" spans="1:14" ht="75">
      <c r="A487" s="3" t="s">
        <v>2194</v>
      </c>
      <c r="B487" s="3" t="s">
        <v>2195</v>
      </c>
      <c r="C487" s="4" t="s">
        <v>6458</v>
      </c>
      <c r="D487" s="3" t="s">
        <v>53</v>
      </c>
      <c r="E487" s="3"/>
      <c r="F487" s="3" t="s">
        <v>54</v>
      </c>
      <c r="G487" s="3"/>
      <c r="H487" s="3"/>
      <c r="I487" s="3"/>
      <c r="J487" s="3" t="s">
        <v>2196</v>
      </c>
      <c r="K487" s="3" t="s">
        <v>2197</v>
      </c>
      <c r="L487" s="3" t="s">
        <v>2198</v>
      </c>
      <c r="M487" s="3" t="str">
        <f>HYPERLINK("https://ceds.ed.gov/cedselementdetails.aspx?termid=6285")</f>
        <v>https://ceds.ed.gov/cedselementdetails.aspx?termid=6285</v>
      </c>
      <c r="N487" s="3" t="str">
        <f>HYPERLINK("https://ceds.ed.gov/elementComment.aspx?elementName=Disability Condition Status Type &amp;elementID=6285", "Click here to submit comment")</f>
        <v>Click here to submit comment</v>
      </c>
    </row>
    <row r="488" spans="1:14" ht="255">
      <c r="A488" s="3" t="s">
        <v>2199</v>
      </c>
      <c r="B488" s="3" t="s">
        <v>2200</v>
      </c>
      <c r="C488" s="4" t="s">
        <v>6459</v>
      </c>
      <c r="D488" s="3" t="s">
        <v>6136</v>
      </c>
      <c r="E488" s="3"/>
      <c r="F488" s="3" t="s">
        <v>54</v>
      </c>
      <c r="G488" s="3"/>
      <c r="H488" s="3"/>
      <c r="I488" s="3" t="s">
        <v>2201</v>
      </c>
      <c r="J488" s="3" t="s">
        <v>2202</v>
      </c>
      <c r="K488" s="3"/>
      <c r="L488" s="3" t="s">
        <v>2203</v>
      </c>
      <c r="M488" s="3" t="str">
        <f>HYPERLINK("https://ceds.ed.gov/cedselementdetails.aspx?termid=6286")</f>
        <v>https://ceds.ed.gov/cedselementdetails.aspx?termid=6286</v>
      </c>
      <c r="N488" s="3" t="str">
        <f>HYPERLINK("https://ceds.ed.gov/elementComment.aspx?elementName=Disability Condition Type &amp;elementID=6286", "Click here to submit comment")</f>
        <v>Click here to submit comment</v>
      </c>
    </row>
    <row r="489" spans="1:14" ht="180">
      <c r="A489" s="3" t="s">
        <v>2204</v>
      </c>
      <c r="B489" s="3" t="s">
        <v>2205</v>
      </c>
      <c r="C489" s="4" t="s">
        <v>6460</v>
      </c>
      <c r="D489" s="3" t="s">
        <v>6136</v>
      </c>
      <c r="E489" s="3"/>
      <c r="F489" s="3" t="s">
        <v>54</v>
      </c>
      <c r="G489" s="3"/>
      <c r="H489" s="3"/>
      <c r="I489" s="3" t="s">
        <v>2201</v>
      </c>
      <c r="J489" s="3" t="s">
        <v>2206</v>
      </c>
      <c r="K489" s="3"/>
      <c r="L489" s="3" t="s">
        <v>2207</v>
      </c>
      <c r="M489" s="3" t="str">
        <f>HYPERLINK("https://ceds.ed.gov/cedselementdetails.aspx?termid=6287")</f>
        <v>https://ceds.ed.gov/cedselementdetails.aspx?termid=6287</v>
      </c>
      <c r="N489" s="3" t="str">
        <f>HYPERLINK("https://ceds.ed.gov/elementComment.aspx?elementName=Disability Determination Source Type &amp;elementID=6287", "Click here to submit comment")</f>
        <v>Click here to submit comment</v>
      </c>
    </row>
    <row r="490" spans="1:14" ht="75">
      <c r="A490" s="3" t="s">
        <v>2208</v>
      </c>
      <c r="B490" s="3" t="s">
        <v>2209</v>
      </c>
      <c r="C490" s="3" t="s">
        <v>5963</v>
      </c>
      <c r="D490" s="3" t="s">
        <v>6137</v>
      </c>
      <c r="E490" s="3" t="s">
        <v>218</v>
      </c>
      <c r="F490" s="3" t="s">
        <v>3</v>
      </c>
      <c r="G490" s="3"/>
      <c r="H490" s="3"/>
      <c r="I490" s="3"/>
      <c r="J490" s="3" t="s">
        <v>2210</v>
      </c>
      <c r="K490" s="3"/>
      <c r="L490" s="3" t="s">
        <v>2211</v>
      </c>
      <c r="M490" s="3" t="str">
        <f>HYPERLINK("https://ceds.ed.gov/cedselementdetails.aspx?termid=5569")</f>
        <v>https://ceds.ed.gov/cedselementdetails.aspx?termid=5569</v>
      </c>
      <c r="N490" s="3" t="str">
        <f>HYPERLINK("https://ceds.ed.gov/elementComment.aspx?elementName=Disability Status &amp;elementID=5569", "Click here to submit comment")</f>
        <v>Click here to submit comment</v>
      </c>
    </row>
    <row r="491" spans="1:14" ht="45">
      <c r="A491" s="3" t="s">
        <v>2212</v>
      </c>
      <c r="B491" s="3" t="s">
        <v>2213</v>
      </c>
      <c r="C491" s="3" t="s">
        <v>13</v>
      </c>
      <c r="D491" s="3" t="s">
        <v>6138</v>
      </c>
      <c r="E491" s="3" t="s">
        <v>2</v>
      </c>
      <c r="F491" s="3"/>
      <c r="G491" s="3" t="s">
        <v>73</v>
      </c>
      <c r="H491" s="3"/>
      <c r="I491" s="3"/>
      <c r="J491" s="3" t="s">
        <v>2214</v>
      </c>
      <c r="K491" s="3"/>
      <c r="L491" s="3" t="s">
        <v>2215</v>
      </c>
      <c r="M491" s="3" t="str">
        <f>HYPERLINK("https://ceds.ed.gov/cedselementdetails.aspx?termid=5082")</f>
        <v>https://ceds.ed.gov/cedselementdetails.aspx?termid=5082</v>
      </c>
      <c r="N491" s="3" t="str">
        <f>HYPERLINK("https://ceds.ed.gov/elementComment.aspx?elementName=Disciplinary Action End Date &amp;elementID=5082", "Click here to submit comment")</f>
        <v>Click here to submit comment</v>
      </c>
    </row>
    <row r="492" spans="1:14" ht="75">
      <c r="A492" s="3" t="s">
        <v>2216</v>
      </c>
      <c r="B492" s="3" t="s">
        <v>2217</v>
      </c>
      <c r="C492" s="3" t="s">
        <v>5963</v>
      </c>
      <c r="D492" s="3" t="s">
        <v>2218</v>
      </c>
      <c r="E492" s="3"/>
      <c r="F492" s="3" t="s">
        <v>54</v>
      </c>
      <c r="G492" s="3"/>
      <c r="H492" s="3"/>
      <c r="I492" s="3"/>
      <c r="J492" s="3" t="s">
        <v>2219</v>
      </c>
      <c r="K492" s="3"/>
      <c r="L492" s="3" t="s">
        <v>2220</v>
      </c>
      <c r="M492" s="3" t="str">
        <f>HYPERLINK("https://ceds.ed.gov/cedselementdetails.aspx?termid=6288")</f>
        <v>https://ceds.ed.gov/cedselementdetails.aspx?termid=6288</v>
      </c>
      <c r="N492" s="3" t="str">
        <f>HYPERLINK("https://ceds.ed.gov/elementComment.aspx?elementName=Disciplinary Action IEP Placement Meeting Indicator &amp;elementID=6288", "Click here to submit comment")</f>
        <v>Click here to submit comment</v>
      </c>
    </row>
    <row r="493" spans="1:14" ht="45">
      <c r="A493" s="3" t="s">
        <v>2221</v>
      </c>
      <c r="B493" s="3" t="s">
        <v>2222</v>
      </c>
      <c r="C493" s="3" t="s">
        <v>13</v>
      </c>
      <c r="D493" s="3" t="s">
        <v>6138</v>
      </c>
      <c r="E493" s="3" t="s">
        <v>2</v>
      </c>
      <c r="F493" s="3"/>
      <c r="G493" s="3" t="s">
        <v>73</v>
      </c>
      <c r="H493" s="3"/>
      <c r="I493" s="3"/>
      <c r="J493" s="3" t="s">
        <v>2223</v>
      </c>
      <c r="K493" s="3"/>
      <c r="L493" s="3" t="s">
        <v>2224</v>
      </c>
      <c r="M493" s="3" t="str">
        <f>HYPERLINK("https://ceds.ed.gov/cedselementdetails.aspx?termid=5083")</f>
        <v>https://ceds.ed.gov/cedselementdetails.aspx?termid=5083</v>
      </c>
      <c r="N493" s="3" t="str">
        <f>HYPERLINK("https://ceds.ed.gov/elementComment.aspx?elementName=Disciplinary Action Start Date &amp;elementID=5083", "Click here to submit comment")</f>
        <v>Click here to submit comment</v>
      </c>
    </row>
    <row r="494" spans="1:14" ht="409.5">
      <c r="A494" s="3" t="s">
        <v>2225</v>
      </c>
      <c r="B494" s="3" t="s">
        <v>2226</v>
      </c>
      <c r="C494" s="4" t="s">
        <v>6461</v>
      </c>
      <c r="D494" s="3" t="s">
        <v>6138</v>
      </c>
      <c r="E494" s="3" t="s">
        <v>2</v>
      </c>
      <c r="F494" s="3"/>
      <c r="G494" s="3"/>
      <c r="H494" s="3"/>
      <c r="I494" s="3"/>
      <c r="J494" s="3" t="s">
        <v>2227</v>
      </c>
      <c r="K494" s="3"/>
      <c r="L494" s="3" t="s">
        <v>2228</v>
      </c>
      <c r="M494" s="3" t="str">
        <f>HYPERLINK("https://ceds.ed.gov/cedselementdetails.aspx?termid=5479")</f>
        <v>https://ceds.ed.gov/cedselementdetails.aspx?termid=5479</v>
      </c>
      <c r="N494" s="3" t="str">
        <f>HYPERLINK("https://ceds.ed.gov/elementComment.aspx?elementName=Disciplinary Action Taken &amp;elementID=5479", "Click here to submit comment")</f>
        <v>Click here to submit comment</v>
      </c>
    </row>
    <row r="495" spans="1:14" ht="300">
      <c r="A495" s="3" t="s">
        <v>2229</v>
      </c>
      <c r="B495" s="3" t="s">
        <v>2230</v>
      </c>
      <c r="C495" s="4" t="s">
        <v>6462</v>
      </c>
      <c r="D495" s="3" t="s">
        <v>6138</v>
      </c>
      <c r="E495" s="3"/>
      <c r="F495" s="3"/>
      <c r="G495" s="3"/>
      <c r="H495" s="3"/>
      <c r="I495" s="3"/>
      <c r="J495" s="3" t="s">
        <v>2231</v>
      </c>
      <c r="K495" s="3"/>
      <c r="L495" s="3" t="s">
        <v>2232</v>
      </c>
      <c r="M495" s="3" t="str">
        <f>HYPERLINK("https://ceds.ed.gov/cedselementdetails.aspx?termid=5602")</f>
        <v>https://ceds.ed.gov/cedselementdetails.aspx?termid=5602</v>
      </c>
      <c r="N495" s="3" t="str">
        <f>HYPERLINK("https://ceds.ed.gov/elementComment.aspx?elementName=Discipline Action Length Difference Reason &amp;elementID=5602", "Click here to submit comment")</f>
        <v>Click here to submit comment</v>
      </c>
    </row>
    <row r="496" spans="1:14" ht="255">
      <c r="A496" s="3" t="s">
        <v>2233</v>
      </c>
      <c r="B496" s="3" t="s">
        <v>2234</v>
      </c>
      <c r="C496" s="4" t="s">
        <v>6463</v>
      </c>
      <c r="D496" s="3" t="s">
        <v>2235</v>
      </c>
      <c r="E496" s="3" t="s">
        <v>218</v>
      </c>
      <c r="F496" s="3"/>
      <c r="G496" s="3"/>
      <c r="H496" s="3"/>
      <c r="I496" s="3"/>
      <c r="J496" s="3" t="s">
        <v>2236</v>
      </c>
      <c r="K496" s="3"/>
      <c r="L496" s="3" t="s">
        <v>2237</v>
      </c>
      <c r="M496" s="3" t="str">
        <f>HYPERLINK("https://ceds.ed.gov/cedselementdetails.aspx?termid=5546")</f>
        <v>https://ceds.ed.gov/cedselementdetails.aspx?termid=5546</v>
      </c>
      <c r="N496" s="3" t="str">
        <f>HYPERLINK("https://ceds.ed.gov/elementComment.aspx?elementName=Discipline Method for Firearms Incidents &amp;elementID=5546", "Click here to submit comment")</f>
        <v>Click here to submit comment</v>
      </c>
    </row>
    <row r="497" spans="1:14" ht="60">
      <c r="A497" s="3" t="s">
        <v>2238</v>
      </c>
      <c r="B497" s="3" t="s">
        <v>2239</v>
      </c>
      <c r="C497" s="4" t="s">
        <v>6464</v>
      </c>
      <c r="D497" s="3" t="s">
        <v>2235</v>
      </c>
      <c r="E497" s="3" t="s">
        <v>218</v>
      </c>
      <c r="F497" s="3"/>
      <c r="G497" s="3"/>
      <c r="H497" s="3"/>
      <c r="I497" s="3"/>
      <c r="J497" s="3" t="s">
        <v>2240</v>
      </c>
      <c r="K497" s="3"/>
      <c r="L497" s="3" t="s">
        <v>2241</v>
      </c>
      <c r="M497" s="3" t="str">
        <f>HYPERLINK("https://ceds.ed.gov/cedselementdetails.aspx?termid=5529")</f>
        <v>https://ceds.ed.gov/cedselementdetails.aspx?termid=5529</v>
      </c>
      <c r="N497" s="3" t="str">
        <f>HYPERLINK("https://ceds.ed.gov/elementComment.aspx?elementName=Discipline Method of Children with Disabilities &amp;elementID=5529", "Click here to submit comment")</f>
        <v>Click here to submit comment</v>
      </c>
    </row>
    <row r="498" spans="1:14" ht="180">
      <c r="A498" s="3" t="s">
        <v>2242</v>
      </c>
      <c r="B498" s="3" t="s">
        <v>2243</v>
      </c>
      <c r="C498" s="4" t="s">
        <v>6465</v>
      </c>
      <c r="D498" s="3" t="s">
        <v>6138</v>
      </c>
      <c r="E498" s="3" t="s">
        <v>218</v>
      </c>
      <c r="F498" s="3"/>
      <c r="G498" s="3"/>
      <c r="H498" s="3"/>
      <c r="I498" s="3"/>
      <c r="J498" s="3" t="s">
        <v>2244</v>
      </c>
      <c r="K498" s="3"/>
      <c r="L498" s="3" t="s">
        <v>2245</v>
      </c>
      <c r="M498" s="3" t="str">
        <f>HYPERLINK("https://ceds.ed.gov/cedselementdetails.aspx?termid=5536")</f>
        <v>https://ceds.ed.gov/cedselementdetails.aspx?termid=5536</v>
      </c>
      <c r="N498" s="3" t="str">
        <f>HYPERLINK("https://ceds.ed.gov/elementComment.aspx?elementName=Discipline Reason &amp;elementID=5536", "Click here to submit comment")</f>
        <v>Click here to submit comment</v>
      </c>
    </row>
    <row r="499" spans="1:14" ht="135">
      <c r="A499" s="3" t="s">
        <v>2246</v>
      </c>
      <c r="B499" s="3" t="s">
        <v>2247</v>
      </c>
      <c r="C499" s="3" t="s">
        <v>5963</v>
      </c>
      <c r="D499" s="3" t="s">
        <v>2248</v>
      </c>
      <c r="E499" s="3"/>
      <c r="F499" s="3"/>
      <c r="G499" s="3"/>
      <c r="H499" s="3"/>
      <c r="I499" s="3"/>
      <c r="J499" s="3" t="s">
        <v>2249</v>
      </c>
      <c r="K499" s="3"/>
      <c r="L499" s="3" t="s">
        <v>2250</v>
      </c>
      <c r="M499" s="3" t="str">
        <f>HYPERLINK("https://ceds.ed.gov/cedselementdetails.aspx?termid=5759")</f>
        <v>https://ceds.ed.gov/cedselementdetails.aspx?termid=5759</v>
      </c>
      <c r="N499" s="3" t="str">
        <f>HYPERLINK("https://ceds.ed.gov/elementComment.aspx?elementName=Dislocated Worker Status &amp;elementID=5759", "Click here to submit comment")</f>
        <v>Click here to submit comment</v>
      </c>
    </row>
    <row r="500" spans="1:14" ht="45">
      <c r="A500" s="3" t="s">
        <v>2251</v>
      </c>
      <c r="B500" s="3" t="s">
        <v>2252</v>
      </c>
      <c r="C500" s="3" t="s">
        <v>5963</v>
      </c>
      <c r="D500" s="3" t="s">
        <v>154</v>
      </c>
      <c r="E500" s="3"/>
      <c r="F500" s="3"/>
      <c r="G500" s="3"/>
      <c r="H500" s="3"/>
      <c r="I500" s="3"/>
      <c r="J500" s="3" t="s">
        <v>2253</v>
      </c>
      <c r="K500" s="3"/>
      <c r="L500" s="3" t="s">
        <v>2254</v>
      </c>
      <c r="M500" s="3" t="str">
        <f>HYPERLINK("https://ceds.ed.gov/cedselementdetails.aspx?termid=5603")</f>
        <v>https://ceds.ed.gov/cedselementdetails.aspx?termid=5603</v>
      </c>
      <c r="N500" s="3" t="str">
        <f>HYPERLINK("https://ceds.ed.gov/elementComment.aspx?elementName=Displaced Student Status &amp;elementID=5603", "Click here to submit comment")</f>
        <v>Click here to submit comment</v>
      </c>
    </row>
    <row r="501" spans="1:14" ht="345">
      <c r="A501" s="3" t="s">
        <v>2255</v>
      </c>
      <c r="B501" s="3" t="s">
        <v>2256</v>
      </c>
      <c r="C501" s="4" t="s">
        <v>6466</v>
      </c>
      <c r="D501" s="3" t="s">
        <v>1708</v>
      </c>
      <c r="E501" s="3" t="s">
        <v>2257</v>
      </c>
      <c r="F501" s="3"/>
      <c r="G501" s="3"/>
      <c r="H501" s="3"/>
      <c r="I501" s="3" t="s">
        <v>2258</v>
      </c>
      <c r="J501" s="3" t="s">
        <v>2259</v>
      </c>
      <c r="K501" s="3"/>
      <c r="L501" s="3" t="s">
        <v>2260</v>
      </c>
      <c r="M501" s="3" t="str">
        <f>HYPERLINK("https://ceds.ed.gov/cedselementdetails.aspx?termid=5704")</f>
        <v>https://ceds.ed.gov/cedselementdetails.aspx?termid=5704</v>
      </c>
      <c r="N501" s="3" t="str">
        <f>HYPERLINK("https://ceds.ed.gov/elementComment.aspx?elementName=Distance Education Course Enrollment &amp;elementID=5704", "Click here to submit comment")</f>
        <v>Click here to submit comment</v>
      </c>
    </row>
    <row r="502" spans="1:14" ht="180">
      <c r="A502" s="3" t="s">
        <v>2261</v>
      </c>
      <c r="B502" s="3" t="s">
        <v>2262</v>
      </c>
      <c r="C502" s="3" t="s">
        <v>5963</v>
      </c>
      <c r="D502" s="3" t="s">
        <v>1708</v>
      </c>
      <c r="E502" s="3"/>
      <c r="F502" s="3" t="s">
        <v>54</v>
      </c>
      <c r="G502" s="3"/>
      <c r="H502" s="3"/>
      <c r="I502" s="3" t="s">
        <v>2258</v>
      </c>
      <c r="J502" s="3" t="s">
        <v>2263</v>
      </c>
      <c r="K502" s="3"/>
      <c r="L502" s="3" t="s">
        <v>2264</v>
      </c>
      <c r="M502" s="3" t="str">
        <f>HYPERLINK("https://ceds.ed.gov/cedselementdetails.aspx?termid=6289")</f>
        <v>https://ceds.ed.gov/cedselementdetails.aspx?termid=6289</v>
      </c>
      <c r="N502" s="3" t="str">
        <f>HYPERLINK("https://ceds.ed.gov/elementComment.aspx?elementName=Distance Education Program Enrollment Indicator &amp;elementID=6289", "Click here to submit comment")</f>
        <v>Click here to submit comment</v>
      </c>
    </row>
    <row r="503" spans="1:14" ht="75">
      <c r="A503" s="3" t="s">
        <v>2265</v>
      </c>
      <c r="B503" s="3" t="s">
        <v>2266</v>
      </c>
      <c r="C503" s="4" t="s">
        <v>6467</v>
      </c>
      <c r="D503" s="3" t="s">
        <v>2267</v>
      </c>
      <c r="E503" s="3"/>
      <c r="F503" s="3" t="s">
        <v>54</v>
      </c>
      <c r="G503" s="3"/>
      <c r="H503" s="3"/>
      <c r="I503" s="3"/>
      <c r="J503" s="3" t="s">
        <v>2268</v>
      </c>
      <c r="K503" s="3"/>
      <c r="L503" s="3" t="s">
        <v>2269</v>
      </c>
      <c r="M503" s="3" t="str">
        <f>HYPERLINK("https://ceds.ed.gov/cedselementdetails.aspx?termid=6290")</f>
        <v>https://ceds.ed.gov/cedselementdetails.aspx?termid=6290</v>
      </c>
      <c r="N503" s="3" t="str">
        <f>HYPERLINK("https://ceds.ed.gov/elementComment.aspx?elementName=Doctoral Candidacy Admit Indicator &amp;elementID=6290", "Click here to submit comment")</f>
        <v>Click here to submit comment</v>
      </c>
    </row>
    <row r="504" spans="1:14" ht="30">
      <c r="A504" s="3" t="s">
        <v>2270</v>
      </c>
      <c r="B504" s="3" t="s">
        <v>2271</v>
      </c>
      <c r="C504" s="3" t="s">
        <v>13</v>
      </c>
      <c r="D504" s="3" t="s">
        <v>2267</v>
      </c>
      <c r="E504" s="3"/>
      <c r="F504" s="3" t="s">
        <v>54</v>
      </c>
      <c r="G504" s="3" t="s">
        <v>73</v>
      </c>
      <c r="H504" s="3"/>
      <c r="I504" s="3"/>
      <c r="J504" s="3" t="s">
        <v>2272</v>
      </c>
      <c r="K504" s="3"/>
      <c r="L504" s="3" t="s">
        <v>2273</v>
      </c>
      <c r="M504" s="3" t="str">
        <f>HYPERLINK("https://ceds.ed.gov/cedselementdetails.aspx?termid=6291")</f>
        <v>https://ceds.ed.gov/cedselementdetails.aspx?termid=6291</v>
      </c>
      <c r="N504" s="3" t="str">
        <f>HYPERLINK("https://ceds.ed.gov/elementComment.aspx?elementName=Doctoral Candidacy Date &amp;elementID=6291", "Click here to submit comment")</f>
        <v>Click here to submit comment</v>
      </c>
    </row>
    <row r="505" spans="1:14" ht="60">
      <c r="A505" s="3" t="s">
        <v>2274</v>
      </c>
      <c r="B505" s="3" t="s">
        <v>2275</v>
      </c>
      <c r="C505" s="3" t="s">
        <v>13</v>
      </c>
      <c r="D505" s="3" t="s">
        <v>2267</v>
      </c>
      <c r="E505" s="3"/>
      <c r="F505" s="3" t="s">
        <v>54</v>
      </c>
      <c r="G505" s="3" t="s">
        <v>73</v>
      </c>
      <c r="H505" s="3"/>
      <c r="I505" s="3"/>
      <c r="J505" s="3" t="s">
        <v>2276</v>
      </c>
      <c r="K505" s="3"/>
      <c r="L505" s="3" t="s">
        <v>2277</v>
      </c>
      <c r="M505" s="3" t="str">
        <f>HYPERLINK("https://ceds.ed.gov/cedselementdetails.aspx?termid=6292")</f>
        <v>https://ceds.ed.gov/cedselementdetails.aspx?termid=6292</v>
      </c>
      <c r="N505" s="3" t="str">
        <f>HYPERLINK("https://ceds.ed.gov/elementComment.aspx?elementName=Doctoral Exam Taken Date &amp;elementID=6292", "Click here to submit comment")</f>
        <v>Click here to submit comment</v>
      </c>
    </row>
    <row r="506" spans="1:14" ht="135">
      <c r="A506" s="3" t="s">
        <v>2278</v>
      </c>
      <c r="B506" s="3" t="s">
        <v>2279</v>
      </c>
      <c r="C506" s="4" t="s">
        <v>6468</v>
      </c>
      <c r="D506" s="3" t="s">
        <v>2267</v>
      </c>
      <c r="E506" s="3"/>
      <c r="F506" s="3" t="s">
        <v>54</v>
      </c>
      <c r="G506" s="3"/>
      <c r="H506" s="3"/>
      <c r="I506" s="3"/>
      <c r="J506" s="3" t="s">
        <v>2280</v>
      </c>
      <c r="K506" s="3"/>
      <c r="L506" s="3" t="s">
        <v>2281</v>
      </c>
      <c r="M506" s="3" t="str">
        <f>HYPERLINK("https://ceds.ed.gov/cedselementdetails.aspx?termid=6293")</f>
        <v>https://ceds.ed.gov/cedselementdetails.aspx?termid=6293</v>
      </c>
      <c r="N506" s="3" t="str">
        <f>HYPERLINK("https://ceds.ed.gov/elementComment.aspx?elementName=Doctoral Exams Required Type &amp;elementID=6293", "Click here to submit comment")</f>
        <v>Click here to submit comment</v>
      </c>
    </row>
    <row r="507" spans="1:14" ht="75">
      <c r="A507" s="3" t="s">
        <v>2282</v>
      </c>
      <c r="B507" s="3" t="s">
        <v>2283</v>
      </c>
      <c r="C507" s="3" t="s">
        <v>13</v>
      </c>
      <c r="D507" s="3" t="s">
        <v>14</v>
      </c>
      <c r="E507" s="3" t="s">
        <v>24</v>
      </c>
      <c r="F507" s="3"/>
      <c r="G507" s="3" t="s">
        <v>1461</v>
      </c>
      <c r="H507" s="3"/>
      <c r="I507" s="3"/>
      <c r="J507" s="3" t="s">
        <v>2284</v>
      </c>
      <c r="K507" s="3"/>
      <c r="L507" s="3" t="s">
        <v>2285</v>
      </c>
      <c r="M507" s="3" t="str">
        <f>HYPERLINK("https://ceds.ed.gov/cedselementdetails.aspx?termid=5085")</f>
        <v>https://ceds.ed.gov/cedselementdetails.aspx?termid=5085</v>
      </c>
      <c r="N507" s="3" t="str">
        <f>HYPERLINK("https://ceds.ed.gov/elementComment.aspx?elementName=Dual Credit Dual Enrollment Credits Awarded &amp;elementID=5085", "Click here to submit comment")</f>
        <v>Click here to submit comment</v>
      </c>
    </row>
    <row r="508" spans="1:14" ht="45">
      <c r="A508" s="3" t="s">
        <v>2286</v>
      </c>
      <c r="B508" s="3" t="s">
        <v>2287</v>
      </c>
      <c r="C508" s="3" t="s">
        <v>13</v>
      </c>
      <c r="D508" s="3" t="s">
        <v>6138</v>
      </c>
      <c r="E508" s="3"/>
      <c r="F508" s="3"/>
      <c r="G508" s="3" t="s">
        <v>1461</v>
      </c>
      <c r="H508" s="3"/>
      <c r="I508" s="3"/>
      <c r="J508" s="3" t="s">
        <v>2288</v>
      </c>
      <c r="K508" s="3"/>
      <c r="L508" s="3" t="s">
        <v>2289</v>
      </c>
      <c r="M508" s="3" t="str">
        <f>HYPERLINK("https://ceds.ed.gov/cedselementdetails.aspx?termid=5502")</f>
        <v>https://ceds.ed.gov/cedselementdetails.aspx?termid=5502</v>
      </c>
      <c r="N508" s="3" t="str">
        <f>HYPERLINK("https://ceds.ed.gov/elementComment.aspx?elementName=Duration of Disciplinary Action &amp;elementID=5502", "Click here to submit comment")</f>
        <v>Click here to submit comment</v>
      </c>
    </row>
    <row r="509" spans="1:14" ht="180">
      <c r="A509" s="3" t="s">
        <v>2290</v>
      </c>
      <c r="B509" s="3" t="s">
        <v>2291</v>
      </c>
      <c r="C509" s="4" t="s">
        <v>6469</v>
      </c>
      <c r="D509" s="3" t="s">
        <v>1629</v>
      </c>
      <c r="E509" s="3" t="s">
        <v>6131</v>
      </c>
      <c r="F509" s="3"/>
      <c r="G509" s="3"/>
      <c r="H509" s="3"/>
      <c r="I509" s="3"/>
      <c r="J509" s="3" t="s">
        <v>2292</v>
      </c>
      <c r="K509" s="3"/>
      <c r="L509" s="3" t="s">
        <v>2293</v>
      </c>
      <c r="M509" s="3" t="str">
        <f>HYPERLINK("https://ceds.ed.gov/cedselementdetails.aspx?termid=5344")</f>
        <v>https://ceds.ed.gov/cedselementdetails.aspx?termid=5344</v>
      </c>
      <c r="N509" s="3" t="str">
        <f>HYPERLINK("https://ceds.ed.gov/elementComment.aspx?elementName=Early Childhood Credential &amp;elementID=5344", "Click here to submit comment")</f>
        <v>Click here to submit comment</v>
      </c>
    </row>
    <row r="510" spans="1:14" ht="45">
      <c r="A510" s="3" t="s">
        <v>2294</v>
      </c>
      <c r="B510" s="3" t="s">
        <v>2295</v>
      </c>
      <c r="C510" s="3" t="s">
        <v>5963</v>
      </c>
      <c r="D510" s="3" t="s">
        <v>388</v>
      </c>
      <c r="E510" s="3" t="s">
        <v>202</v>
      </c>
      <c r="F510" s="3"/>
      <c r="G510" s="3"/>
      <c r="H510" s="3"/>
      <c r="I510" s="3"/>
      <c r="J510" s="3" t="s">
        <v>2296</v>
      </c>
      <c r="K510" s="3"/>
      <c r="L510" s="3" t="s">
        <v>2297</v>
      </c>
      <c r="M510" s="3" t="str">
        <f>HYPERLINK("https://ceds.ed.gov/cedselementdetails.aspx?termid=5786")</f>
        <v>https://ceds.ed.gov/cedselementdetails.aspx?termid=5786</v>
      </c>
      <c r="N510" s="3" t="str">
        <f>HYPERLINK("https://ceds.ed.gov/elementComment.aspx?elementName=Early Childhood Degree or Certificate Holder &amp;elementID=5786", "Click here to submit comment")</f>
        <v>Click here to submit comment</v>
      </c>
    </row>
    <row r="511" spans="1:14" ht="180">
      <c r="A511" s="3" t="s">
        <v>2298</v>
      </c>
      <c r="B511" s="3" t="s">
        <v>2299</v>
      </c>
      <c r="C511" s="4" t="s">
        <v>6470</v>
      </c>
      <c r="D511" s="3" t="s">
        <v>6139</v>
      </c>
      <c r="E511" s="3" t="s">
        <v>6140</v>
      </c>
      <c r="F511" s="3"/>
      <c r="G511" s="3"/>
      <c r="H511" s="3"/>
      <c r="I511" s="3"/>
      <c r="J511" s="3" t="s">
        <v>2300</v>
      </c>
      <c r="K511" s="3"/>
      <c r="L511" s="3" t="s">
        <v>2301</v>
      </c>
      <c r="M511" s="3" t="str">
        <f>HYPERLINK("https://ceds.ed.gov/cedselementdetails.aspx?termid=5318")</f>
        <v>https://ceds.ed.gov/cedselementdetails.aspx?termid=5318</v>
      </c>
      <c r="N511" s="3" t="str">
        <f>HYPERLINK("https://ceds.ed.gov/elementComment.aspx?elementName=Early Childhood Enrollment Service Type &amp;elementID=5318", "Click here to submit comment")</f>
        <v>Click here to submit comment</v>
      </c>
    </row>
    <row r="512" spans="1:14" ht="180">
      <c r="A512" s="3" t="s">
        <v>2302</v>
      </c>
      <c r="B512" s="3" t="s">
        <v>2303</v>
      </c>
      <c r="C512" s="4" t="s">
        <v>6471</v>
      </c>
      <c r="D512" s="3" t="s">
        <v>2186</v>
      </c>
      <c r="E512" s="3" t="s">
        <v>65</v>
      </c>
      <c r="F512" s="3" t="s">
        <v>66</v>
      </c>
      <c r="G512" s="3"/>
      <c r="H512" s="3" t="s">
        <v>2304</v>
      </c>
      <c r="I512" s="3"/>
      <c r="J512" s="3" t="s">
        <v>2305</v>
      </c>
      <c r="K512" s="3"/>
      <c r="L512" s="3" t="s">
        <v>2306</v>
      </c>
      <c r="M512" s="3" t="str">
        <f>HYPERLINK("https://ceds.ed.gov/cedselementdetails.aspx?termid=5829")</f>
        <v>https://ceds.ed.gov/cedselementdetails.aspx?termid=5829</v>
      </c>
      <c r="N512" s="3" t="str">
        <f>HYPERLINK("https://ceds.ed.gov/elementComment.aspx?elementName=Early Childhood Program Type &amp;elementID=5829", "Click here to submit comment")</f>
        <v>Click here to submit comment</v>
      </c>
    </row>
    <row r="513" spans="1:14" ht="165">
      <c r="A513" s="3" t="s">
        <v>2307</v>
      </c>
      <c r="B513" s="3" t="s">
        <v>2308</v>
      </c>
      <c r="C513" s="4" t="s">
        <v>6472</v>
      </c>
      <c r="D513" s="3" t="s">
        <v>6128</v>
      </c>
      <c r="E513" s="3" t="s">
        <v>6129</v>
      </c>
      <c r="F513" s="3" t="s">
        <v>66</v>
      </c>
      <c r="G513" s="3"/>
      <c r="H513" s="3" t="s">
        <v>2309</v>
      </c>
      <c r="I513" s="3"/>
      <c r="J513" s="3" t="s">
        <v>2310</v>
      </c>
      <c r="K513" s="3"/>
      <c r="L513" s="3" t="s">
        <v>2311</v>
      </c>
      <c r="M513" s="3" t="str">
        <f>HYPERLINK("https://ceds.ed.gov/cedselementdetails.aspx?termid=5355")</f>
        <v>https://ceds.ed.gov/cedselementdetails.aspx?termid=5355</v>
      </c>
      <c r="N513" s="3" t="str">
        <f>HYPERLINK("https://ceds.ed.gov/elementComment.aspx?elementName=Early Childhood Setting &amp;elementID=5355", "Click here to submit comment")</f>
        <v>Click here to submit comment</v>
      </c>
    </row>
    <row r="514" spans="1:14" ht="300">
      <c r="A514" s="3" t="s">
        <v>2312</v>
      </c>
      <c r="B514" s="3" t="s">
        <v>2313</v>
      </c>
      <c r="C514" s="4" t="s">
        <v>6473</v>
      </c>
      <c r="D514" s="3" t="s">
        <v>2314</v>
      </c>
      <c r="E514" s="3" t="s">
        <v>2158</v>
      </c>
      <c r="F514" s="3" t="s">
        <v>66</v>
      </c>
      <c r="G514" s="3"/>
      <c r="H514" s="3" t="s">
        <v>2315</v>
      </c>
      <c r="I514" s="3"/>
      <c r="J514" s="3" t="s">
        <v>2316</v>
      </c>
      <c r="K514" s="3"/>
      <c r="L514" s="3" t="s">
        <v>2317</v>
      </c>
      <c r="M514" s="3" t="str">
        <f>HYPERLINK("https://ceds.ed.gov/cedselementdetails.aspx?termid=5321")</f>
        <v>https://ceds.ed.gov/cedselementdetails.aspx?termid=5321</v>
      </c>
      <c r="N514" s="3" t="str">
        <f>HYPERLINK("https://ceds.ed.gov/elementComment.aspx?elementName=Early Intervention or Special Education Services Received &amp;elementID=5321", "Click here to submit comment")</f>
        <v>Click here to submit comment</v>
      </c>
    </row>
    <row r="515" spans="1:14" ht="210">
      <c r="A515" s="3" t="s">
        <v>2318</v>
      </c>
      <c r="B515" s="3" t="s">
        <v>2319</v>
      </c>
      <c r="C515" s="4" t="s">
        <v>6474</v>
      </c>
      <c r="D515" s="3" t="s">
        <v>2314</v>
      </c>
      <c r="E515" s="3" t="s">
        <v>6141</v>
      </c>
      <c r="F515" s="3"/>
      <c r="G515" s="3"/>
      <c r="H515" s="3"/>
      <c r="I515" s="3"/>
      <c r="J515" s="3" t="s">
        <v>2320</v>
      </c>
      <c r="K515" s="3"/>
      <c r="L515" s="3" t="s">
        <v>2321</v>
      </c>
      <c r="M515" s="3" t="str">
        <f>HYPERLINK("https://ceds.ed.gov/cedselementdetails.aspx?termid=5322")</f>
        <v>https://ceds.ed.gov/cedselementdetails.aspx?termid=5322</v>
      </c>
      <c r="N515" s="3" t="str">
        <f>HYPERLINK("https://ceds.ed.gov/elementComment.aspx?elementName=Early Intervention or Special Education Services Setting &amp;elementID=5322", "Click here to submit comment")</f>
        <v>Click here to submit comment</v>
      </c>
    </row>
    <row r="516" spans="1:14" ht="105">
      <c r="A516" s="3" t="s">
        <v>2322</v>
      </c>
      <c r="B516" s="3" t="s">
        <v>2323</v>
      </c>
      <c r="C516" s="4" t="s">
        <v>6475</v>
      </c>
      <c r="D516" s="3" t="s">
        <v>2176</v>
      </c>
      <c r="E516" s="3" t="s">
        <v>2158</v>
      </c>
      <c r="F516" s="3" t="s">
        <v>66</v>
      </c>
      <c r="G516" s="3"/>
      <c r="H516" s="3" t="s">
        <v>2177</v>
      </c>
      <c r="I516" s="3"/>
      <c r="J516" s="3" t="s">
        <v>2324</v>
      </c>
      <c r="K516" s="3"/>
      <c r="L516" s="3" t="s">
        <v>2325</v>
      </c>
      <c r="M516" s="3" t="str">
        <f>HYPERLINK("https://ceds.ed.gov/cedselementdetails.aspx?termid=5314")</f>
        <v>https://ceds.ed.gov/cedselementdetails.aspx?termid=5314</v>
      </c>
      <c r="N516" s="3" t="str">
        <f>HYPERLINK("https://ceds.ed.gov/elementComment.aspx?elementName=Early Learning Child Developmental Screening Status &amp;elementID=5314", "Click here to submit comment")</f>
        <v>Click here to submit comment</v>
      </c>
    </row>
    <row r="517" spans="1:14" ht="180">
      <c r="A517" s="3" t="s">
        <v>2326</v>
      </c>
      <c r="B517" s="3" t="s">
        <v>2327</v>
      </c>
      <c r="C517" s="4" t="s">
        <v>6476</v>
      </c>
      <c r="D517" s="3" t="s">
        <v>2328</v>
      </c>
      <c r="E517" s="3" t="s">
        <v>65</v>
      </c>
      <c r="F517" s="3"/>
      <c r="G517" s="3"/>
      <c r="H517" s="3"/>
      <c r="I517" s="3"/>
      <c r="J517" s="3" t="s">
        <v>2329</v>
      </c>
      <c r="K517" s="3"/>
      <c r="L517" s="3" t="s">
        <v>2330</v>
      </c>
      <c r="M517" s="3" t="str">
        <f>HYPERLINK("https://ceds.ed.gov/cedselementdetails.aspx?termid=5822")</f>
        <v>https://ceds.ed.gov/cedselementdetails.aspx?termid=5822</v>
      </c>
      <c r="N517" s="3" t="str">
        <f>HYPERLINK("https://ceds.ed.gov/elementComment.aspx?elementName=Early Learning Class Group Curriculum Type &amp;elementID=5822", "Click here to submit comment")</f>
        <v>Click here to submit comment</v>
      </c>
    </row>
    <row r="518" spans="1:14" ht="75">
      <c r="A518" s="3" t="s">
        <v>2331</v>
      </c>
      <c r="B518" s="3" t="s">
        <v>2332</v>
      </c>
      <c r="C518" s="3" t="s">
        <v>13</v>
      </c>
      <c r="D518" s="3" t="s">
        <v>2333</v>
      </c>
      <c r="E518" s="3" t="s">
        <v>6095</v>
      </c>
      <c r="F518" s="3"/>
      <c r="G518" s="3" t="s">
        <v>100</v>
      </c>
      <c r="H518" s="3"/>
      <c r="I518" s="3"/>
      <c r="J518" s="3" t="s">
        <v>2334</v>
      </c>
      <c r="K518" s="3"/>
      <c r="L518" s="3" t="s">
        <v>2335</v>
      </c>
      <c r="M518" s="3" t="str">
        <f>HYPERLINK("https://ceds.ed.gov/cedselementdetails.aspx?termid=5819")</f>
        <v>https://ceds.ed.gov/cedselementdetails.aspx?termid=5819</v>
      </c>
      <c r="N518" s="3" t="str">
        <f>HYPERLINK("https://ceds.ed.gov/elementComment.aspx?elementName=Early Learning Class Group Identifier &amp;elementID=5819", "Click here to submit comment")</f>
        <v>Click here to submit comment</v>
      </c>
    </row>
    <row r="519" spans="1:14" ht="60">
      <c r="A519" s="3" t="s">
        <v>2336</v>
      </c>
      <c r="B519" s="3" t="s">
        <v>2337</v>
      </c>
      <c r="C519" s="3" t="s">
        <v>13</v>
      </c>
      <c r="D519" s="3" t="s">
        <v>2333</v>
      </c>
      <c r="E519" s="3" t="s">
        <v>6095</v>
      </c>
      <c r="F519" s="3"/>
      <c r="G519" s="3" t="s">
        <v>106</v>
      </c>
      <c r="H519" s="3"/>
      <c r="I519" s="3"/>
      <c r="J519" s="3" t="s">
        <v>2338</v>
      </c>
      <c r="K519" s="3"/>
      <c r="L519" s="3" t="s">
        <v>2339</v>
      </c>
      <c r="M519" s="3" t="str">
        <f>HYPERLINK("https://ceds.ed.gov/cedselementdetails.aspx?termid=5820")</f>
        <v>https://ceds.ed.gov/cedselementdetails.aspx?termid=5820</v>
      </c>
      <c r="N519" s="3" t="str">
        <f>HYPERLINK("https://ceds.ed.gov/elementComment.aspx?elementName=Early Learning Class Group Name &amp;elementID=5820", "Click here to submit comment")</f>
        <v>Click here to submit comment</v>
      </c>
    </row>
    <row r="520" spans="1:14" ht="165">
      <c r="A520" s="3" t="s">
        <v>2340</v>
      </c>
      <c r="B520" s="3" t="s">
        <v>2341</v>
      </c>
      <c r="C520" s="4" t="s">
        <v>6477</v>
      </c>
      <c r="D520" s="3" t="s">
        <v>1542</v>
      </c>
      <c r="E520" s="3" t="s">
        <v>202</v>
      </c>
      <c r="F520" s="3"/>
      <c r="G520" s="3"/>
      <c r="H520" s="3"/>
      <c r="I520" s="3"/>
      <c r="J520" s="3" t="s">
        <v>2342</v>
      </c>
      <c r="K520" s="3"/>
      <c r="L520" s="3" t="s">
        <v>2343</v>
      </c>
      <c r="M520" s="3" t="str">
        <f>HYPERLINK("https://ceds.ed.gov/cedselementdetails.aspx?termid=5812")</f>
        <v>https://ceds.ed.gov/cedselementdetails.aspx?termid=5812</v>
      </c>
      <c r="N520" s="3" t="str">
        <f>HYPERLINK("https://ceds.ed.gov/elementComment.aspx?elementName=Early Learning Core Knowledge Area &amp;elementID=5812", "Click here to submit comment")</f>
        <v>Click here to submit comment</v>
      </c>
    </row>
    <row r="521" spans="1:14" ht="165">
      <c r="A521" s="3" t="s">
        <v>2344</v>
      </c>
      <c r="B521" s="3" t="s">
        <v>2345</v>
      </c>
      <c r="C521" s="4" t="s">
        <v>6478</v>
      </c>
      <c r="D521" s="3" t="s">
        <v>2346</v>
      </c>
      <c r="E521" s="3"/>
      <c r="F521" s="3" t="s">
        <v>54</v>
      </c>
      <c r="G521" s="3"/>
      <c r="H521" s="3"/>
      <c r="I521" s="3"/>
      <c r="J521" s="3" t="s">
        <v>2347</v>
      </c>
      <c r="K521" s="3"/>
      <c r="L521" s="3" t="s">
        <v>2348</v>
      </c>
      <c r="M521" s="3" t="str">
        <f>HYPERLINK("https://ceds.ed.gov/cedselementdetails.aspx?termid=6294")</f>
        <v>https://ceds.ed.gov/cedselementdetails.aspx?termid=6294</v>
      </c>
      <c r="N521" s="3" t="str">
        <f>HYPERLINK("https://ceds.ed.gov/elementComment.aspx?elementName=Early Learning Federal Funding Type &amp;elementID=6294", "Click here to submit comment")</f>
        <v>Click here to submit comment</v>
      </c>
    </row>
    <row r="522" spans="1:14" ht="30">
      <c r="A522" s="3" t="s">
        <v>2349</v>
      </c>
      <c r="B522" s="3" t="s">
        <v>2350</v>
      </c>
      <c r="C522" s="3" t="s">
        <v>13</v>
      </c>
      <c r="D522" s="3" t="s">
        <v>2351</v>
      </c>
      <c r="E522" s="3"/>
      <c r="F522" s="3" t="s">
        <v>54</v>
      </c>
      <c r="G522" s="3" t="s">
        <v>575</v>
      </c>
      <c r="H522" s="3"/>
      <c r="I522" s="3"/>
      <c r="J522" s="3" t="s">
        <v>2352</v>
      </c>
      <c r="K522" s="3"/>
      <c r="L522" s="3" t="s">
        <v>2353</v>
      </c>
      <c r="M522" s="3" t="str">
        <f>HYPERLINK("https://ceds.ed.gov/cedselementdetails.aspx?termid=6295")</f>
        <v>https://ceds.ed.gov/cedselementdetails.aspx?termid=6295</v>
      </c>
      <c r="N522" s="3" t="str">
        <f>HYPERLINK("https://ceds.ed.gov/elementComment.aspx?elementName=Early Learning Group Size &amp;elementID=6295", "Click here to submit comment")</f>
        <v>Click here to submit comment</v>
      </c>
    </row>
    <row r="523" spans="1:14" ht="135">
      <c r="A523" s="3" t="s">
        <v>2354</v>
      </c>
      <c r="B523" s="3" t="s">
        <v>2355</v>
      </c>
      <c r="C523" s="4" t="s">
        <v>6479</v>
      </c>
      <c r="D523" s="3" t="s">
        <v>2356</v>
      </c>
      <c r="E523" s="3" t="s">
        <v>65</v>
      </c>
      <c r="F523" s="3"/>
      <c r="G523" s="3"/>
      <c r="H523" s="3"/>
      <c r="I523" s="3"/>
      <c r="J523" s="3" t="s">
        <v>2357</v>
      </c>
      <c r="K523" s="3"/>
      <c r="L523" s="3" t="s">
        <v>2358</v>
      </c>
      <c r="M523" s="3" t="str">
        <f>HYPERLINK("https://ceds.ed.gov/cedselementdetails.aspx?termid=5823")</f>
        <v>https://ceds.ed.gov/cedselementdetails.aspx?termid=5823</v>
      </c>
      <c r="N523" s="3" t="str">
        <f>HYPERLINK("https://ceds.ed.gov/elementComment.aspx?elementName=Early Learning Group Size Standards Met &amp;elementID=5823", "Click here to submit comment")</f>
        <v>Click here to submit comment</v>
      </c>
    </row>
    <row r="524" spans="1:14" ht="75">
      <c r="A524" s="3" t="s">
        <v>2359</v>
      </c>
      <c r="B524" s="3" t="s">
        <v>2360</v>
      </c>
      <c r="C524" s="3" t="s">
        <v>13</v>
      </c>
      <c r="D524" s="3" t="s">
        <v>6142</v>
      </c>
      <c r="E524" s="3" t="s">
        <v>6143</v>
      </c>
      <c r="F524" s="3"/>
      <c r="G524" s="3" t="s">
        <v>575</v>
      </c>
      <c r="H524" s="3"/>
      <c r="I524" s="3"/>
      <c r="J524" s="3" t="s">
        <v>2361</v>
      </c>
      <c r="K524" s="3"/>
      <c r="L524" s="3" t="s">
        <v>2362</v>
      </c>
      <c r="M524" s="3" t="str">
        <f>HYPERLINK("https://ceds.ed.gov/cedselementdetails.aspx?termid=6189")</f>
        <v>https://ceds.ed.gov/cedselementdetails.aspx?termid=6189</v>
      </c>
      <c r="N524" s="3" t="str">
        <f>HYPERLINK("https://ceds.ed.gov/elementComment.aspx?elementName=Early Learning Oldest Age Authorized to Serve &amp;elementID=6189", "Click here to submit comment")</f>
        <v>Click here to submit comment</v>
      </c>
    </row>
    <row r="525" spans="1:14" ht="120">
      <c r="A525" s="3" t="s">
        <v>2363</v>
      </c>
      <c r="B525" s="3" t="s">
        <v>2364</v>
      </c>
      <c r="C525" s="4" t="s">
        <v>6480</v>
      </c>
      <c r="D525" s="3" t="s">
        <v>2346</v>
      </c>
      <c r="E525" s="3"/>
      <c r="F525" s="3" t="s">
        <v>54</v>
      </c>
      <c r="G525" s="3"/>
      <c r="H525" s="3"/>
      <c r="I525" s="3"/>
      <c r="J525" s="3" t="s">
        <v>2365</v>
      </c>
      <c r="K525" s="3"/>
      <c r="L525" s="3" t="s">
        <v>2366</v>
      </c>
      <c r="M525" s="3" t="str">
        <f>HYPERLINK("https://ceds.ed.gov/cedselementdetails.aspx?termid=6302")</f>
        <v>https://ceds.ed.gov/cedselementdetails.aspx?termid=6302</v>
      </c>
      <c r="N525" s="3" t="str">
        <f>HYPERLINK("https://ceds.ed.gov/elementComment.aspx?elementName=Early Learning Other Federal Funding Sources &amp;elementID=6302", "Click here to submit comment")</f>
        <v>Click here to submit comment</v>
      </c>
    </row>
    <row r="526" spans="1:14" ht="75">
      <c r="A526" s="3" t="s">
        <v>2367</v>
      </c>
      <c r="B526" s="3" t="s">
        <v>2368</v>
      </c>
      <c r="C526" s="4" t="s">
        <v>6481</v>
      </c>
      <c r="D526" s="3" t="s">
        <v>2369</v>
      </c>
      <c r="E526" s="3"/>
      <c r="F526" s="3" t="s">
        <v>54</v>
      </c>
      <c r="G526" s="3"/>
      <c r="H526" s="3"/>
      <c r="I526" s="3"/>
      <c r="J526" s="3" t="s">
        <v>2370</v>
      </c>
      <c r="K526" s="3"/>
      <c r="L526" s="3" t="s">
        <v>2371</v>
      </c>
      <c r="M526" s="3" t="str">
        <f>HYPERLINK("https://ceds.ed.gov/cedselementdetails.aspx?termid=6303")</f>
        <v>https://ceds.ed.gov/cedselementdetails.aspx?termid=6303</v>
      </c>
      <c r="N526" s="3" t="str">
        <f>HYPERLINK("https://ceds.ed.gov/elementComment.aspx?elementName=Early Learning Outcome Measurement Level &amp;elementID=6303", "Click here to submit comment")</f>
        <v>Click here to submit comment</v>
      </c>
    </row>
    <row r="527" spans="1:14" ht="75">
      <c r="A527" s="3" t="s">
        <v>2372</v>
      </c>
      <c r="B527" s="3" t="s">
        <v>2373</v>
      </c>
      <c r="C527" s="4" t="s">
        <v>6482</v>
      </c>
      <c r="D527" s="3" t="s">
        <v>2369</v>
      </c>
      <c r="E527" s="3"/>
      <c r="F527" s="3" t="s">
        <v>54</v>
      </c>
      <c r="G527" s="3"/>
      <c r="H527" s="3"/>
      <c r="I527" s="3"/>
      <c r="J527" s="3" t="s">
        <v>2374</v>
      </c>
      <c r="K527" s="3"/>
      <c r="L527" s="3" t="s">
        <v>2375</v>
      </c>
      <c r="M527" s="3" t="str">
        <f>HYPERLINK("https://ceds.ed.gov/cedselementdetails.aspx?termid=6475")</f>
        <v>https://ceds.ed.gov/cedselementdetails.aspx?termid=6475</v>
      </c>
      <c r="N527" s="3" t="str">
        <f>HYPERLINK("https://ceds.ed.gov/elementComment.aspx?elementName=Early Learning Outcome Time Point &amp;elementID=6475", "Click here to submit comment")</f>
        <v>Click here to submit comment</v>
      </c>
    </row>
    <row r="528" spans="1:14" ht="165">
      <c r="A528" s="3" t="s">
        <v>2376</v>
      </c>
      <c r="B528" s="3" t="s">
        <v>2377</v>
      </c>
      <c r="C528" s="4" t="s">
        <v>6483</v>
      </c>
      <c r="D528" s="3" t="s">
        <v>1542</v>
      </c>
      <c r="E528" s="3"/>
      <c r="F528" s="3" t="s">
        <v>54</v>
      </c>
      <c r="G528" s="3"/>
      <c r="H528" s="3"/>
      <c r="I528" s="3"/>
      <c r="J528" s="3" t="s">
        <v>2378</v>
      </c>
      <c r="K528" s="3"/>
      <c r="L528" s="3" t="s">
        <v>2379</v>
      </c>
      <c r="M528" s="3" t="str">
        <f>HYPERLINK("https://ceds.ed.gov/cedselementdetails.aspx?termid=6304")</f>
        <v>https://ceds.ed.gov/cedselementdetails.aspx?termid=6304</v>
      </c>
      <c r="N528" s="3" t="str">
        <f>HYPERLINK("https://ceds.ed.gov/elementComment.aspx?elementName=Early Learning Professional Development Topic Area &amp;elementID=6304", "Click here to submit comment")</f>
        <v>Click here to submit comment</v>
      </c>
    </row>
    <row r="529" spans="1:14" ht="75">
      <c r="A529" s="3" t="s">
        <v>2380</v>
      </c>
      <c r="B529" s="3" t="s">
        <v>2381</v>
      </c>
      <c r="C529" s="3" t="s">
        <v>13</v>
      </c>
      <c r="D529" s="3" t="s">
        <v>6144</v>
      </c>
      <c r="E529" s="3" t="s">
        <v>6097</v>
      </c>
      <c r="F529" s="3"/>
      <c r="G529" s="3" t="s">
        <v>2382</v>
      </c>
      <c r="H529" s="3"/>
      <c r="I529" s="3"/>
      <c r="J529" s="3" t="s">
        <v>2383</v>
      </c>
      <c r="K529" s="3"/>
      <c r="L529" s="3" t="s">
        <v>2384</v>
      </c>
      <c r="M529" s="3" t="str">
        <f>HYPERLINK("https://ceds.ed.gov/cedselementdetails.aspx?termid=5824")</f>
        <v>https://ceds.ed.gov/cedselementdetails.aspx?termid=5824</v>
      </c>
      <c r="N529" s="3" t="str">
        <f>HYPERLINK("https://ceds.ed.gov/elementComment.aspx?elementName=Early Learning Program Annual Operating Weeks &amp;elementID=5824", "Click here to submit comment")</f>
        <v>Click here to submit comment</v>
      </c>
    </row>
    <row r="530" spans="1:14" ht="60">
      <c r="A530" s="3" t="s">
        <v>2385</v>
      </c>
      <c r="B530" s="3" t="s">
        <v>2386</v>
      </c>
      <c r="C530" s="3" t="s">
        <v>5963</v>
      </c>
      <c r="D530" s="3" t="s">
        <v>2387</v>
      </c>
      <c r="E530" s="3" t="s">
        <v>65</v>
      </c>
      <c r="F530" s="3"/>
      <c r="G530" s="3"/>
      <c r="H530" s="3"/>
      <c r="I530" s="3"/>
      <c r="J530" s="3" t="s">
        <v>2388</v>
      </c>
      <c r="K530" s="3"/>
      <c r="L530" s="3" t="s">
        <v>2389</v>
      </c>
      <c r="M530" s="3" t="str">
        <f>HYPERLINK("https://ceds.ed.gov/cedselementdetails.aspx?termid=5848")</f>
        <v>https://ceds.ed.gov/cedselementdetails.aspx?termid=5848</v>
      </c>
      <c r="N530" s="3" t="str">
        <f>HYPERLINK("https://ceds.ed.gov/elementComment.aspx?elementName=Early Learning Program Developmental Screening Status &amp;elementID=5848", "Click here to submit comment")</f>
        <v>Click here to submit comment</v>
      </c>
    </row>
    <row r="531" spans="1:14" ht="300">
      <c r="A531" s="3" t="s">
        <v>2390</v>
      </c>
      <c r="B531" s="3" t="s">
        <v>2391</v>
      </c>
      <c r="C531" s="4" t="s">
        <v>6484</v>
      </c>
      <c r="D531" s="3" t="s">
        <v>2392</v>
      </c>
      <c r="E531" s="3" t="s">
        <v>2147</v>
      </c>
      <c r="F531" s="3" t="s">
        <v>3</v>
      </c>
      <c r="G531" s="3"/>
      <c r="H531" s="3"/>
      <c r="I531" s="3"/>
      <c r="J531" s="3" t="s">
        <v>2393</v>
      </c>
      <c r="K531" s="3"/>
      <c r="L531" s="3" t="s">
        <v>2394</v>
      </c>
      <c r="M531" s="3" t="str">
        <f>HYPERLINK("https://ceds.ed.gov/cedselementdetails.aspx?termid=5304")</f>
        <v>https://ceds.ed.gov/cedselementdetails.aspx?termid=5304</v>
      </c>
      <c r="N531" s="3" t="str">
        <f>HYPERLINK("https://ceds.ed.gov/elementComment.aspx?elementName=Early Learning Program Eligibility Category &amp;elementID=5304", "Click here to submit comment")</f>
        <v>Click here to submit comment</v>
      </c>
    </row>
    <row r="532" spans="1:14" ht="45">
      <c r="A532" s="3" t="s">
        <v>2395</v>
      </c>
      <c r="B532" s="3" t="s">
        <v>2396</v>
      </c>
      <c r="C532" s="3" t="s">
        <v>13</v>
      </c>
      <c r="D532" s="3" t="s">
        <v>2397</v>
      </c>
      <c r="E532" s="3"/>
      <c r="F532" s="3" t="s">
        <v>54</v>
      </c>
      <c r="G532" s="3" t="s">
        <v>73</v>
      </c>
      <c r="H532" s="3"/>
      <c r="I532" s="3"/>
      <c r="J532" s="3" t="s">
        <v>2398</v>
      </c>
      <c r="K532" s="3"/>
      <c r="L532" s="3" t="s">
        <v>2399</v>
      </c>
      <c r="M532" s="3" t="str">
        <f>HYPERLINK("https://ceds.ed.gov/cedselementdetails.aspx?termid=6305")</f>
        <v>https://ceds.ed.gov/cedselementdetails.aspx?termid=6305</v>
      </c>
      <c r="N532" s="3" t="str">
        <f>HYPERLINK("https://ceds.ed.gov/elementComment.aspx?elementName=Early Learning Program Eligibility Expiration Date &amp;elementID=6305", "Click here to submit comment")</f>
        <v>Click here to submit comment</v>
      </c>
    </row>
    <row r="533" spans="1:14" ht="75">
      <c r="A533" s="3" t="s">
        <v>2400</v>
      </c>
      <c r="B533" s="3" t="s">
        <v>2401</v>
      </c>
      <c r="C533" s="4" t="s">
        <v>6485</v>
      </c>
      <c r="D533" s="3" t="s">
        <v>2397</v>
      </c>
      <c r="E533" s="3"/>
      <c r="F533" s="3" t="s">
        <v>54</v>
      </c>
      <c r="G533" s="3"/>
      <c r="H533" s="3"/>
      <c r="I533" s="3"/>
      <c r="J533" s="3" t="s">
        <v>2402</v>
      </c>
      <c r="K533" s="3"/>
      <c r="L533" s="3" t="s">
        <v>2403</v>
      </c>
      <c r="M533" s="3" t="str">
        <f>HYPERLINK("https://ceds.ed.gov/cedselementdetails.aspx?termid=6306")</f>
        <v>https://ceds.ed.gov/cedselementdetails.aspx?termid=6306</v>
      </c>
      <c r="N533" s="3" t="str">
        <f>HYPERLINK("https://ceds.ed.gov/elementComment.aspx?elementName=Early Learning Program Eligibility Status &amp;elementID=6306", "Click here to submit comment")</f>
        <v>Click here to submit comment</v>
      </c>
    </row>
    <row r="534" spans="1:14" ht="30">
      <c r="A534" s="3" t="s">
        <v>2404</v>
      </c>
      <c r="B534" s="3" t="s">
        <v>2405</v>
      </c>
      <c r="C534" s="3" t="s">
        <v>13</v>
      </c>
      <c r="D534" s="3" t="s">
        <v>2397</v>
      </c>
      <c r="E534" s="3"/>
      <c r="F534" s="3" t="s">
        <v>54</v>
      </c>
      <c r="G534" s="3" t="s">
        <v>73</v>
      </c>
      <c r="H534" s="3"/>
      <c r="I534" s="3"/>
      <c r="J534" s="3" t="s">
        <v>2406</v>
      </c>
      <c r="K534" s="3"/>
      <c r="L534" s="3" t="s">
        <v>2407</v>
      </c>
      <c r="M534" s="3" t="str">
        <f>HYPERLINK("https://ceds.ed.gov/cedselementdetails.aspx?termid=6307")</f>
        <v>https://ceds.ed.gov/cedselementdetails.aspx?termid=6307</v>
      </c>
      <c r="N534" s="3" t="str">
        <f>HYPERLINK("https://ceds.ed.gov/elementComment.aspx?elementName=Early Learning Program Eligibility Status Date &amp;elementID=6307", "Click here to submit comment")</f>
        <v>Click here to submit comment</v>
      </c>
    </row>
    <row r="535" spans="1:14" ht="45">
      <c r="A535" s="3" t="s">
        <v>2408</v>
      </c>
      <c r="B535" s="3" t="s">
        <v>2409</v>
      </c>
      <c r="C535" s="3" t="s">
        <v>5963</v>
      </c>
      <c r="D535" s="3" t="s">
        <v>1774</v>
      </c>
      <c r="E535" s="3" t="s">
        <v>65</v>
      </c>
      <c r="F535" s="3"/>
      <c r="G535" s="3"/>
      <c r="H535" s="3"/>
      <c r="I535" s="3"/>
      <c r="J535" s="3" t="s">
        <v>2410</v>
      </c>
      <c r="K535" s="3"/>
      <c r="L535" s="3" t="s">
        <v>2411</v>
      </c>
      <c r="M535" s="3" t="str">
        <f>HYPERLINK("https://ceds.ed.gov/cedselementdetails.aspx?termid=5838")</f>
        <v>https://ceds.ed.gov/cedselementdetails.aspx?termid=5838</v>
      </c>
      <c r="N535" s="3" t="str">
        <f>HYPERLINK("https://ceds.ed.gov/elementComment.aspx?elementName=Early Learning Program License Revocation Status &amp;elementID=5838", "Click here to submit comment")</f>
        <v>Click here to submit comment</v>
      </c>
    </row>
    <row r="536" spans="1:14" ht="45">
      <c r="A536" s="3" t="s">
        <v>2412</v>
      </c>
      <c r="B536" s="3" t="s">
        <v>2413</v>
      </c>
      <c r="C536" s="3" t="s">
        <v>5963</v>
      </c>
      <c r="D536" s="3" t="s">
        <v>1774</v>
      </c>
      <c r="E536" s="3" t="s">
        <v>65</v>
      </c>
      <c r="F536" s="3"/>
      <c r="G536" s="3"/>
      <c r="H536" s="3"/>
      <c r="I536" s="3"/>
      <c r="J536" s="3" t="s">
        <v>2414</v>
      </c>
      <c r="K536" s="3"/>
      <c r="L536" s="3" t="s">
        <v>2415</v>
      </c>
      <c r="M536" s="3" t="str">
        <f>HYPERLINK("https://ceds.ed.gov/cedselementdetails.aspx?termid=5837")</f>
        <v>https://ceds.ed.gov/cedselementdetails.aspx?termid=5837</v>
      </c>
      <c r="N536" s="3" t="str">
        <f>HYPERLINK("https://ceds.ed.gov/elementComment.aspx?elementName=Early Learning Program License Suspension Status &amp;elementID=5837", "Click here to submit comment")</f>
        <v>Click here to submit comment</v>
      </c>
    </row>
    <row r="537" spans="1:14" ht="90">
      <c r="A537" s="3" t="s">
        <v>2416</v>
      </c>
      <c r="B537" s="3" t="s">
        <v>2417</v>
      </c>
      <c r="C537" s="4" t="s">
        <v>6486</v>
      </c>
      <c r="D537" s="3" t="s">
        <v>1774</v>
      </c>
      <c r="E537" s="3" t="s">
        <v>65</v>
      </c>
      <c r="F537" s="3"/>
      <c r="G537" s="3"/>
      <c r="H537" s="3"/>
      <c r="I537" s="3"/>
      <c r="J537" s="3" t="s">
        <v>2418</v>
      </c>
      <c r="K537" s="3"/>
      <c r="L537" s="3" t="s">
        <v>2419</v>
      </c>
      <c r="M537" s="3" t="str">
        <f>HYPERLINK("https://ceds.ed.gov/cedselementdetails.aspx?termid=5828")</f>
        <v>https://ceds.ed.gov/cedselementdetails.aspx?termid=5828</v>
      </c>
      <c r="N537" s="3" t="str">
        <f>HYPERLINK("https://ceds.ed.gov/elementComment.aspx?elementName=Early Learning Program Licensing Status &amp;elementID=5828", "Click here to submit comment")</f>
        <v>Click here to submit comment</v>
      </c>
    </row>
    <row r="538" spans="1:14" ht="30">
      <c r="A538" s="3" t="s">
        <v>2420</v>
      </c>
      <c r="B538" s="3" t="s">
        <v>2421</v>
      </c>
      <c r="C538" s="3" t="s">
        <v>13</v>
      </c>
      <c r="D538" s="3" t="s">
        <v>2186</v>
      </c>
      <c r="E538" s="3" t="s">
        <v>6097</v>
      </c>
      <c r="F538" s="3"/>
      <c r="G538" s="3" t="s">
        <v>1736</v>
      </c>
      <c r="H538" s="3"/>
      <c r="I538" s="3"/>
      <c r="J538" s="3" t="s">
        <v>2422</v>
      </c>
      <c r="K538" s="3"/>
      <c r="L538" s="3" t="s">
        <v>2423</v>
      </c>
      <c r="M538" s="3" t="str">
        <f>HYPERLINK("https://ceds.ed.gov/cedselementdetails.aspx?termid=5864")</f>
        <v>https://ceds.ed.gov/cedselementdetails.aspx?termid=5864</v>
      </c>
      <c r="N538" s="3" t="str">
        <f>HYPERLINK("https://ceds.ed.gov/elementComment.aspx?elementName=Early Learning Program Year &amp;elementID=5864", "Click here to submit comment")</f>
        <v>Click here to submit comment</v>
      </c>
    </row>
    <row r="539" spans="1:14" ht="75">
      <c r="A539" s="3" t="s">
        <v>2424</v>
      </c>
      <c r="B539" s="3" t="s">
        <v>2425</v>
      </c>
      <c r="C539" s="3" t="s">
        <v>13</v>
      </c>
      <c r="D539" s="3" t="s">
        <v>388</v>
      </c>
      <c r="E539" s="3" t="s">
        <v>202</v>
      </c>
      <c r="F539" s="3"/>
      <c r="G539" s="3" t="s">
        <v>389</v>
      </c>
      <c r="H539" s="3"/>
      <c r="I539" s="3"/>
      <c r="J539" s="3" t="s">
        <v>2426</v>
      </c>
      <c r="K539" s="3"/>
      <c r="L539" s="3" t="s">
        <v>2427</v>
      </c>
      <c r="M539" s="3" t="str">
        <f>HYPERLINK("https://ceds.ed.gov/cedselementdetails.aspx?termid=5791")</f>
        <v>https://ceds.ed.gov/cedselementdetails.aspx?termid=5791</v>
      </c>
      <c r="N539" s="3" t="str">
        <f>HYPERLINK("https://ceds.ed.gov/elementComment.aspx?elementName=Early Learning Staff Total College Credits Earned &amp;elementID=5791", "Click here to submit comment")</f>
        <v>Click here to submit comment</v>
      </c>
    </row>
    <row r="540" spans="1:14" ht="75">
      <c r="A540" s="3" t="s">
        <v>2428</v>
      </c>
      <c r="B540" s="3" t="s">
        <v>2429</v>
      </c>
      <c r="C540" s="3" t="s">
        <v>13</v>
      </c>
      <c r="D540" s="3" t="s">
        <v>6142</v>
      </c>
      <c r="E540" s="3" t="s">
        <v>6143</v>
      </c>
      <c r="F540" s="3"/>
      <c r="G540" s="3" t="s">
        <v>575</v>
      </c>
      <c r="H540" s="3"/>
      <c r="I540" s="3"/>
      <c r="J540" s="3" t="s">
        <v>2430</v>
      </c>
      <c r="K540" s="3"/>
      <c r="L540" s="3" t="s">
        <v>2431</v>
      </c>
      <c r="M540" s="3" t="str">
        <f>HYPERLINK("https://ceds.ed.gov/cedselementdetails.aspx?termid=5626")</f>
        <v>https://ceds.ed.gov/cedselementdetails.aspx?termid=5626</v>
      </c>
      <c r="N540" s="3" t="str">
        <f>HYPERLINK("https://ceds.ed.gov/elementComment.aspx?elementName=Early Learning Youngest Age Authorized to Serve &amp;elementID=5626", "Click here to submit comment")</f>
        <v>Click here to submit comment</v>
      </c>
    </row>
    <row r="541" spans="1:14" ht="105">
      <c r="A541" s="3" t="s">
        <v>2432</v>
      </c>
      <c r="B541" s="3" t="s">
        <v>2433</v>
      </c>
      <c r="C541" s="3" t="s">
        <v>5963</v>
      </c>
      <c r="D541" s="3" t="s">
        <v>2434</v>
      </c>
      <c r="E541" s="3" t="s">
        <v>6084</v>
      </c>
      <c r="F541" s="3"/>
      <c r="G541" s="3"/>
      <c r="H541" s="3"/>
      <c r="I541" s="3"/>
      <c r="J541" s="3" t="s">
        <v>2435</v>
      </c>
      <c r="K541" s="3"/>
      <c r="L541" s="3" t="s">
        <v>2436</v>
      </c>
      <c r="M541" s="3" t="str">
        <f>HYPERLINK("https://ceds.ed.gov/cedselementdetails.aspx?termid=5086")</f>
        <v>https://ceds.ed.gov/cedselementdetails.aspx?termid=5086</v>
      </c>
      <c r="N541" s="3" t="str">
        <f>HYPERLINK("https://ceds.ed.gov/elementComment.aspx?elementName=Economic Disadvantage Status &amp;elementID=5086", "Click here to submit comment")</f>
        <v>Click here to submit comment</v>
      </c>
    </row>
    <row r="542" spans="1:14" ht="315">
      <c r="A542" s="3" t="s">
        <v>2437</v>
      </c>
      <c r="B542" s="3" t="s">
        <v>2438</v>
      </c>
      <c r="C542" s="4" t="s">
        <v>6487</v>
      </c>
      <c r="D542" s="3" t="s">
        <v>2439</v>
      </c>
      <c r="E542" s="3" t="s">
        <v>6145</v>
      </c>
      <c r="F542" s="3"/>
      <c r="G542" s="3"/>
      <c r="H542" s="3"/>
      <c r="I542" s="3"/>
      <c r="J542" s="3" t="s">
        <v>2440</v>
      </c>
      <c r="K542" s="3" t="s">
        <v>2441</v>
      </c>
      <c r="L542" s="3" t="s">
        <v>2442</v>
      </c>
      <c r="M542" s="3" t="str">
        <f>HYPERLINK("https://ceds.ed.gov/cedselementdetails.aspx?termid=5862")</f>
        <v>https://ceds.ed.gov/cedselementdetails.aspx?termid=5862</v>
      </c>
      <c r="N542" s="3" t="str">
        <f>HYPERLINK("https://ceds.ed.gov/elementComment.aspx?elementName=Economic Research Service Rural-Urban Continuum Code &amp;elementID=5862", "Click here to submit comment")</f>
        <v>Click here to submit comment</v>
      </c>
    </row>
    <row r="543" spans="1:14" ht="409.5">
      <c r="A543" s="3" t="s">
        <v>2443</v>
      </c>
      <c r="B543" s="3" t="s">
        <v>2444</v>
      </c>
      <c r="C543" s="4" t="s">
        <v>6488</v>
      </c>
      <c r="D543" s="3" t="s">
        <v>6146</v>
      </c>
      <c r="E543" s="3" t="s">
        <v>6147</v>
      </c>
      <c r="F543" s="3"/>
      <c r="G543" s="3"/>
      <c r="H543" s="3"/>
      <c r="I543" s="3"/>
      <c r="J543" s="3" t="s">
        <v>2445</v>
      </c>
      <c r="K543" s="3"/>
      <c r="L543" s="3" t="s">
        <v>2446</v>
      </c>
      <c r="M543" s="3" t="str">
        <f>HYPERLINK("https://ceds.ed.gov/cedselementdetails.aspx?termid=5087")</f>
        <v>https://ceds.ed.gov/cedselementdetails.aspx?termid=5087</v>
      </c>
      <c r="N543" s="3" t="str">
        <f>HYPERLINK("https://ceds.ed.gov/elementComment.aspx?elementName=Education Staff Classification &amp;elementID=5087", "Click here to submit comment")</f>
        <v>Click here to submit comment</v>
      </c>
    </row>
    <row r="544" spans="1:14" ht="75">
      <c r="A544" s="3" t="s">
        <v>2447</v>
      </c>
      <c r="B544" s="3" t="s">
        <v>2448</v>
      </c>
      <c r="C544" s="3" t="s">
        <v>5963</v>
      </c>
      <c r="D544" s="3" t="s">
        <v>6138</v>
      </c>
      <c r="E544" s="3"/>
      <c r="F544" s="3"/>
      <c r="G544" s="3"/>
      <c r="H544" s="3"/>
      <c r="I544" s="3"/>
      <c r="J544" s="3" t="s">
        <v>2449</v>
      </c>
      <c r="K544" s="3"/>
      <c r="L544" s="3" t="s">
        <v>2450</v>
      </c>
      <c r="M544" s="3" t="str">
        <f>HYPERLINK("https://ceds.ed.gov/cedselementdetails.aspx?termid=5570")</f>
        <v>https://ceds.ed.gov/cedselementdetails.aspx?termid=5570</v>
      </c>
      <c r="N544" s="3" t="str">
        <f>HYPERLINK("https://ceds.ed.gov/elementComment.aspx?elementName=Educational Services After Removal &amp;elementID=5570", "Click here to submit comment")</f>
        <v>Click here to submit comment</v>
      </c>
    </row>
    <row r="545" spans="1:14" ht="409.5">
      <c r="A545" s="3" t="s">
        <v>2451</v>
      </c>
      <c r="B545" s="3" t="s">
        <v>2452</v>
      </c>
      <c r="C545" s="3" t="s">
        <v>13</v>
      </c>
      <c r="D545" s="3" t="s">
        <v>6148</v>
      </c>
      <c r="E545" s="3" t="s">
        <v>5968</v>
      </c>
      <c r="F545" s="3" t="s">
        <v>3</v>
      </c>
      <c r="G545" s="3" t="s">
        <v>2453</v>
      </c>
      <c r="H545" s="3"/>
      <c r="I545" s="3"/>
      <c r="J545" s="3" t="s">
        <v>2454</v>
      </c>
      <c r="K545" s="3" t="s">
        <v>2455</v>
      </c>
      <c r="L545" s="3" t="s">
        <v>2456</v>
      </c>
      <c r="M545" s="3" t="str">
        <f>HYPERLINK("https://ceds.ed.gov/cedselementdetails.aspx?termid=5088")</f>
        <v>https://ceds.ed.gov/cedselementdetails.aspx?termid=5088</v>
      </c>
      <c r="N545" s="3" t="str">
        <f>HYPERLINK("https://ceds.ed.gov/elementComment.aspx?elementName=Electronic Mail Address &amp;elementID=5088", "Click here to submit comment")</f>
        <v>Click here to submit comment</v>
      </c>
    </row>
    <row r="546" spans="1:14" ht="409.5">
      <c r="A546" s="3" t="s">
        <v>2457</v>
      </c>
      <c r="B546" s="3" t="s">
        <v>2458</v>
      </c>
      <c r="C546" s="4" t="s">
        <v>6489</v>
      </c>
      <c r="D546" s="3" t="s">
        <v>6148</v>
      </c>
      <c r="E546" s="3" t="s">
        <v>5968</v>
      </c>
      <c r="F546" s="3" t="s">
        <v>3</v>
      </c>
      <c r="G546" s="3"/>
      <c r="H546" s="3"/>
      <c r="I546" s="3"/>
      <c r="J546" s="3" t="s">
        <v>2459</v>
      </c>
      <c r="K546" s="3" t="s">
        <v>2460</v>
      </c>
      <c r="L546" s="3" t="s">
        <v>2461</v>
      </c>
      <c r="M546" s="3" t="str">
        <f>HYPERLINK("https://ceds.ed.gov/cedselementdetails.aspx?termid=5089")</f>
        <v>https://ceds.ed.gov/cedselementdetails.aspx?termid=5089</v>
      </c>
      <c r="N546" s="3" t="str">
        <f>HYPERLINK("https://ceds.ed.gov/elementComment.aspx?elementName=Electronic Mail Address Type &amp;elementID=5089", "Click here to submit comment")</f>
        <v>Click here to submit comment</v>
      </c>
    </row>
    <row r="547" spans="1:14" ht="105">
      <c r="A547" s="3" t="s">
        <v>2462</v>
      </c>
      <c r="B547" s="3" t="s">
        <v>2463</v>
      </c>
      <c r="C547" s="4" t="s">
        <v>6490</v>
      </c>
      <c r="D547" s="3" t="s">
        <v>5979</v>
      </c>
      <c r="E547" s="3" t="s">
        <v>218</v>
      </c>
      <c r="F547" s="3"/>
      <c r="G547" s="3"/>
      <c r="H547" s="3"/>
      <c r="I547" s="3"/>
      <c r="J547" s="3" t="s">
        <v>2464</v>
      </c>
      <c r="K547" s="3"/>
      <c r="L547" s="3" t="s">
        <v>2465</v>
      </c>
      <c r="M547" s="3" t="str">
        <f>HYPERLINK("https://ceds.ed.gov/cedselementdetails.aspx?termid=5091")</f>
        <v>https://ceds.ed.gov/cedselementdetails.aspx?termid=5091</v>
      </c>
      <c r="N547" s="3" t="str">
        <f>HYPERLINK("https://ceds.ed.gov/elementComment.aspx?elementName=Elementary-Middle Additional Indicator Status &amp;elementID=5091", "Click here to submit comment")</f>
        <v>Click here to submit comment</v>
      </c>
    </row>
    <row r="548" spans="1:14" ht="90">
      <c r="A548" s="3" t="s">
        <v>2466</v>
      </c>
      <c r="B548" s="3" t="s">
        <v>2467</v>
      </c>
      <c r="C548" s="4" t="s">
        <v>6491</v>
      </c>
      <c r="D548" s="3" t="s">
        <v>2434</v>
      </c>
      <c r="E548" s="3" t="s">
        <v>5968</v>
      </c>
      <c r="F548" s="3"/>
      <c r="G548" s="3"/>
      <c r="H548" s="3"/>
      <c r="I548" s="3"/>
      <c r="J548" s="3" t="s">
        <v>2468</v>
      </c>
      <c r="K548" s="3"/>
      <c r="L548" s="3" t="s">
        <v>2469</v>
      </c>
      <c r="M548" s="3" t="str">
        <f>HYPERLINK("https://ceds.ed.gov/cedselementdetails.aspx?termid=5092")</f>
        <v>https://ceds.ed.gov/cedselementdetails.aspx?termid=5092</v>
      </c>
      <c r="N548" s="3" t="str">
        <f>HYPERLINK("https://ceds.ed.gov/elementComment.aspx?elementName=Eligibility Status for School Food Service Programs &amp;elementID=5092", "Click here to submit comment")</f>
        <v>Click here to submit comment</v>
      </c>
    </row>
    <row r="549" spans="1:14" ht="45">
      <c r="A549" s="3" t="s">
        <v>2470</v>
      </c>
      <c r="B549" s="3" t="s">
        <v>2471</v>
      </c>
      <c r="C549" s="3" t="s">
        <v>5963</v>
      </c>
      <c r="D549" s="3" t="s">
        <v>6149</v>
      </c>
      <c r="E549" s="3"/>
      <c r="F549" s="3" t="s">
        <v>54</v>
      </c>
      <c r="G549" s="3"/>
      <c r="H549" s="3"/>
      <c r="I549" s="3"/>
      <c r="J549" s="3" t="s">
        <v>2472</v>
      </c>
      <c r="K549" s="3"/>
      <c r="L549" s="3" t="s">
        <v>2473</v>
      </c>
      <c r="M549" s="3" t="str">
        <f>HYPERLINK("https://ceds.ed.gov/cedselementdetails.aspx?termid=6308")</f>
        <v>https://ceds.ed.gov/cedselementdetails.aspx?termid=6308</v>
      </c>
      <c r="N549" s="3" t="str">
        <f>HYPERLINK("https://ceds.ed.gov/elementComment.aspx?elementName=Emergency Contact Indicator &amp;elementID=6308", "Click here to submit comment")</f>
        <v>Click here to submit comment</v>
      </c>
    </row>
    <row r="550" spans="1:14" ht="270">
      <c r="A550" s="3" t="s">
        <v>2474</v>
      </c>
      <c r="B550" s="3" t="s">
        <v>2475</v>
      </c>
      <c r="C550" s="3" t="s">
        <v>6150</v>
      </c>
      <c r="D550" s="3" t="s">
        <v>6151</v>
      </c>
      <c r="E550" s="3" t="s">
        <v>2476</v>
      </c>
      <c r="F550" s="3" t="s">
        <v>66</v>
      </c>
      <c r="G550" s="3"/>
      <c r="H550" s="3" t="s">
        <v>2477</v>
      </c>
      <c r="I550" s="3" t="s">
        <v>2478</v>
      </c>
      <c r="J550" s="3" t="s">
        <v>2479</v>
      </c>
      <c r="K550" s="3"/>
      <c r="L550" s="3" t="s">
        <v>2480</v>
      </c>
      <c r="M550" s="3" t="str">
        <f>HYPERLINK("https://ceds.ed.gov/cedselementdetails.aspx?termid=5990")</f>
        <v>https://ceds.ed.gov/cedselementdetails.aspx?termid=5990</v>
      </c>
      <c r="N550" s="3" t="str">
        <f>HYPERLINK("https://ceds.ed.gov/elementComment.aspx?elementName=Employed After Exit &amp;elementID=5990", "Click here to submit comment")</f>
        <v>Click here to submit comment</v>
      </c>
    </row>
    <row r="551" spans="1:14" ht="225">
      <c r="A551" s="3" t="s">
        <v>2481</v>
      </c>
      <c r="B551" s="3" t="s">
        <v>2482</v>
      </c>
      <c r="C551" s="3" t="s">
        <v>6150</v>
      </c>
      <c r="D551" s="3" t="s">
        <v>2483</v>
      </c>
      <c r="E551" s="3"/>
      <c r="F551" s="3" t="s">
        <v>54</v>
      </c>
      <c r="G551" s="3"/>
      <c r="H551" s="3"/>
      <c r="I551" s="3" t="s">
        <v>2484</v>
      </c>
      <c r="J551" s="3" t="s">
        <v>2485</v>
      </c>
      <c r="K551" s="3"/>
      <c r="L551" s="3" t="s">
        <v>2486</v>
      </c>
      <c r="M551" s="3" t="str">
        <f>HYPERLINK("https://ceds.ed.gov/cedselementdetails.aspx?termid=6309")</f>
        <v>https://ceds.ed.gov/cedselementdetails.aspx?termid=6309</v>
      </c>
      <c r="N551" s="3" t="str">
        <f>HYPERLINK("https://ceds.ed.gov/elementComment.aspx?elementName=Employed Prior to Enrollment &amp;elementID=6309", "Click here to submit comment")</f>
        <v>Click here to submit comment</v>
      </c>
    </row>
    <row r="552" spans="1:14" ht="225">
      <c r="A552" s="3" t="s">
        <v>2487</v>
      </c>
      <c r="B552" s="3" t="s">
        <v>2488</v>
      </c>
      <c r="C552" s="3" t="s">
        <v>6150</v>
      </c>
      <c r="D552" s="3" t="s">
        <v>6151</v>
      </c>
      <c r="E552" s="3" t="s">
        <v>2476</v>
      </c>
      <c r="F552" s="3" t="s">
        <v>66</v>
      </c>
      <c r="G552" s="3"/>
      <c r="H552" s="3" t="s">
        <v>2477</v>
      </c>
      <c r="I552" s="3" t="s">
        <v>2489</v>
      </c>
      <c r="J552" s="3" t="s">
        <v>2490</v>
      </c>
      <c r="K552" s="3"/>
      <c r="L552" s="3" t="s">
        <v>2491</v>
      </c>
      <c r="M552" s="3" t="str">
        <f>HYPERLINK("https://ceds.ed.gov/cedselementdetails.aspx?termid=5989")</f>
        <v>https://ceds.ed.gov/cedselementdetails.aspx?termid=5989</v>
      </c>
      <c r="N552" s="3" t="str">
        <f>HYPERLINK("https://ceds.ed.gov/elementComment.aspx?elementName=Employed While Enrolled &amp;elementID=5989", "Click here to submit comment")</f>
        <v>Click here to submit comment</v>
      </c>
    </row>
    <row r="553" spans="1:14" ht="285">
      <c r="A553" s="3" t="s">
        <v>2492</v>
      </c>
      <c r="B553" s="3" t="s">
        <v>2493</v>
      </c>
      <c r="C553" s="3" t="s">
        <v>13</v>
      </c>
      <c r="D553" s="3" t="s">
        <v>6152</v>
      </c>
      <c r="E553" s="3" t="s">
        <v>202</v>
      </c>
      <c r="F553" s="3" t="s">
        <v>3</v>
      </c>
      <c r="G553" s="3" t="s">
        <v>73</v>
      </c>
      <c r="H553" s="3"/>
      <c r="I553" s="3"/>
      <c r="J553" s="3" t="s">
        <v>2494</v>
      </c>
      <c r="K553" s="3"/>
      <c r="L553" s="3" t="s">
        <v>2495</v>
      </c>
      <c r="M553" s="3" t="str">
        <f>HYPERLINK("https://ceds.ed.gov/cedselementdetails.aspx?termid=5794")</f>
        <v>https://ceds.ed.gov/cedselementdetails.aspx?termid=5794</v>
      </c>
      <c r="N553" s="3" t="str">
        <f>HYPERLINK("https://ceds.ed.gov/elementComment.aspx?elementName=Employment End Date &amp;elementID=5794", "Click here to submit comment")</f>
        <v>Click here to submit comment</v>
      </c>
    </row>
    <row r="554" spans="1:14" ht="409.5">
      <c r="A554" s="3" t="s">
        <v>2496</v>
      </c>
      <c r="B554" s="3" t="s">
        <v>2497</v>
      </c>
      <c r="C554" s="4" t="s">
        <v>6492</v>
      </c>
      <c r="D554" s="3" t="s">
        <v>2483</v>
      </c>
      <c r="E554" s="3"/>
      <c r="F554" s="3" t="s">
        <v>66</v>
      </c>
      <c r="G554" s="3"/>
      <c r="H554" s="3" t="s">
        <v>2498</v>
      </c>
      <c r="I554" s="3" t="s">
        <v>2499</v>
      </c>
      <c r="J554" s="3" t="s">
        <v>2500</v>
      </c>
      <c r="K554" s="3"/>
      <c r="L554" s="3" t="s">
        <v>2501</v>
      </c>
      <c r="M554" s="3" t="str">
        <f>HYPERLINK("https://ceds.ed.gov/cedselementdetails.aspx?termid=5992")</f>
        <v>https://ceds.ed.gov/cedselementdetails.aspx?termid=5992</v>
      </c>
      <c r="N554" s="3" t="str">
        <f>HYPERLINK("https://ceds.ed.gov/elementComment.aspx?elementName=Employment Location &amp;elementID=5992", "Click here to submit comment")</f>
        <v>Click here to submit comment</v>
      </c>
    </row>
    <row r="555" spans="1:14" ht="150">
      <c r="A555" s="3" t="s">
        <v>2502</v>
      </c>
      <c r="B555" s="3" t="s">
        <v>2503</v>
      </c>
      <c r="C555" s="3" t="s">
        <v>2504</v>
      </c>
      <c r="D555" s="3" t="s">
        <v>6151</v>
      </c>
      <c r="E555" s="3"/>
      <c r="F555" s="3"/>
      <c r="G555" s="3" t="s">
        <v>2505</v>
      </c>
      <c r="H555" s="3"/>
      <c r="I555" s="3"/>
      <c r="J555" s="3" t="s">
        <v>2506</v>
      </c>
      <c r="K555" s="3"/>
      <c r="L555" s="3" t="s">
        <v>2507</v>
      </c>
      <c r="M555" s="3" t="str">
        <f>HYPERLINK("https://ceds.ed.gov/cedselementdetails.aspx?termid=6070")</f>
        <v>https://ceds.ed.gov/cedselementdetails.aspx?termid=6070</v>
      </c>
      <c r="N555" s="3" t="str">
        <f>HYPERLINK("https://ceds.ed.gov/elementComment.aspx?elementName=Employment NAICS Code &amp;elementID=6070", "Click here to submit comment")</f>
        <v>Click here to submit comment</v>
      </c>
    </row>
    <row r="556" spans="1:14" ht="300">
      <c r="A556" s="3" t="s">
        <v>2508</v>
      </c>
      <c r="B556" s="3" t="s">
        <v>2509</v>
      </c>
      <c r="C556" s="4" t="s">
        <v>6493</v>
      </c>
      <c r="D556" s="3" t="s">
        <v>2483</v>
      </c>
      <c r="E556" s="3"/>
      <c r="F556" s="3" t="s">
        <v>66</v>
      </c>
      <c r="G556" s="3"/>
      <c r="H556" s="3" t="s">
        <v>2510</v>
      </c>
      <c r="I556" s="3" t="s">
        <v>2511</v>
      </c>
      <c r="J556" s="3" t="s">
        <v>2512</v>
      </c>
      <c r="K556" s="3"/>
      <c r="L556" s="3" t="s">
        <v>2513</v>
      </c>
      <c r="M556" s="3" t="str">
        <f>HYPERLINK("https://ceds.ed.gov/cedselementdetails.aspx?termid=5996")</f>
        <v>https://ceds.ed.gov/cedselementdetails.aspx?termid=5996</v>
      </c>
      <c r="N556" s="3" t="str">
        <f>HYPERLINK("https://ceds.ed.gov/elementComment.aspx?elementName=Employment Record Administrative Data Source &amp;elementID=5996", "Click here to submit comment")</f>
        <v>Click here to submit comment</v>
      </c>
    </row>
    <row r="557" spans="1:14" ht="360">
      <c r="A557" s="3" t="s">
        <v>2514</v>
      </c>
      <c r="B557" s="3" t="s">
        <v>2515</v>
      </c>
      <c r="C557" s="3" t="s">
        <v>13</v>
      </c>
      <c r="D557" s="3" t="s">
        <v>2483</v>
      </c>
      <c r="E557" s="3"/>
      <c r="F557" s="3" t="s">
        <v>66</v>
      </c>
      <c r="G557" s="3" t="s">
        <v>73</v>
      </c>
      <c r="H557" s="3" t="s">
        <v>2516</v>
      </c>
      <c r="I557" s="3" t="s">
        <v>2517</v>
      </c>
      <c r="J557" s="3" t="s">
        <v>2518</v>
      </c>
      <c r="K557" s="3"/>
      <c r="L557" s="3" t="s">
        <v>2519</v>
      </c>
      <c r="M557" s="3" t="str">
        <f>HYPERLINK("https://ceds.ed.gov/cedselementdetails.aspx?termid=5995")</f>
        <v>https://ceds.ed.gov/cedselementdetails.aspx?termid=5995</v>
      </c>
      <c r="N557" s="3" t="str">
        <f>HYPERLINK("https://ceds.ed.gov/elementComment.aspx?elementName=Employment Record Reference Period End Date &amp;elementID=5995", "Click here to submit comment")</f>
        <v>Click here to submit comment</v>
      </c>
    </row>
    <row r="558" spans="1:14" ht="360">
      <c r="A558" s="3" t="s">
        <v>2520</v>
      </c>
      <c r="B558" s="3" t="s">
        <v>2521</v>
      </c>
      <c r="C558" s="3" t="s">
        <v>13</v>
      </c>
      <c r="D558" s="3" t="s">
        <v>2483</v>
      </c>
      <c r="E558" s="3"/>
      <c r="F558" s="3" t="s">
        <v>66</v>
      </c>
      <c r="G558" s="3" t="s">
        <v>73</v>
      </c>
      <c r="H558" s="3" t="s">
        <v>2522</v>
      </c>
      <c r="I558" s="3" t="s">
        <v>2517</v>
      </c>
      <c r="J558" s="3" t="s">
        <v>2523</v>
      </c>
      <c r="K558" s="3"/>
      <c r="L558" s="3" t="s">
        <v>2524</v>
      </c>
      <c r="M558" s="3" t="str">
        <f>HYPERLINK("https://ceds.ed.gov/cedselementdetails.aspx?termid=5994")</f>
        <v>https://ceds.ed.gov/cedselementdetails.aspx?termid=5994</v>
      </c>
      <c r="N558" s="3" t="str">
        <f>HYPERLINK("https://ceds.ed.gov/elementComment.aspx?elementName=Employment Record Reference Period Start Date &amp;elementID=5994", "Click here to submit comment")</f>
        <v>Click here to submit comment</v>
      </c>
    </row>
    <row r="559" spans="1:14" ht="409.5">
      <c r="A559" s="3" t="s">
        <v>2525</v>
      </c>
      <c r="B559" s="3" t="s">
        <v>2526</v>
      </c>
      <c r="C559" s="4" t="s">
        <v>6494</v>
      </c>
      <c r="D559" s="3" t="s">
        <v>6153</v>
      </c>
      <c r="E559" s="3"/>
      <c r="F559" s="3" t="s">
        <v>66</v>
      </c>
      <c r="G559" s="3"/>
      <c r="H559" s="3" t="s">
        <v>2527</v>
      </c>
      <c r="I559" s="3"/>
      <c r="J559" s="3" t="s">
        <v>2528</v>
      </c>
      <c r="K559" s="3"/>
      <c r="L559" s="3" t="s">
        <v>2529</v>
      </c>
      <c r="M559" s="3" t="str">
        <f>HYPERLINK("https://ceds.ed.gov/cedselementdetails.aspx?termid=5613")</f>
        <v>https://ceds.ed.gov/cedselementdetails.aspx?termid=5613</v>
      </c>
      <c r="N559" s="3" t="str">
        <f>HYPERLINK("https://ceds.ed.gov/elementComment.aspx?elementName=Employment Separation Reason &amp;elementID=5613", "Click here to submit comment")</f>
        <v>Click here to submit comment</v>
      </c>
    </row>
    <row r="560" spans="1:14" ht="75">
      <c r="A560" s="3" t="s">
        <v>2530</v>
      </c>
      <c r="B560" s="3" t="s">
        <v>2531</v>
      </c>
      <c r="C560" s="4" t="s">
        <v>6495</v>
      </c>
      <c r="D560" s="3" t="s">
        <v>1779</v>
      </c>
      <c r="E560" s="3"/>
      <c r="F560" s="3"/>
      <c r="G560" s="3"/>
      <c r="H560" s="3"/>
      <c r="I560" s="3"/>
      <c r="J560" s="3" t="s">
        <v>2532</v>
      </c>
      <c r="K560" s="3"/>
      <c r="L560" s="3" t="s">
        <v>2533</v>
      </c>
      <c r="M560" s="3" t="str">
        <f>HYPERLINK("https://ceds.ed.gov/cedselementdetails.aspx?termid=5614")</f>
        <v>https://ceds.ed.gov/cedselementdetails.aspx?termid=5614</v>
      </c>
      <c r="N560" s="3" t="str">
        <f>HYPERLINK("https://ceds.ed.gov/elementComment.aspx?elementName=Employment Separation Type &amp;elementID=5614", "Click here to submit comment")</f>
        <v>Click here to submit comment</v>
      </c>
    </row>
    <row r="561" spans="1:14" ht="285">
      <c r="A561" s="3" t="s">
        <v>2534</v>
      </c>
      <c r="B561" s="3" t="s">
        <v>2535</v>
      </c>
      <c r="C561" s="3" t="s">
        <v>13</v>
      </c>
      <c r="D561" s="3" t="s">
        <v>6152</v>
      </c>
      <c r="E561" s="3" t="s">
        <v>6154</v>
      </c>
      <c r="F561" s="3" t="s">
        <v>3</v>
      </c>
      <c r="G561" s="3" t="s">
        <v>73</v>
      </c>
      <c r="H561" s="3"/>
      <c r="I561" s="3"/>
      <c r="J561" s="3" t="s">
        <v>2536</v>
      </c>
      <c r="K561" s="3"/>
      <c r="L561" s="3" t="s">
        <v>2537</v>
      </c>
      <c r="M561" s="3" t="str">
        <f>HYPERLINK("https://ceds.ed.gov/cedselementdetails.aspx?termid=5345")</f>
        <v>https://ceds.ed.gov/cedselementdetails.aspx?termid=5345</v>
      </c>
      <c r="N561" s="3" t="str">
        <f>HYPERLINK("https://ceds.ed.gov/elementComment.aspx?elementName=Employment Start Date &amp;elementID=5345", "Click here to submit comment")</f>
        <v>Click here to submit comment</v>
      </c>
    </row>
    <row r="562" spans="1:14" ht="210">
      <c r="A562" s="3" t="s">
        <v>2538</v>
      </c>
      <c r="B562" s="3" t="s">
        <v>285</v>
      </c>
      <c r="C562" s="4" t="s">
        <v>6496</v>
      </c>
      <c r="D562" s="3" t="s">
        <v>6155</v>
      </c>
      <c r="E562" s="3" t="s">
        <v>6131</v>
      </c>
      <c r="F562" s="3"/>
      <c r="G562" s="3"/>
      <c r="H562" s="3"/>
      <c r="I562" s="3"/>
      <c r="J562" s="3" t="s">
        <v>2539</v>
      </c>
      <c r="K562" s="3"/>
      <c r="L562" s="3" t="s">
        <v>2540</v>
      </c>
      <c r="M562" s="3" t="str">
        <f>HYPERLINK("https://ceds.ed.gov/cedselementdetails.aspx?termid=5346")</f>
        <v>https://ceds.ed.gov/cedselementdetails.aspx?termid=5346</v>
      </c>
      <c r="N562" s="3" t="str">
        <f>HYPERLINK("https://ceds.ed.gov/elementComment.aspx?elementName=Employment Status &amp;elementID=5346", "Click here to submit comment")</f>
        <v>Click here to submit comment</v>
      </c>
    </row>
    <row r="563" spans="1:14" ht="75">
      <c r="A563" s="3" t="s">
        <v>2541</v>
      </c>
      <c r="B563" s="3" t="s">
        <v>2542</v>
      </c>
      <c r="C563" s="4" t="s">
        <v>6497</v>
      </c>
      <c r="D563" s="3" t="s">
        <v>2543</v>
      </c>
      <c r="E563" s="3"/>
      <c r="F563" s="3" t="s">
        <v>54</v>
      </c>
      <c r="G563" s="3"/>
      <c r="H563" s="3"/>
      <c r="I563" s="3"/>
      <c r="J563" s="3" t="s">
        <v>2544</v>
      </c>
      <c r="K563" s="3"/>
      <c r="L563" s="3" t="s">
        <v>2545</v>
      </c>
      <c r="M563" s="3" t="str">
        <f>HYPERLINK("https://ceds.ed.gov/cedselementdetails.aspx?termid=6310")</f>
        <v>https://ceds.ed.gov/cedselementdetails.aspx?termid=6310</v>
      </c>
      <c r="N563" s="3" t="str">
        <f>HYPERLINK("https://ceds.ed.gov/elementComment.aspx?elementName=Employment Status While Enrolled &amp;elementID=6310", "Click here to submit comment")</f>
        <v>Click here to submit comment</v>
      </c>
    </row>
    <row r="564" spans="1:14" ht="45">
      <c r="A564" s="3" t="s">
        <v>2546</v>
      </c>
      <c r="B564" s="3" t="s">
        <v>2547</v>
      </c>
      <c r="C564" s="3" t="s">
        <v>6156</v>
      </c>
      <c r="D564" s="3" t="s">
        <v>30</v>
      </c>
      <c r="E564" s="3" t="s">
        <v>2</v>
      </c>
      <c r="F564" s="3"/>
      <c r="G564" s="3"/>
      <c r="H564" s="3"/>
      <c r="I564" s="3"/>
      <c r="J564" s="3" t="s">
        <v>2548</v>
      </c>
      <c r="K564" s="3"/>
      <c r="L564" s="3" t="s">
        <v>2549</v>
      </c>
      <c r="M564" s="3" t="str">
        <f>HYPERLINK("https://ceds.ed.gov/cedselementdetails.aspx?termid=5093")</f>
        <v>https://ceds.ed.gov/cedselementdetails.aspx?termid=5093</v>
      </c>
      <c r="N564" s="3" t="str">
        <f>HYPERLINK("https://ceds.ed.gov/elementComment.aspx?elementName=End of Term Status &amp;elementID=5093", "Click here to submit comment")</f>
        <v>Click here to submit comment</v>
      </c>
    </row>
    <row r="565" spans="1:14" ht="75">
      <c r="A565" s="3" t="s">
        <v>2550</v>
      </c>
      <c r="B565" s="3" t="s">
        <v>2551</v>
      </c>
      <c r="C565" s="3" t="s">
        <v>13</v>
      </c>
      <c r="D565" s="3" t="s">
        <v>6157</v>
      </c>
      <c r="E565" s="3" t="s">
        <v>5988</v>
      </c>
      <c r="F565" s="3"/>
      <c r="G565" s="3" t="s">
        <v>73</v>
      </c>
      <c r="H565" s="3"/>
      <c r="I565" s="3"/>
      <c r="J565" s="3" t="s">
        <v>2552</v>
      </c>
      <c r="K565" s="3"/>
      <c r="L565" s="3" t="s">
        <v>2553</v>
      </c>
      <c r="M565" s="3" t="str">
        <f>HYPERLINK("https://ceds.ed.gov/cedselementdetails.aspx?termid=5324")</f>
        <v>https://ceds.ed.gov/cedselementdetails.aspx?termid=5324</v>
      </c>
      <c r="N565" s="3" t="str">
        <f>HYPERLINK("https://ceds.ed.gov/elementComment.aspx?elementName=Enrollment Date &amp;elementID=5324", "Click here to submit comment")</f>
        <v>Click here to submit comment</v>
      </c>
    </row>
    <row r="566" spans="1:14" ht="165">
      <c r="A566" s="3" t="s">
        <v>2554</v>
      </c>
      <c r="B566" s="3" t="s">
        <v>2555</v>
      </c>
      <c r="C566" s="3" t="s">
        <v>13</v>
      </c>
      <c r="D566" s="3" t="s">
        <v>6158</v>
      </c>
      <c r="E566" s="3" t="s">
        <v>6159</v>
      </c>
      <c r="F566" s="3"/>
      <c r="G566" s="3" t="s">
        <v>73</v>
      </c>
      <c r="H566" s="3"/>
      <c r="I566" s="3"/>
      <c r="J566" s="3" t="s">
        <v>2556</v>
      </c>
      <c r="K566" s="3"/>
      <c r="L566" s="3" t="s">
        <v>2557</v>
      </c>
      <c r="M566" s="3" t="str">
        <f>HYPERLINK("https://ceds.ed.gov/cedselementdetails.aspx?termid=5097")</f>
        <v>https://ceds.ed.gov/cedselementdetails.aspx?termid=5097</v>
      </c>
      <c r="N566" s="3" t="str">
        <f>HYPERLINK("https://ceds.ed.gov/elementComment.aspx?elementName=Enrollment Entry Date &amp;elementID=5097", "Click here to submit comment")</f>
        <v>Click here to submit comment</v>
      </c>
    </row>
    <row r="567" spans="1:14" ht="285">
      <c r="A567" s="3" t="s">
        <v>2558</v>
      </c>
      <c r="B567" s="3" t="s">
        <v>2559</v>
      </c>
      <c r="C567" s="4" t="s">
        <v>6346</v>
      </c>
      <c r="D567" s="3" t="s">
        <v>1708</v>
      </c>
      <c r="E567" s="3" t="s">
        <v>5976</v>
      </c>
      <c r="F567" s="3"/>
      <c r="G567" s="3"/>
      <c r="H567" s="3"/>
      <c r="I567" s="3"/>
      <c r="J567" s="3" t="s">
        <v>2560</v>
      </c>
      <c r="K567" s="3"/>
      <c r="L567" s="3" t="s">
        <v>2561</v>
      </c>
      <c r="M567" s="3" t="str">
        <f>HYPERLINK("https://ceds.ed.gov/cedselementdetails.aspx?termid=5360")</f>
        <v>https://ceds.ed.gov/cedselementdetails.aspx?termid=5360</v>
      </c>
      <c r="N567" s="3" t="str">
        <f>HYPERLINK("https://ceds.ed.gov/elementComment.aspx?elementName=Enrollment in Postsecondary Award Type &amp;elementID=5360", "Click here to submit comment")</f>
        <v>Click here to submit comment</v>
      </c>
    </row>
    <row r="568" spans="1:14" ht="75">
      <c r="A568" s="3" t="s">
        <v>2562</v>
      </c>
      <c r="B568" s="3" t="s">
        <v>2563</v>
      </c>
      <c r="C568" s="4" t="s">
        <v>6498</v>
      </c>
      <c r="D568" s="3" t="s">
        <v>154</v>
      </c>
      <c r="E568" s="3" t="s">
        <v>218</v>
      </c>
      <c r="F568" s="3"/>
      <c r="G568" s="3"/>
      <c r="H568" s="3"/>
      <c r="I568" s="3"/>
      <c r="J568" s="3" t="s">
        <v>2564</v>
      </c>
      <c r="K568" s="3"/>
      <c r="L568" s="3" t="s">
        <v>2565</v>
      </c>
      <c r="M568" s="3" t="str">
        <f>HYPERLINK("https://ceds.ed.gov/cedselementdetails.aspx?termid=5094")</f>
        <v>https://ceds.ed.gov/cedselementdetails.aspx?termid=5094</v>
      </c>
      <c r="N568" s="3" t="str">
        <f>HYPERLINK("https://ceds.ed.gov/elementComment.aspx?elementName=Enrollment Status &amp;elementID=5094", "Click here to submit comment")</f>
        <v>Click here to submit comment</v>
      </c>
    </row>
    <row r="569" spans="1:14" ht="90">
      <c r="A569" s="3" t="s">
        <v>2566</v>
      </c>
      <c r="B569" s="3" t="s">
        <v>2567</v>
      </c>
      <c r="C569" s="3" t="s">
        <v>13</v>
      </c>
      <c r="D569" s="3" t="s">
        <v>1708</v>
      </c>
      <c r="E569" s="3" t="s">
        <v>6160</v>
      </c>
      <c r="F569" s="3"/>
      <c r="G569" s="3" t="s">
        <v>73</v>
      </c>
      <c r="H569" s="3"/>
      <c r="I569" s="3"/>
      <c r="J569" s="3" t="s">
        <v>2568</v>
      </c>
      <c r="K569" s="3"/>
      <c r="L569" s="3" t="s">
        <v>2569</v>
      </c>
      <c r="M569" s="3" t="str">
        <f>HYPERLINK("https://ceds.ed.gov/cedselementdetails.aspx?termid=5098")</f>
        <v>https://ceds.ed.gov/cedselementdetails.aspx?termid=5098</v>
      </c>
      <c r="N569" s="3" t="str">
        <f>HYPERLINK("https://ceds.ed.gov/elementComment.aspx?elementName=Entry Date into Postsecondary &amp;elementID=5098", "Click here to submit comment")</f>
        <v>Click here to submit comment</v>
      </c>
    </row>
    <row r="570" spans="1:14" ht="330">
      <c r="A570" s="3" t="s">
        <v>2570</v>
      </c>
      <c r="B570" s="3" t="s">
        <v>2571</v>
      </c>
      <c r="C570" s="4" t="s">
        <v>6499</v>
      </c>
      <c r="D570" s="3" t="s">
        <v>6161</v>
      </c>
      <c r="E570" s="3" t="s">
        <v>6084</v>
      </c>
      <c r="F570" s="3" t="s">
        <v>3</v>
      </c>
      <c r="G570" s="3"/>
      <c r="H570" s="3"/>
      <c r="I570" s="3"/>
      <c r="J570" s="3" t="s">
        <v>2572</v>
      </c>
      <c r="K570" s="3"/>
      <c r="L570" s="3" t="s">
        <v>2573</v>
      </c>
      <c r="M570" s="3" t="str">
        <f>HYPERLINK("https://ceds.ed.gov/cedselementdetails.aspx?termid=5100")</f>
        <v>https://ceds.ed.gov/cedselementdetails.aspx?termid=5100</v>
      </c>
      <c r="N570" s="3" t="str">
        <f>HYPERLINK("https://ceds.ed.gov/elementComment.aspx?elementName=Entry Grade Level &amp;elementID=5100", "Click here to submit comment")</f>
        <v>Click here to submit comment</v>
      </c>
    </row>
    <row r="571" spans="1:14" ht="409.5">
      <c r="A571" s="3" t="s">
        <v>2574</v>
      </c>
      <c r="B571" s="3" t="s">
        <v>2575</v>
      </c>
      <c r="C571" s="4" t="s">
        <v>6500</v>
      </c>
      <c r="D571" s="3" t="s">
        <v>154</v>
      </c>
      <c r="E571" s="3" t="s">
        <v>5968</v>
      </c>
      <c r="F571" s="3"/>
      <c r="G571" s="3"/>
      <c r="H571" s="3"/>
      <c r="I571" s="3"/>
      <c r="J571" s="3" t="s">
        <v>2576</v>
      </c>
      <c r="K571" s="3"/>
      <c r="L571" s="3" t="s">
        <v>2577</v>
      </c>
      <c r="M571" s="3" t="str">
        <f>HYPERLINK("https://ceds.ed.gov/cedselementdetails.aspx?termid=5099")</f>
        <v>https://ceds.ed.gov/cedselementdetails.aspx?termid=5099</v>
      </c>
      <c r="N571" s="3" t="str">
        <f>HYPERLINK("https://ceds.ed.gov/elementComment.aspx?elementName=Entry Type &amp;elementID=5099", "Click here to submit comment")</f>
        <v>Click here to submit comment</v>
      </c>
    </row>
    <row r="572" spans="1:14" ht="150">
      <c r="A572" s="3" t="s">
        <v>2578</v>
      </c>
      <c r="B572" s="3" t="s">
        <v>2579</v>
      </c>
      <c r="C572" s="3" t="s">
        <v>13</v>
      </c>
      <c r="D572" s="3" t="s">
        <v>6162</v>
      </c>
      <c r="E572" s="3" t="s">
        <v>24</v>
      </c>
      <c r="F572" s="3"/>
      <c r="G572" s="3" t="s">
        <v>73</v>
      </c>
      <c r="H572" s="3"/>
      <c r="I572" s="3"/>
      <c r="J572" s="3" t="s">
        <v>2580</v>
      </c>
      <c r="K572" s="3"/>
      <c r="L572" s="3" t="s">
        <v>2581</v>
      </c>
      <c r="M572" s="3" t="str">
        <f>HYPERLINK("https://ceds.ed.gov/cedselementdetails.aspx?termid=5107")</f>
        <v>https://ceds.ed.gov/cedselementdetails.aspx?termid=5107</v>
      </c>
      <c r="N572" s="3" t="str">
        <f>HYPERLINK("https://ceds.ed.gov/elementComment.aspx?elementName=Exit Date &amp;elementID=5107", "Click here to submit comment")</f>
        <v>Click here to submit comment</v>
      </c>
    </row>
    <row r="573" spans="1:14" ht="330">
      <c r="A573" s="3" t="s">
        <v>2582</v>
      </c>
      <c r="B573" s="3" t="s">
        <v>2583</v>
      </c>
      <c r="C573" s="4" t="s">
        <v>6499</v>
      </c>
      <c r="D573" s="3" t="s">
        <v>6161</v>
      </c>
      <c r="E573" s="3"/>
      <c r="F573" s="3" t="s">
        <v>3</v>
      </c>
      <c r="G573" s="3"/>
      <c r="H573" s="3"/>
      <c r="I573" s="3"/>
      <c r="J573" s="3" t="s">
        <v>2584</v>
      </c>
      <c r="K573" s="3"/>
      <c r="L573" s="3" t="s">
        <v>2585</v>
      </c>
      <c r="M573" s="3" t="str">
        <f>HYPERLINK("https://ceds.ed.gov/cedselementdetails.aspx?termid=6177")</f>
        <v>https://ceds.ed.gov/cedselementdetails.aspx?termid=6177</v>
      </c>
      <c r="N573" s="3" t="str">
        <f>HYPERLINK("https://ceds.ed.gov/elementComment.aspx?elementName=Exit Grade Level &amp;elementID=6177", "Click here to submit comment")</f>
        <v>Click here to submit comment</v>
      </c>
    </row>
    <row r="574" spans="1:14" ht="60">
      <c r="A574" s="3" t="s">
        <v>2586</v>
      </c>
      <c r="B574" s="3" t="s">
        <v>2587</v>
      </c>
      <c r="C574" s="3" t="s">
        <v>6163</v>
      </c>
      <c r="D574" s="3" t="s">
        <v>6164</v>
      </c>
      <c r="E574" s="3" t="s">
        <v>1990</v>
      </c>
      <c r="F574" s="3"/>
      <c r="G574" s="3"/>
      <c r="H574" s="3"/>
      <c r="I574" s="3"/>
      <c r="J574" s="3" t="s">
        <v>2588</v>
      </c>
      <c r="K574" s="3"/>
      <c r="L574" s="3" t="s">
        <v>2589</v>
      </c>
      <c r="M574" s="3" t="str">
        <f>HYPERLINK("https://ceds.ed.gov/cedselementdetails.aspx?termid=5108")</f>
        <v>https://ceds.ed.gov/cedselementdetails.aspx?termid=5108</v>
      </c>
      <c r="N574" s="3" t="str">
        <f>HYPERLINK("https://ceds.ed.gov/elementComment.aspx?elementName=Exit or Withdrawal Status &amp;elementID=5108", "Click here to submit comment")</f>
        <v>Click here to submit comment</v>
      </c>
    </row>
    <row r="575" spans="1:14" ht="409.5">
      <c r="A575" s="3" t="s">
        <v>2590</v>
      </c>
      <c r="B575" s="3" t="s">
        <v>2591</v>
      </c>
      <c r="C575" s="4" t="s">
        <v>6501</v>
      </c>
      <c r="D575" s="3" t="s">
        <v>154</v>
      </c>
      <c r="E575" s="3" t="s">
        <v>6165</v>
      </c>
      <c r="F575" s="3"/>
      <c r="G575" s="3"/>
      <c r="H575" s="3"/>
      <c r="I575" s="3"/>
      <c r="J575" s="3" t="s">
        <v>2592</v>
      </c>
      <c r="K575" s="3"/>
      <c r="L575" s="3" t="s">
        <v>2593</v>
      </c>
      <c r="M575" s="3" t="str">
        <f>HYPERLINK("https://ceds.ed.gov/cedselementdetails.aspx?termid=5110")</f>
        <v>https://ceds.ed.gov/cedselementdetails.aspx?termid=5110</v>
      </c>
      <c r="N575" s="3" t="str">
        <f>HYPERLINK("https://ceds.ed.gov/elementComment.aspx?elementName=Exit or Withdrawal Type &amp;elementID=5110", "Click here to submit comment")</f>
        <v>Click here to submit comment</v>
      </c>
    </row>
    <row r="576" spans="1:14" ht="409.5">
      <c r="A576" s="3" t="s">
        <v>2594</v>
      </c>
      <c r="B576" s="3" t="s">
        <v>2595</v>
      </c>
      <c r="C576" s="4" t="s">
        <v>6502</v>
      </c>
      <c r="D576" s="3" t="s">
        <v>6166</v>
      </c>
      <c r="E576" s="3"/>
      <c r="F576" s="3" t="s">
        <v>3</v>
      </c>
      <c r="G576" s="3"/>
      <c r="H576" s="3"/>
      <c r="I576" s="3"/>
      <c r="J576" s="3" t="s">
        <v>2596</v>
      </c>
      <c r="K576" s="3"/>
      <c r="L576" s="3" t="s">
        <v>2597</v>
      </c>
      <c r="M576" s="3" t="str">
        <f>HYPERLINK("https://ceds.ed.gov/cedselementdetails.aspx?termid=5222")</f>
        <v>https://ceds.ed.gov/cedselementdetails.aspx?termid=5222</v>
      </c>
      <c r="N576" s="3" t="str">
        <f>HYPERLINK("https://ceds.ed.gov/elementComment.aspx?elementName=Exit Reason &amp;elementID=5222", "Click here to submit comment")</f>
        <v>Click here to submit comment</v>
      </c>
    </row>
    <row r="577" spans="1:14" ht="120">
      <c r="A577" s="3" t="s">
        <v>2598</v>
      </c>
      <c r="B577" s="3" t="s">
        <v>2599</v>
      </c>
      <c r="C577" s="3" t="s">
        <v>13</v>
      </c>
      <c r="D577" s="3" t="s">
        <v>6167</v>
      </c>
      <c r="E577" s="3"/>
      <c r="F577" s="3"/>
      <c r="G577" s="3" t="s">
        <v>149</v>
      </c>
      <c r="H577" s="3"/>
      <c r="I577" s="3"/>
      <c r="J577" s="3" t="s">
        <v>2600</v>
      </c>
      <c r="K577" s="3"/>
      <c r="L577" s="3" t="s">
        <v>2601</v>
      </c>
      <c r="M577" s="3" t="str">
        <f>HYPERLINK("https://ceds.ed.gov/cedselementdetails.aspx?termid=5495")</f>
        <v>https://ceds.ed.gov/cedselementdetails.aspx?termid=5495</v>
      </c>
      <c r="N577" s="3" t="str">
        <f>HYPERLINK("https://ceds.ed.gov/elementComment.aspx?elementName=Facilities Identifier &amp;elementID=5495", "Click here to submit comment")</f>
        <v>Click here to submit comment</v>
      </c>
    </row>
    <row r="578" spans="1:14" ht="30">
      <c r="A578" s="3" t="s">
        <v>2602</v>
      </c>
      <c r="B578" s="3" t="s">
        <v>2603</v>
      </c>
      <c r="C578" s="3" t="s">
        <v>13</v>
      </c>
      <c r="D578" s="3" t="s">
        <v>1509</v>
      </c>
      <c r="E578" s="3"/>
      <c r="F578" s="3"/>
      <c r="G578" s="3" t="s">
        <v>106</v>
      </c>
      <c r="H578" s="3"/>
      <c r="I578" s="3"/>
      <c r="J578" s="3" t="s">
        <v>2604</v>
      </c>
      <c r="K578" s="3"/>
      <c r="L578" s="3" t="s">
        <v>2605</v>
      </c>
      <c r="M578" s="3" t="str">
        <f>HYPERLINK("https://ceds.ed.gov/cedselementdetails.aspx?termid=6172")</f>
        <v>https://ceds.ed.gov/cedselementdetails.aspx?termid=6172</v>
      </c>
      <c r="N578" s="3" t="str">
        <f>HYPERLINK("https://ceds.ed.gov/elementComment.aspx?elementName=Facility Building Name &amp;elementID=6172", "Click here to submit comment")</f>
        <v>Click here to submit comment</v>
      </c>
    </row>
    <row r="579" spans="1:14" ht="60">
      <c r="A579" s="3" t="s">
        <v>2606</v>
      </c>
      <c r="B579" s="3" t="s">
        <v>2607</v>
      </c>
      <c r="C579" s="3" t="s">
        <v>6168</v>
      </c>
      <c r="D579" s="3" t="s">
        <v>1774</v>
      </c>
      <c r="E579" s="3" t="s">
        <v>6145</v>
      </c>
      <c r="F579" s="3"/>
      <c r="G579" s="3"/>
      <c r="H579" s="3"/>
      <c r="I579" s="3"/>
      <c r="J579" s="3" t="s">
        <v>2608</v>
      </c>
      <c r="K579" s="3"/>
      <c r="L579" s="3" t="s">
        <v>2609</v>
      </c>
      <c r="M579" s="3" t="str">
        <f>HYPERLINK("https://ceds.ed.gov/cedselementdetails.aspx?termid=5985")</f>
        <v>https://ceds.ed.gov/cedselementdetails.aspx?termid=5985</v>
      </c>
      <c r="N579" s="3" t="str">
        <f>HYPERLINK("https://ceds.ed.gov/elementComment.aspx?elementName=Facility Licensing Status &amp;elementID=5985", "Click here to submit comment")</f>
        <v>Click here to submit comment</v>
      </c>
    </row>
    <row r="580" spans="1:14" ht="75">
      <c r="A580" s="3" t="s">
        <v>2610</v>
      </c>
      <c r="B580" s="3" t="s">
        <v>2611</v>
      </c>
      <c r="C580" s="4" t="s">
        <v>6503</v>
      </c>
      <c r="D580" s="3" t="s">
        <v>2612</v>
      </c>
      <c r="E580" s="3" t="s">
        <v>65</v>
      </c>
      <c r="F580" s="3"/>
      <c r="G580" s="3"/>
      <c r="H580" s="3"/>
      <c r="I580" s="3"/>
      <c r="J580" s="3" t="s">
        <v>2613</v>
      </c>
      <c r="K580" s="3"/>
      <c r="L580" s="3" t="s">
        <v>2614</v>
      </c>
      <c r="M580" s="3" t="str">
        <f>HYPERLINK("https://ceds.ed.gov/cedselementdetails.aspx?termid=5834")</f>
        <v>https://ceds.ed.gov/cedselementdetails.aspx?termid=5834</v>
      </c>
      <c r="N580" s="3" t="str">
        <f>HYPERLINK("https://ceds.ed.gov/elementComment.aspx?elementName=Facility Profit Status &amp;elementID=5834", "Click here to submit comment")</f>
        <v>Click here to submit comment</v>
      </c>
    </row>
    <row r="581" spans="1:14" ht="45">
      <c r="A581" s="3" t="s">
        <v>2615</v>
      </c>
      <c r="B581" s="3" t="s">
        <v>2616</v>
      </c>
      <c r="C581" s="3" t="s">
        <v>13</v>
      </c>
      <c r="D581" s="3" t="s">
        <v>1509</v>
      </c>
      <c r="E581" s="3"/>
      <c r="F581" s="3"/>
      <c r="G581" s="3" t="s">
        <v>93</v>
      </c>
      <c r="H581" s="3"/>
      <c r="I581" s="3"/>
      <c r="J581" s="3" t="s">
        <v>2617</v>
      </c>
      <c r="K581" s="3"/>
      <c r="L581" s="3" t="s">
        <v>2618</v>
      </c>
      <c r="M581" s="3" t="str">
        <f>HYPERLINK("https://ceds.ed.gov/cedselementdetails.aspx?termid=6174")</f>
        <v>https://ceds.ed.gov/cedselementdetails.aspx?termid=6174</v>
      </c>
      <c r="N581" s="3" t="str">
        <f>HYPERLINK("https://ceds.ed.gov/elementComment.aspx?elementName=Facility Space Description &amp;elementID=6174", "Click here to submit comment")</f>
        <v>Click here to submit comment</v>
      </c>
    </row>
    <row r="582" spans="1:14" ht="255">
      <c r="A582" s="3" t="s">
        <v>2619</v>
      </c>
      <c r="B582" s="3" t="s">
        <v>2620</v>
      </c>
      <c r="C582" s="4" t="s">
        <v>6504</v>
      </c>
      <c r="D582" s="3" t="s">
        <v>1509</v>
      </c>
      <c r="E582" s="3"/>
      <c r="F582" s="3"/>
      <c r="G582" s="3"/>
      <c r="H582" s="3"/>
      <c r="I582" s="3"/>
      <c r="J582" s="3" t="s">
        <v>2621</v>
      </c>
      <c r="K582" s="3"/>
      <c r="L582" s="3" t="s">
        <v>2622</v>
      </c>
      <c r="M582" s="3" t="str">
        <f>HYPERLINK("https://ceds.ed.gov/cedselementdetails.aspx?termid=6175")</f>
        <v>https://ceds.ed.gov/cedselementdetails.aspx?termid=6175</v>
      </c>
      <c r="N582" s="3" t="str">
        <f>HYPERLINK("https://ceds.ed.gov/elementComment.aspx?elementName=Facility Space Use Type &amp;elementID=6175", "Click here to submit comment")</f>
        <v>Click here to submit comment</v>
      </c>
    </row>
    <row r="583" spans="1:14" ht="120">
      <c r="A583" s="3" t="s">
        <v>2623</v>
      </c>
      <c r="B583" s="3" t="s">
        <v>2624</v>
      </c>
      <c r="C583" s="4" t="s">
        <v>6505</v>
      </c>
      <c r="D583" s="3" t="s">
        <v>2625</v>
      </c>
      <c r="E583" s="3" t="s">
        <v>6051</v>
      </c>
      <c r="F583" s="3"/>
      <c r="G583" s="3"/>
      <c r="H583" s="3"/>
      <c r="I583" s="3"/>
      <c r="J583" s="3" t="s">
        <v>2626</v>
      </c>
      <c r="K583" s="3"/>
      <c r="L583" s="3" t="s">
        <v>2627</v>
      </c>
      <c r="M583" s="3" t="str">
        <f>HYPERLINK("https://ceds.ed.gov/cedselementdetails.aspx?termid=5582")</f>
        <v>https://ceds.ed.gov/cedselementdetails.aspx?termid=5582</v>
      </c>
      <c r="N583" s="3" t="str">
        <f>HYPERLINK("https://ceds.ed.gov/elementComment.aspx?elementName=Faculty and Administration Performance Level &amp;elementID=5582", "Click here to submit comment")</f>
        <v>Click here to submit comment</v>
      </c>
    </row>
    <row r="584" spans="1:14" ht="405">
      <c r="A584" s="3" t="s">
        <v>2628</v>
      </c>
      <c r="B584" s="3" t="s">
        <v>2629</v>
      </c>
      <c r="C584" s="3" t="s">
        <v>5963</v>
      </c>
      <c r="D584" s="3" t="s">
        <v>35</v>
      </c>
      <c r="E584" s="3" t="s">
        <v>36</v>
      </c>
      <c r="F584" s="3"/>
      <c r="G584" s="3"/>
      <c r="H584" s="3"/>
      <c r="I584" s="3" t="s">
        <v>2630</v>
      </c>
      <c r="J584" s="3" t="s">
        <v>2631</v>
      </c>
      <c r="K584" s="3"/>
      <c r="L584" s="3" t="s">
        <v>2632</v>
      </c>
      <c r="M584" s="3" t="str">
        <f>HYPERLINK("https://ceds.ed.gov/cedselementdetails.aspx?termid=5711")</f>
        <v>https://ceds.ed.gov/cedselementdetails.aspx?termid=5711</v>
      </c>
      <c r="N584" s="3" t="str">
        <f>HYPERLINK("https://ceds.ed.gov/elementComment.aspx?elementName=Faculty Status &amp;elementID=5711", "Click here to submit comment")</f>
        <v>Click here to submit comment</v>
      </c>
    </row>
    <row r="585" spans="1:14" ht="45">
      <c r="A585" s="3" t="s">
        <v>2633</v>
      </c>
      <c r="B585" s="3" t="s">
        <v>2634</v>
      </c>
      <c r="C585" s="3" t="s">
        <v>5963</v>
      </c>
      <c r="D585" s="3" t="s">
        <v>6081</v>
      </c>
      <c r="E585" s="3"/>
      <c r="F585" s="3" t="s">
        <v>54</v>
      </c>
      <c r="G585" s="3"/>
      <c r="H585" s="3"/>
      <c r="I585" s="3"/>
      <c r="J585" s="3" t="s">
        <v>2635</v>
      </c>
      <c r="K585" s="3"/>
      <c r="L585" s="3" t="s">
        <v>2636</v>
      </c>
      <c r="M585" s="3" t="str">
        <f>HYPERLINK("https://ceds.ed.gov/cedselementdetails.aspx?termid=6311")</f>
        <v>https://ceds.ed.gov/cedselementdetails.aspx?termid=6311</v>
      </c>
      <c r="N585" s="3" t="str">
        <f>HYPERLINK("https://ceds.ed.gov/elementComment.aspx?elementName=Family and Consumer Sciences Course Indicator &amp;elementID=6311", "Click here to submit comment")</f>
        <v>Click here to submit comment</v>
      </c>
    </row>
    <row r="586" spans="1:14" ht="60">
      <c r="A586" s="3" t="s">
        <v>2637</v>
      </c>
      <c r="B586" s="3" t="s">
        <v>2638</v>
      </c>
      <c r="C586" s="3" t="s">
        <v>13</v>
      </c>
      <c r="D586" s="3" t="s">
        <v>2639</v>
      </c>
      <c r="E586" s="3" t="s">
        <v>6095</v>
      </c>
      <c r="F586" s="3"/>
      <c r="G586" s="3" t="s">
        <v>100</v>
      </c>
      <c r="H586" s="3"/>
      <c r="I586" s="3"/>
      <c r="J586" s="3" t="s">
        <v>2640</v>
      </c>
      <c r="K586" s="3"/>
      <c r="L586" s="3" t="s">
        <v>2641</v>
      </c>
      <c r="M586" s="3" t="str">
        <f>HYPERLINK("https://ceds.ed.gov/cedselementdetails.aspx?termid=5784")</f>
        <v>https://ceds.ed.gov/cedselementdetails.aspx?termid=5784</v>
      </c>
      <c r="N586" s="3" t="str">
        <f>HYPERLINK("https://ceds.ed.gov/elementComment.aspx?elementName=Family Identifier &amp;elementID=5784", "Click here to submit comment")</f>
        <v>Click here to submit comment</v>
      </c>
    </row>
    <row r="587" spans="1:14" ht="409.5">
      <c r="A587" s="3" t="s">
        <v>2642</v>
      </c>
      <c r="B587" s="3" t="s">
        <v>2643</v>
      </c>
      <c r="C587" s="3" t="s">
        <v>13</v>
      </c>
      <c r="D587" s="3" t="s">
        <v>2644</v>
      </c>
      <c r="E587" s="3" t="s">
        <v>5988</v>
      </c>
      <c r="F587" s="3" t="s">
        <v>66</v>
      </c>
      <c r="G587" s="3" t="s">
        <v>1461</v>
      </c>
      <c r="H587" s="3" t="s">
        <v>2645</v>
      </c>
      <c r="I587" s="3" t="s">
        <v>2646</v>
      </c>
      <c r="J587" s="3" t="s">
        <v>2647</v>
      </c>
      <c r="K587" s="3"/>
      <c r="L587" s="3" t="s">
        <v>2648</v>
      </c>
      <c r="M587" s="3" t="str">
        <f>HYPERLINK("https://ceds.ed.gov/cedselementdetails.aspx?termid=5331")</f>
        <v>https://ceds.ed.gov/cedselementdetails.aspx?termid=5331</v>
      </c>
      <c r="N587" s="3" t="str">
        <f>HYPERLINK("https://ceds.ed.gov/elementComment.aspx?elementName=Family Income &amp;elementID=5331", "Click here to submit comment")</f>
        <v>Click here to submit comment</v>
      </c>
    </row>
    <row r="588" spans="1:14" ht="165">
      <c r="A588" s="3" t="s">
        <v>2649</v>
      </c>
      <c r="B588" s="3" t="s">
        <v>2650</v>
      </c>
      <c r="C588" s="4" t="s">
        <v>6506</v>
      </c>
      <c r="D588" s="3" t="s">
        <v>1536</v>
      </c>
      <c r="E588" s="3"/>
      <c r="F588" s="3"/>
      <c r="G588" s="3"/>
      <c r="H588" s="3"/>
      <c r="I588" s="3"/>
      <c r="J588" s="3" t="s">
        <v>2651</v>
      </c>
      <c r="K588" s="3"/>
      <c r="L588" s="3" t="s">
        <v>2652</v>
      </c>
      <c r="M588" s="3" t="str">
        <f>HYPERLINK("https://ceds.ed.gov/cedselementdetails.aspx?termid=6195")</f>
        <v>https://ceds.ed.gov/cedselementdetails.aspx?termid=6195</v>
      </c>
      <c r="N588" s="3" t="str">
        <f>HYPERLINK("https://ceds.ed.gov/elementComment.aspx?elementName=Father's or Paternal Guardian Education &amp;elementID=6195", "Click here to submit comment")</f>
        <v>Click here to submit comment</v>
      </c>
    </row>
    <row r="589" spans="1:14" ht="90">
      <c r="A589" s="3" t="s">
        <v>2653</v>
      </c>
      <c r="B589" s="3" t="s">
        <v>2654</v>
      </c>
      <c r="C589" s="3" t="s">
        <v>13</v>
      </c>
      <c r="D589" s="3" t="s">
        <v>6169</v>
      </c>
      <c r="E589" s="3" t="s">
        <v>218</v>
      </c>
      <c r="F589" s="3" t="s">
        <v>3</v>
      </c>
      <c r="G589" s="3"/>
      <c r="H589" s="3"/>
      <c r="I589" s="3"/>
      <c r="J589" s="3" t="s">
        <v>2655</v>
      </c>
      <c r="K589" s="3"/>
      <c r="L589" s="3" t="s">
        <v>2656</v>
      </c>
      <c r="M589" s="3" t="str">
        <f>HYPERLINK("https://ceds.ed.gov/cedselementdetails.aspx?termid=5538")</f>
        <v>https://ceds.ed.gov/cedselementdetails.aspx?termid=5538</v>
      </c>
      <c r="N589" s="3" t="str">
        <f>HYPERLINK("https://ceds.ed.gov/elementComment.aspx?elementName=Federal Program Code &amp;elementID=5538", "Click here to submit comment")</f>
        <v>Click here to submit comment</v>
      </c>
    </row>
    <row r="590" spans="1:14" ht="135">
      <c r="A590" s="3" t="s">
        <v>2657</v>
      </c>
      <c r="B590" s="3" t="s">
        <v>2658</v>
      </c>
      <c r="C590" s="3" t="s">
        <v>13</v>
      </c>
      <c r="D590" s="3" t="s">
        <v>6170</v>
      </c>
      <c r="E590" s="3" t="s">
        <v>218</v>
      </c>
      <c r="F590" s="3" t="s">
        <v>3</v>
      </c>
      <c r="G590" s="3" t="s">
        <v>1461</v>
      </c>
      <c r="H590" s="3"/>
      <c r="I590" s="3"/>
      <c r="J590" s="3" t="s">
        <v>2659</v>
      </c>
      <c r="K590" s="3"/>
      <c r="L590" s="3" t="s">
        <v>2660</v>
      </c>
      <c r="M590" s="3" t="str">
        <f>HYPERLINK("https://ceds.ed.gov/cedselementdetails.aspx?termid=5540")</f>
        <v>https://ceds.ed.gov/cedselementdetails.aspx?termid=5540</v>
      </c>
      <c r="N590" s="3" t="str">
        <f>HYPERLINK("https://ceds.ed.gov/elementComment.aspx?elementName=Federal Programs Funding Allocation &amp;elementID=5540", "Click here to submit comment")</f>
        <v>Click here to submit comment</v>
      </c>
    </row>
    <row r="591" spans="1:14" ht="135">
      <c r="A591" s="3" t="s">
        <v>2661</v>
      </c>
      <c r="B591" s="3" t="s">
        <v>2662</v>
      </c>
      <c r="C591" s="4" t="s">
        <v>6507</v>
      </c>
      <c r="D591" s="3" t="s">
        <v>2103</v>
      </c>
      <c r="E591" s="3"/>
      <c r="F591" s="3"/>
      <c r="G591" s="3"/>
      <c r="H591" s="3"/>
      <c r="I591" s="3"/>
      <c r="J591" s="3" t="s">
        <v>2663</v>
      </c>
      <c r="K591" s="3"/>
      <c r="L591" s="3" t="s">
        <v>2664</v>
      </c>
      <c r="M591" s="3" t="str">
        <f>HYPERLINK("https://ceds.ed.gov/cedselementdetails.aspx?termid=5539")</f>
        <v>https://ceds.ed.gov/cedselementdetails.aspx?termid=5539</v>
      </c>
      <c r="N591" s="3" t="str">
        <f>HYPERLINK("https://ceds.ed.gov/elementComment.aspx?elementName=Federal Programs Funding Allocation Type &amp;elementID=5539", "Click here to submit comment")</f>
        <v>Click here to submit comment</v>
      </c>
    </row>
    <row r="592" spans="1:14" ht="135">
      <c r="A592" s="3" t="s">
        <v>2665</v>
      </c>
      <c r="B592" s="3" t="s">
        <v>2666</v>
      </c>
      <c r="C592" s="3" t="s">
        <v>2667</v>
      </c>
      <c r="D592" s="3" t="s">
        <v>1606</v>
      </c>
      <c r="E592" s="3" t="s">
        <v>1537</v>
      </c>
      <c r="F592" s="3"/>
      <c r="G592" s="3"/>
      <c r="H592" s="3"/>
      <c r="I592" s="3"/>
      <c r="J592" s="3" t="s">
        <v>2668</v>
      </c>
      <c r="K592" s="3"/>
      <c r="L592" s="3" t="s">
        <v>2669</v>
      </c>
      <c r="M592" s="3" t="str">
        <f>HYPERLINK("https://ceds.ed.gov/cedselementdetails.aspx?termid=5111")</f>
        <v>https://ceds.ed.gov/cedselementdetails.aspx?termid=5111</v>
      </c>
      <c r="N592" s="3" t="str">
        <f>HYPERLINK("https://ceds.ed.gov/elementComment.aspx?elementName=Federal School Code &amp;elementID=5111", "Click here to submit comment")</f>
        <v>Click here to submit comment</v>
      </c>
    </row>
    <row r="593" spans="1:14" ht="105">
      <c r="A593" s="3" t="s">
        <v>2670</v>
      </c>
      <c r="B593" s="3" t="s">
        <v>2671</v>
      </c>
      <c r="C593" s="4" t="s">
        <v>6508</v>
      </c>
      <c r="D593" s="3" t="s">
        <v>6171</v>
      </c>
      <c r="E593" s="3"/>
      <c r="F593" s="3" t="s">
        <v>54</v>
      </c>
      <c r="G593" s="3"/>
      <c r="H593" s="3"/>
      <c r="I593" s="3"/>
      <c r="J593" s="3" t="s">
        <v>2672</v>
      </c>
      <c r="K593" s="3"/>
      <c r="L593" s="3" t="s">
        <v>2673</v>
      </c>
      <c r="M593" s="3" t="str">
        <f>HYPERLINK("https://ceds.ed.gov/cedselementdetails.aspx?termid=6312")</f>
        <v>https://ceds.ed.gov/cedselementdetails.aspx?termid=6312</v>
      </c>
      <c r="N593" s="3" t="str">
        <f>HYPERLINK("https://ceds.ed.gov/elementComment.aspx?elementName=Financial Account Category &amp;elementID=6312", "Click here to submit comment")</f>
        <v>Click here to submit comment</v>
      </c>
    </row>
    <row r="594" spans="1:14" ht="105">
      <c r="A594" s="3" t="s">
        <v>2674</v>
      </c>
      <c r="B594" s="3" t="s">
        <v>2675</v>
      </c>
      <c r="C594" s="3" t="s">
        <v>13</v>
      </c>
      <c r="D594" s="3" t="s">
        <v>6171</v>
      </c>
      <c r="E594" s="3"/>
      <c r="F594" s="3" t="s">
        <v>54</v>
      </c>
      <c r="G594" s="3" t="s">
        <v>93</v>
      </c>
      <c r="H594" s="3"/>
      <c r="I594" s="3"/>
      <c r="J594" s="3" t="s">
        <v>2676</v>
      </c>
      <c r="K594" s="3"/>
      <c r="L594" s="3" t="s">
        <v>2677</v>
      </c>
      <c r="M594" s="3" t="str">
        <f>HYPERLINK("https://ceds.ed.gov/cedselementdetails.aspx?termid=6313")</f>
        <v>https://ceds.ed.gov/cedselementdetails.aspx?termid=6313</v>
      </c>
      <c r="N594" s="3" t="str">
        <f>HYPERLINK("https://ceds.ed.gov/elementComment.aspx?elementName=Financial Account Description &amp;elementID=6313", "Click here to submit comment")</f>
        <v>Click here to submit comment</v>
      </c>
    </row>
    <row r="595" spans="1:14" ht="150">
      <c r="A595" s="3" t="s">
        <v>2678</v>
      </c>
      <c r="B595" s="3" t="s">
        <v>2679</v>
      </c>
      <c r="C595" s="4" t="s">
        <v>6509</v>
      </c>
      <c r="D595" s="3" t="s">
        <v>6171</v>
      </c>
      <c r="E595" s="3"/>
      <c r="F595" s="3" t="s">
        <v>54</v>
      </c>
      <c r="G595" s="3"/>
      <c r="H595" s="3"/>
      <c r="I595" s="3" t="s">
        <v>2680</v>
      </c>
      <c r="J595" s="3" t="s">
        <v>2681</v>
      </c>
      <c r="K595" s="3"/>
      <c r="L595" s="3" t="s">
        <v>2682</v>
      </c>
      <c r="M595" s="3" t="str">
        <f>HYPERLINK("https://ceds.ed.gov/cedselementdetails.aspx?termid=6314")</f>
        <v>https://ceds.ed.gov/cedselementdetails.aspx?termid=6314</v>
      </c>
      <c r="N595" s="3" t="str">
        <f>HYPERLINK("https://ceds.ed.gov/elementComment.aspx?elementName=Financial Account Fund Classification &amp;elementID=6314", "Click here to submit comment")</f>
        <v>Click here to submit comment</v>
      </c>
    </row>
    <row r="596" spans="1:14" ht="105">
      <c r="A596" s="3" t="s">
        <v>2683</v>
      </c>
      <c r="B596" s="3" t="s">
        <v>2684</v>
      </c>
      <c r="C596" s="3" t="s">
        <v>13</v>
      </c>
      <c r="D596" s="3" t="s">
        <v>6171</v>
      </c>
      <c r="E596" s="3"/>
      <c r="F596" s="3" t="s">
        <v>54</v>
      </c>
      <c r="G596" s="3" t="s">
        <v>745</v>
      </c>
      <c r="H596" s="3"/>
      <c r="I596" s="3"/>
      <c r="J596" s="3" t="s">
        <v>2685</v>
      </c>
      <c r="K596" s="3"/>
      <c r="L596" s="3" t="s">
        <v>2686</v>
      </c>
      <c r="M596" s="3" t="str">
        <f>HYPERLINK("https://ceds.ed.gov/cedselementdetails.aspx?termid=6315")</f>
        <v>https://ceds.ed.gov/cedselementdetails.aspx?termid=6315</v>
      </c>
      <c r="N596" s="3" t="str">
        <f>HYPERLINK("https://ceds.ed.gov/elementComment.aspx?elementName=Financial Account Name &amp;elementID=6315", "Click here to submit comment")</f>
        <v>Click here to submit comment</v>
      </c>
    </row>
    <row r="597" spans="1:14" ht="240">
      <c r="A597" s="3" t="s">
        <v>2687</v>
      </c>
      <c r="B597" s="3" t="s">
        <v>2688</v>
      </c>
      <c r="C597" s="4" t="s">
        <v>6510</v>
      </c>
      <c r="D597" s="3" t="s">
        <v>6171</v>
      </c>
      <c r="E597" s="3"/>
      <c r="F597" s="3" t="s">
        <v>54</v>
      </c>
      <c r="G597" s="3"/>
      <c r="H597" s="3"/>
      <c r="I597" s="3"/>
      <c r="J597" s="3" t="s">
        <v>2689</v>
      </c>
      <c r="K597" s="3"/>
      <c r="L597" s="3" t="s">
        <v>2690</v>
      </c>
      <c r="M597" s="3" t="str">
        <f>HYPERLINK("https://ceds.ed.gov/cedselementdetails.aspx?termid=6316")</f>
        <v>https://ceds.ed.gov/cedselementdetails.aspx?termid=6316</v>
      </c>
      <c r="N597" s="3" t="str">
        <f>HYPERLINK("https://ceds.ed.gov/elementComment.aspx?elementName=Financial Account Program Code &amp;elementID=6316", "Click here to submit comment")</f>
        <v>Click here to submit comment</v>
      </c>
    </row>
    <row r="598" spans="1:14" ht="105">
      <c r="A598" s="3" t="s">
        <v>2691</v>
      </c>
      <c r="B598" s="3" t="s">
        <v>2692</v>
      </c>
      <c r="C598" s="3" t="s">
        <v>13</v>
      </c>
      <c r="D598" s="3" t="s">
        <v>6171</v>
      </c>
      <c r="E598" s="3"/>
      <c r="F598" s="3" t="s">
        <v>54</v>
      </c>
      <c r="G598" s="3" t="s">
        <v>1461</v>
      </c>
      <c r="H598" s="3"/>
      <c r="I598" s="3"/>
      <c r="J598" s="3" t="s">
        <v>2693</v>
      </c>
      <c r="K598" s="3"/>
      <c r="L598" s="3" t="s">
        <v>2694</v>
      </c>
      <c r="M598" s="3" t="str">
        <f>HYPERLINK("https://ceds.ed.gov/cedselementdetails.aspx?termid=6317")</f>
        <v>https://ceds.ed.gov/cedselementdetails.aspx?termid=6317</v>
      </c>
      <c r="N598" s="3" t="str">
        <f>HYPERLINK("https://ceds.ed.gov/elementComment.aspx?elementName=Financial Accounting Period Actual Value &amp;elementID=6317", "Click here to submit comment")</f>
        <v>Click here to submit comment</v>
      </c>
    </row>
    <row r="599" spans="1:14" ht="105">
      <c r="A599" s="3" t="s">
        <v>2695</v>
      </c>
      <c r="B599" s="3" t="s">
        <v>2696</v>
      </c>
      <c r="C599" s="3" t="s">
        <v>13</v>
      </c>
      <c r="D599" s="3" t="s">
        <v>6171</v>
      </c>
      <c r="E599" s="3"/>
      <c r="F599" s="3" t="s">
        <v>54</v>
      </c>
      <c r="G599" s="3" t="s">
        <v>1461</v>
      </c>
      <c r="H599" s="3"/>
      <c r="I599" s="3"/>
      <c r="J599" s="3" t="s">
        <v>2697</v>
      </c>
      <c r="K599" s="3"/>
      <c r="L599" s="3" t="s">
        <v>2698</v>
      </c>
      <c r="M599" s="3" t="str">
        <f>HYPERLINK("https://ceds.ed.gov/cedselementdetails.aspx?termid=6318")</f>
        <v>https://ceds.ed.gov/cedselementdetails.aspx?termid=6318</v>
      </c>
      <c r="N599" s="3" t="str">
        <f>HYPERLINK("https://ceds.ed.gov/elementComment.aspx?elementName=Financial Accounting Period Budgeted Value &amp;elementID=6318", "Click here to submit comment")</f>
        <v>Click here to submit comment</v>
      </c>
    </row>
    <row r="600" spans="1:14" ht="30" customHeight="1">
      <c r="A600" s="14" t="s">
        <v>2699</v>
      </c>
      <c r="B600" s="14" t="s">
        <v>2700</v>
      </c>
      <c r="C600" s="14" t="s">
        <v>5963</v>
      </c>
      <c r="D600" s="14" t="s">
        <v>2701</v>
      </c>
      <c r="E600" s="14" t="s">
        <v>237</v>
      </c>
      <c r="F600" s="14"/>
      <c r="G600" s="14"/>
      <c r="H600" s="14"/>
      <c r="I600" s="3" t="s">
        <v>2702</v>
      </c>
      <c r="J600" s="14" t="s">
        <v>2704</v>
      </c>
      <c r="K600" s="14"/>
      <c r="L600" s="14" t="s">
        <v>2705</v>
      </c>
      <c r="M600" s="14" t="str">
        <f>HYPERLINK("https://ceds.ed.gov/cedselementdetails.aspx?termid=5745")</f>
        <v>https://ceds.ed.gov/cedselementdetails.aspx?termid=5745</v>
      </c>
      <c r="N600" s="14" t="str">
        <f>HYPERLINK("https://ceds.ed.gov/elementComment.aspx?elementName=Financial Aid Applicant &amp;elementID=5745", "Click here to submit comment")</f>
        <v>Click here to submit comment</v>
      </c>
    </row>
    <row r="601" spans="1:14" ht="45">
      <c r="A601" s="14"/>
      <c r="B601" s="14"/>
      <c r="C601" s="14"/>
      <c r="D601" s="14"/>
      <c r="E601" s="14"/>
      <c r="F601" s="14"/>
      <c r="G601" s="14"/>
      <c r="H601" s="14"/>
      <c r="I601" s="3" t="s">
        <v>2703</v>
      </c>
      <c r="J601" s="14"/>
      <c r="K601" s="14"/>
      <c r="L601" s="14"/>
      <c r="M601" s="14"/>
      <c r="N601" s="14"/>
    </row>
    <row r="602" spans="1:14" ht="120">
      <c r="A602" s="3" t="s">
        <v>2706</v>
      </c>
      <c r="B602" s="3" t="s">
        <v>2707</v>
      </c>
      <c r="C602" s="4" t="s">
        <v>6511</v>
      </c>
      <c r="D602" s="3" t="s">
        <v>2701</v>
      </c>
      <c r="E602" s="3" t="s">
        <v>237</v>
      </c>
      <c r="F602" s="3"/>
      <c r="G602" s="3"/>
      <c r="H602" s="3"/>
      <c r="I602" s="3" t="s">
        <v>2708</v>
      </c>
      <c r="J602" s="3" t="s">
        <v>2709</v>
      </c>
      <c r="K602" s="3"/>
      <c r="L602" s="3" t="s">
        <v>2710</v>
      </c>
      <c r="M602" s="3" t="str">
        <f>HYPERLINK("https://ceds.ed.gov/cedselementdetails.aspx?termid=6186")</f>
        <v>https://ceds.ed.gov/cedselementdetails.aspx?termid=6186</v>
      </c>
      <c r="N602" s="3" t="str">
        <f>HYPERLINK("https://ceds.ed.gov/elementComment.aspx?elementName=Financial Aid Application Type &amp;elementID=6186", "Click here to submit comment")</f>
        <v>Click here to submit comment</v>
      </c>
    </row>
    <row r="603" spans="1:14" ht="75">
      <c r="A603" s="3" t="s">
        <v>2711</v>
      </c>
      <c r="B603" s="3" t="s">
        <v>2712</v>
      </c>
      <c r="C603" s="3" t="s">
        <v>13</v>
      </c>
      <c r="D603" s="3" t="s">
        <v>2701</v>
      </c>
      <c r="E603" s="3" t="s">
        <v>6172</v>
      </c>
      <c r="F603" s="3"/>
      <c r="G603" s="3" t="s">
        <v>1461</v>
      </c>
      <c r="H603" s="3"/>
      <c r="I603" s="3" t="s">
        <v>2713</v>
      </c>
      <c r="J603" s="3" t="s">
        <v>2714</v>
      </c>
      <c r="K603" s="3"/>
      <c r="L603" s="3" t="s">
        <v>2715</v>
      </c>
      <c r="M603" s="3" t="str">
        <f>HYPERLINK("https://ceds.ed.gov/cedselementdetails.aspx?termid=5112")</f>
        <v>https://ceds.ed.gov/cedselementdetails.aspx?termid=5112</v>
      </c>
      <c r="N603" s="3" t="str">
        <f>HYPERLINK("https://ceds.ed.gov/elementComment.aspx?elementName=Financial Aid Award Amount &amp;elementID=5112", "Click here to submit comment")</f>
        <v>Click here to submit comment</v>
      </c>
    </row>
    <row r="604" spans="1:14" ht="75">
      <c r="A604" s="3" t="s">
        <v>2716</v>
      </c>
      <c r="B604" s="3" t="s">
        <v>2717</v>
      </c>
      <c r="C604" s="3" t="s">
        <v>6173</v>
      </c>
      <c r="D604" s="3" t="s">
        <v>2701</v>
      </c>
      <c r="E604" s="3" t="s">
        <v>6172</v>
      </c>
      <c r="F604" s="3"/>
      <c r="G604" s="3"/>
      <c r="H604" s="3"/>
      <c r="I604" s="3" t="s">
        <v>2718</v>
      </c>
      <c r="J604" s="3" t="s">
        <v>2719</v>
      </c>
      <c r="K604" s="3"/>
      <c r="L604" s="3" t="s">
        <v>2720</v>
      </c>
      <c r="M604" s="3" t="str">
        <f>HYPERLINK("https://ceds.ed.gov/cedselementdetails.aspx?termid=5362")</f>
        <v>https://ceds.ed.gov/cedselementdetails.aspx?termid=5362</v>
      </c>
      <c r="N604" s="3" t="str">
        <f>HYPERLINK("https://ceds.ed.gov/elementComment.aspx?elementName=Financial Aid Award Status &amp;elementID=5362", "Click here to submit comment")</f>
        <v>Click here to submit comment</v>
      </c>
    </row>
    <row r="605" spans="1:14" ht="409.5">
      <c r="A605" s="3" t="s">
        <v>2721</v>
      </c>
      <c r="B605" s="3" t="s">
        <v>2722</v>
      </c>
      <c r="C605" s="4" t="s">
        <v>6512</v>
      </c>
      <c r="D605" s="3" t="s">
        <v>2701</v>
      </c>
      <c r="E605" s="3" t="s">
        <v>6172</v>
      </c>
      <c r="F605" s="3"/>
      <c r="G605" s="3"/>
      <c r="H605" s="3"/>
      <c r="I605" s="3" t="s">
        <v>2723</v>
      </c>
      <c r="J605" s="3" t="s">
        <v>2724</v>
      </c>
      <c r="K605" s="3"/>
      <c r="L605" s="3" t="s">
        <v>2725</v>
      </c>
      <c r="M605" s="3" t="str">
        <f>HYPERLINK("https://ceds.ed.gov/cedselementdetails.aspx?termid=5113")</f>
        <v>https://ceds.ed.gov/cedselementdetails.aspx?termid=5113</v>
      </c>
      <c r="N605" s="3" t="str">
        <f>HYPERLINK("https://ceds.ed.gov/elementComment.aspx?elementName=Financial Aid Award Type &amp;elementID=5113", "Click here to submit comment")</f>
        <v>Click here to submit comment</v>
      </c>
    </row>
    <row r="606" spans="1:14" ht="150">
      <c r="A606" s="3" t="s">
        <v>2726</v>
      </c>
      <c r="B606" s="3" t="s">
        <v>2727</v>
      </c>
      <c r="C606" s="3" t="s">
        <v>13</v>
      </c>
      <c r="D606" s="3" t="s">
        <v>2701</v>
      </c>
      <c r="E606" s="3"/>
      <c r="F606" s="3" t="s">
        <v>54</v>
      </c>
      <c r="G606" s="3" t="s">
        <v>1461</v>
      </c>
      <c r="H606" s="3"/>
      <c r="I606" s="3"/>
      <c r="J606" s="3" t="s">
        <v>2728</v>
      </c>
      <c r="K606" s="3"/>
      <c r="L606" s="3" t="s">
        <v>2729</v>
      </c>
      <c r="M606" s="3" t="str">
        <f>HYPERLINK("https://ceds.ed.gov/cedselementdetails.aspx?termid=6319")</f>
        <v>https://ceds.ed.gov/cedselementdetails.aspx?termid=6319</v>
      </c>
      <c r="N606" s="3" t="str">
        <f>HYPERLINK("https://ceds.ed.gov/elementComment.aspx?elementName=Financial Aid Income Level &amp;elementID=6319", "Click here to submit comment")</f>
        <v>Click here to submit comment</v>
      </c>
    </row>
    <row r="607" spans="1:14" ht="409.5">
      <c r="A607" s="3" t="s">
        <v>2730</v>
      </c>
      <c r="B607" s="3" t="s">
        <v>2731</v>
      </c>
      <c r="C607" s="4" t="s">
        <v>6513</v>
      </c>
      <c r="D607" s="3" t="s">
        <v>6171</v>
      </c>
      <c r="E607" s="3"/>
      <c r="F607" s="3" t="s">
        <v>54</v>
      </c>
      <c r="G607" s="3"/>
      <c r="H607" s="3"/>
      <c r="I607" s="3" t="s">
        <v>2732</v>
      </c>
      <c r="J607" s="3" t="s">
        <v>2733</v>
      </c>
      <c r="K607" s="3"/>
      <c r="L607" s="3" t="s">
        <v>2734</v>
      </c>
      <c r="M607" s="3" t="str">
        <f>HYPERLINK("https://ceds.ed.gov/cedselementdetails.aspx?termid=6320")</f>
        <v>https://ceds.ed.gov/cedselementdetails.aspx?termid=6320</v>
      </c>
      <c r="N607" s="3" t="str">
        <f>HYPERLINK("https://ceds.ed.gov/elementComment.aspx?elementName=Financial Balance Sheet Account Code &amp;elementID=6320", "Click here to submit comment")</f>
        <v>Click here to submit comment</v>
      </c>
    </row>
    <row r="608" spans="1:14" ht="409.5">
      <c r="A608" s="3" t="s">
        <v>2735</v>
      </c>
      <c r="B608" s="3" t="s">
        <v>2736</v>
      </c>
      <c r="C608" s="4" t="s">
        <v>6514</v>
      </c>
      <c r="D608" s="3" t="s">
        <v>6171</v>
      </c>
      <c r="E608" s="3"/>
      <c r="F608" s="3" t="s">
        <v>54</v>
      </c>
      <c r="G608" s="3"/>
      <c r="H608" s="3"/>
      <c r="I608" s="3" t="s">
        <v>2732</v>
      </c>
      <c r="J608" s="3" t="s">
        <v>2737</v>
      </c>
      <c r="K608" s="3"/>
      <c r="L608" s="3" t="s">
        <v>2738</v>
      </c>
      <c r="M608" s="3" t="str">
        <f>HYPERLINK("https://ceds.ed.gov/cedselementdetails.aspx?termid=6321")</f>
        <v>https://ceds.ed.gov/cedselementdetails.aspx?termid=6321</v>
      </c>
      <c r="N608" s="3" t="str">
        <f>HYPERLINK("https://ceds.ed.gov/elementComment.aspx?elementName=Financial Expenditure Function Code &amp;elementID=6321", "Click here to submit comment")</f>
        <v>Click here to submit comment</v>
      </c>
    </row>
    <row r="609" spans="1:14" ht="409.5">
      <c r="A609" s="3" t="s">
        <v>2739</v>
      </c>
      <c r="B609" s="3" t="s">
        <v>2740</v>
      </c>
      <c r="C609" s="4" t="s">
        <v>6515</v>
      </c>
      <c r="D609" s="3" t="s">
        <v>6171</v>
      </c>
      <c r="E609" s="3"/>
      <c r="F609" s="3" t="s">
        <v>54</v>
      </c>
      <c r="G609" s="3"/>
      <c r="H609" s="3"/>
      <c r="I609" s="3" t="s">
        <v>2741</v>
      </c>
      <c r="J609" s="3" t="s">
        <v>2742</v>
      </c>
      <c r="K609" s="3"/>
      <c r="L609" s="3" t="s">
        <v>2743</v>
      </c>
      <c r="M609" s="3" t="str">
        <f>HYPERLINK("https://ceds.ed.gov/cedselementdetails.aspx?termid=6322")</f>
        <v>https://ceds.ed.gov/cedselementdetails.aspx?termid=6322</v>
      </c>
      <c r="N609" s="3" t="str">
        <f>HYPERLINK("https://ceds.ed.gov/elementComment.aspx?elementName=Financial Expenditure Object Code &amp;elementID=6322", "Click here to submit comment")</f>
        <v>Click here to submit comment</v>
      </c>
    </row>
    <row r="610" spans="1:14" ht="60">
      <c r="A610" s="3" t="s">
        <v>2744</v>
      </c>
      <c r="B610" s="3" t="s">
        <v>2745</v>
      </c>
      <c r="C610" s="3" t="s">
        <v>13</v>
      </c>
      <c r="D610" s="3" t="s">
        <v>2701</v>
      </c>
      <c r="E610" s="3" t="s">
        <v>237</v>
      </c>
      <c r="F610" s="3"/>
      <c r="G610" s="3" t="s">
        <v>389</v>
      </c>
      <c r="H610" s="3"/>
      <c r="I610" s="3" t="s">
        <v>2746</v>
      </c>
      <c r="J610" s="3" t="s">
        <v>2747</v>
      </c>
      <c r="K610" s="3"/>
      <c r="L610" s="3" t="s">
        <v>2748</v>
      </c>
      <c r="M610" s="3" t="str">
        <f>HYPERLINK("https://ceds.ed.gov/cedselementdetails.aspx?termid=5747")</f>
        <v>https://ceds.ed.gov/cedselementdetails.aspx?termid=5747</v>
      </c>
      <c r="N610" s="3" t="str">
        <f>HYPERLINK("https://ceds.ed.gov/elementComment.aspx?elementName=Financial Need &amp;elementID=5747", "Click here to submit comment")</f>
        <v>Click here to submit comment</v>
      </c>
    </row>
    <row r="611" spans="1:14" ht="45">
      <c r="A611" s="3" t="s">
        <v>2749</v>
      </c>
      <c r="B611" s="3" t="s">
        <v>2750</v>
      </c>
      <c r="C611" s="3" t="s">
        <v>6174</v>
      </c>
      <c r="D611" s="3" t="s">
        <v>2701</v>
      </c>
      <c r="E611" s="3" t="s">
        <v>237</v>
      </c>
      <c r="F611" s="3"/>
      <c r="G611" s="3"/>
      <c r="H611" s="3"/>
      <c r="I611" s="3" t="s">
        <v>2751</v>
      </c>
      <c r="J611" s="3" t="s">
        <v>2752</v>
      </c>
      <c r="K611" s="3"/>
      <c r="L611" s="3" t="s">
        <v>2753</v>
      </c>
      <c r="M611" s="3" t="str">
        <f>HYPERLINK("https://ceds.ed.gov/cedselementdetails.aspx?termid=6188")</f>
        <v>https://ceds.ed.gov/cedselementdetails.aspx?termid=6188</v>
      </c>
      <c r="N611" s="3" t="str">
        <f>HYPERLINK("https://ceds.ed.gov/elementComment.aspx?elementName=Financial Need Determination Methodology &amp;elementID=6188", "Click here to submit comment")</f>
        <v>Click here to submit comment</v>
      </c>
    </row>
    <row r="612" spans="1:14" ht="409.5">
      <c r="A612" s="3" t="s">
        <v>2754</v>
      </c>
      <c r="B612" s="3" t="s">
        <v>2755</v>
      </c>
      <c r="C612" s="4" t="s">
        <v>6516</v>
      </c>
      <c r="D612" s="3"/>
      <c r="E612" s="3"/>
      <c r="F612" s="3" t="s">
        <v>54</v>
      </c>
      <c r="G612" s="3"/>
      <c r="H612" s="3"/>
      <c r="I612" s="3"/>
      <c r="J612" s="3" t="s">
        <v>2756</v>
      </c>
      <c r="K612" s="3"/>
      <c r="L612" s="3" t="s">
        <v>2757</v>
      </c>
      <c r="M612" s="3" t="str">
        <f>HYPERLINK("https://ceds.ed.gov/cedselementdetails.aspx?termid=6440")</f>
        <v>https://ceds.ed.gov/cedselementdetails.aspx?termid=6440</v>
      </c>
      <c r="N612" s="3" t="str">
        <f>HYPERLINK("https://ceds.ed.gov/elementComment.aspx?elementName=Financial Revenue Account Code &amp;elementID=6440", "Click here to submit comment")</f>
        <v>Click here to submit comment</v>
      </c>
    </row>
    <row r="613" spans="1:14" ht="90">
      <c r="A613" s="3" t="s">
        <v>2758</v>
      </c>
      <c r="B613" s="3" t="s">
        <v>2759</v>
      </c>
      <c r="C613" s="4" t="s">
        <v>6517</v>
      </c>
      <c r="D613" s="3" t="s">
        <v>2760</v>
      </c>
      <c r="E613" s="3" t="s">
        <v>218</v>
      </c>
      <c r="F613" s="3"/>
      <c r="G613" s="3"/>
      <c r="H613" s="3"/>
      <c r="I613" s="3"/>
      <c r="J613" s="3" t="s">
        <v>2761</v>
      </c>
      <c r="K613" s="3"/>
      <c r="L613" s="3" t="s">
        <v>2762</v>
      </c>
      <c r="M613" s="3" t="str">
        <f>HYPERLINK("https://ceds.ed.gov/cedselementdetails.aspx?termid=5548")</f>
        <v>https://ceds.ed.gov/cedselementdetails.aspx?termid=5548</v>
      </c>
      <c r="N613" s="3" t="str">
        <f>HYPERLINK("https://ceds.ed.gov/elementComment.aspx?elementName=Firearm Type &amp;elementID=5548", "Click here to submit comment")</f>
        <v>Click here to submit comment</v>
      </c>
    </row>
    <row r="614" spans="1:14" ht="30">
      <c r="A614" s="3" t="s">
        <v>2763</v>
      </c>
      <c r="B614" s="3" t="s">
        <v>2764</v>
      </c>
      <c r="C614" s="3" t="s">
        <v>13</v>
      </c>
      <c r="D614" s="3" t="s">
        <v>1542</v>
      </c>
      <c r="E614" s="3" t="s">
        <v>202</v>
      </c>
      <c r="F614" s="3"/>
      <c r="G614" s="3" t="s">
        <v>73</v>
      </c>
      <c r="H614" s="3"/>
      <c r="I614" s="3"/>
      <c r="J614" s="3" t="s">
        <v>2765</v>
      </c>
      <c r="K614" s="3"/>
      <c r="L614" s="3" t="s">
        <v>2766</v>
      </c>
      <c r="M614" s="3" t="str">
        <f>HYPERLINK("https://ceds.ed.gov/cedselementdetails.aspx?termid=6066")</f>
        <v>https://ceds.ed.gov/cedselementdetails.aspx?termid=6066</v>
      </c>
      <c r="N614" s="3" t="str">
        <f>HYPERLINK("https://ceds.ed.gov/elementComment.aspx?elementName=First Aid Certification Expiration Date &amp;elementID=6066", "Click here to submit comment")</f>
        <v>Click here to submit comment</v>
      </c>
    </row>
    <row r="615" spans="1:14" ht="45">
      <c r="A615" s="3" t="s">
        <v>2767</v>
      </c>
      <c r="B615" s="3" t="s">
        <v>2768</v>
      </c>
      <c r="C615" s="3" t="s">
        <v>13</v>
      </c>
      <c r="D615" s="3" t="s">
        <v>2769</v>
      </c>
      <c r="E615" s="3"/>
      <c r="F615" s="3"/>
      <c r="G615" s="3" t="s">
        <v>73</v>
      </c>
      <c r="H615" s="3"/>
      <c r="I615" s="3"/>
      <c r="J615" s="3" t="s">
        <v>2770</v>
      </c>
      <c r="K615" s="3"/>
      <c r="L615" s="3" t="s">
        <v>2771</v>
      </c>
      <c r="M615" s="3" t="str">
        <f>HYPERLINK("https://ceds.ed.gov/cedselementdetails.aspx?termid=5520")</f>
        <v>https://ceds.ed.gov/cedselementdetails.aspx?termid=5520</v>
      </c>
      <c r="N615" s="3" t="str">
        <f>HYPERLINK("https://ceds.ed.gov/elementComment.aspx?elementName=First Entry Date into a US School &amp;elementID=5520", "Click here to submit comment")</f>
        <v>Click here to submit comment</v>
      </c>
    </row>
    <row r="616" spans="1:14" ht="45">
      <c r="A616" s="3" t="s">
        <v>2772</v>
      </c>
      <c r="B616" s="3" t="s">
        <v>2773</v>
      </c>
      <c r="C616" s="3" t="s">
        <v>13</v>
      </c>
      <c r="D616" s="3" t="s">
        <v>2116</v>
      </c>
      <c r="E616" s="3"/>
      <c r="F616" s="3"/>
      <c r="G616" s="3" t="s">
        <v>73</v>
      </c>
      <c r="H616" s="3"/>
      <c r="I616" s="3"/>
      <c r="J616" s="3" t="s">
        <v>2774</v>
      </c>
      <c r="K616" s="3"/>
      <c r="L616" s="3" t="s">
        <v>2775</v>
      </c>
      <c r="M616" s="3" t="str">
        <f>HYPERLINK("https://ceds.ed.gov/cedselementdetails.aspx?termid=5488")</f>
        <v>https://ceds.ed.gov/cedselementdetails.aspx?termid=5488</v>
      </c>
      <c r="N616" s="3" t="str">
        <f>HYPERLINK("https://ceds.ed.gov/elementComment.aspx?elementName=First Instruction Date &amp;elementID=5488", "Click here to submit comment")</f>
        <v>Click here to submit comment</v>
      </c>
    </row>
    <row r="617" spans="1:14" ht="409.5">
      <c r="A617" s="3" t="s">
        <v>2776</v>
      </c>
      <c r="B617" s="3" t="s">
        <v>2777</v>
      </c>
      <c r="C617" s="3" t="s">
        <v>13</v>
      </c>
      <c r="D617" s="3" t="s">
        <v>6175</v>
      </c>
      <c r="E617" s="3" t="s">
        <v>6176</v>
      </c>
      <c r="F617" s="3" t="s">
        <v>3</v>
      </c>
      <c r="G617" s="3" t="s">
        <v>1368</v>
      </c>
      <c r="H617" s="3"/>
      <c r="I617" s="3" t="s">
        <v>2778</v>
      </c>
      <c r="J617" s="3" t="s">
        <v>2779</v>
      </c>
      <c r="K617" s="3"/>
      <c r="L617" s="3" t="s">
        <v>2780</v>
      </c>
      <c r="M617" s="3" t="str">
        <f>HYPERLINK("https://ceds.ed.gov/cedselementdetails.aspx?termid=5115")</f>
        <v>https://ceds.ed.gov/cedselementdetails.aspx?termid=5115</v>
      </c>
      <c r="N617" s="3" t="str">
        <f>HYPERLINK("https://ceds.ed.gov/elementComment.aspx?elementName=First Name &amp;elementID=5115", "Click here to submit comment")</f>
        <v>Click here to submit comment</v>
      </c>
    </row>
    <row r="618" spans="1:14" ht="195">
      <c r="A618" s="3" t="s">
        <v>2781</v>
      </c>
      <c r="B618" s="3" t="s">
        <v>2782</v>
      </c>
      <c r="C618" s="3" t="s">
        <v>5963</v>
      </c>
      <c r="D618" s="3" t="s">
        <v>1708</v>
      </c>
      <c r="E618" s="3" t="s">
        <v>5976</v>
      </c>
      <c r="F618" s="3"/>
      <c r="G618" s="3"/>
      <c r="H618" s="3"/>
      <c r="I618" s="3"/>
      <c r="J618" s="3" t="s">
        <v>2783</v>
      </c>
      <c r="K618" s="3"/>
      <c r="L618" s="3" t="s">
        <v>2784</v>
      </c>
      <c r="M618" s="3" t="str">
        <f>HYPERLINK("https://ceds.ed.gov/cedselementdetails.aspx?termid=5117")</f>
        <v>https://ceds.ed.gov/cedselementdetails.aspx?termid=5117</v>
      </c>
      <c r="N618" s="3" t="str">
        <f>HYPERLINK("https://ceds.ed.gov/elementComment.aspx?elementName=First Time Postsecondary Student &amp;elementID=5117", "Click here to submit comment")</f>
        <v>Click here to submit comment</v>
      </c>
    </row>
    <row r="619" spans="1:14" ht="30">
      <c r="A619" s="3" t="s">
        <v>2785</v>
      </c>
      <c r="B619" s="3" t="s">
        <v>2786</v>
      </c>
      <c r="C619" s="3" t="s">
        <v>13</v>
      </c>
      <c r="D619" s="3" t="s">
        <v>2787</v>
      </c>
      <c r="E619" s="3"/>
      <c r="F619" s="3" t="s">
        <v>54</v>
      </c>
      <c r="G619" s="3" t="s">
        <v>73</v>
      </c>
      <c r="H619" s="3"/>
      <c r="I619" s="3"/>
      <c r="J619" s="3" t="s">
        <v>2788</v>
      </c>
      <c r="K619" s="3"/>
      <c r="L619" s="3" t="s">
        <v>2789</v>
      </c>
      <c r="M619" s="3" t="str">
        <f>HYPERLINK("https://ceds.ed.gov/cedselementdetails.aspx?termid=6495")</f>
        <v>https://ceds.ed.gov/cedselementdetails.aspx?termid=6495</v>
      </c>
      <c r="N619" s="3" t="str">
        <f>HYPERLINK("https://ceds.ed.gov/elementComment.aspx?elementName=Foster Care End Date &amp;elementID=6495", "Click here to submit comment")</f>
        <v>Click here to submit comment</v>
      </c>
    </row>
    <row r="620" spans="1:14" ht="30">
      <c r="A620" s="3" t="s">
        <v>2790</v>
      </c>
      <c r="B620" s="3" t="s">
        <v>2791</v>
      </c>
      <c r="C620" s="3" t="s">
        <v>13</v>
      </c>
      <c r="D620" s="3" t="s">
        <v>2787</v>
      </c>
      <c r="E620" s="3"/>
      <c r="F620" s="3" t="s">
        <v>54</v>
      </c>
      <c r="G620" s="3" t="s">
        <v>73</v>
      </c>
      <c r="H620" s="3"/>
      <c r="I620" s="3"/>
      <c r="J620" s="3" t="s">
        <v>2792</v>
      </c>
      <c r="K620" s="3"/>
      <c r="L620" s="3" t="s">
        <v>2793</v>
      </c>
      <c r="M620" s="3" t="str">
        <f>HYPERLINK("https://ceds.ed.gov/cedselementdetails.aspx?termid=6496")</f>
        <v>https://ceds.ed.gov/cedselementdetails.aspx?termid=6496</v>
      </c>
      <c r="N620" s="3" t="str">
        <f>HYPERLINK("https://ceds.ed.gov/elementComment.aspx?elementName=Foster Care Start Date &amp;elementID=6496", "Click here to submit comment")</f>
        <v>Click here to submit comment</v>
      </c>
    </row>
    <row r="621" spans="1:14" ht="60">
      <c r="A621" s="3" t="s">
        <v>2798</v>
      </c>
      <c r="B621" s="3" t="s">
        <v>2799</v>
      </c>
      <c r="C621" s="3" t="s">
        <v>5963</v>
      </c>
      <c r="D621" s="3" t="s">
        <v>1708</v>
      </c>
      <c r="E621" s="3" t="s">
        <v>237</v>
      </c>
      <c r="F621" s="3"/>
      <c r="G621" s="3"/>
      <c r="H621" s="3"/>
      <c r="I621" s="3"/>
      <c r="J621" s="3" t="s">
        <v>2800</v>
      </c>
      <c r="K621" s="3"/>
      <c r="L621" s="3" t="s">
        <v>2801</v>
      </c>
      <c r="M621" s="3" t="str">
        <f>HYPERLINK("https://ceds.ed.gov/cedselementdetails.aspx?termid=5743")</f>
        <v>https://ceds.ed.gov/cedselementdetails.aspx?termid=5743</v>
      </c>
      <c r="N621" s="3" t="str">
        <f>HYPERLINK("https://ceds.ed.gov/elementComment.aspx?elementName=Fraternity Participation Status &amp;elementID=5743", "Click here to submit comment")</f>
        <v>Click here to submit comment</v>
      </c>
    </row>
    <row r="622" spans="1:14" ht="90">
      <c r="A622" s="3" t="s">
        <v>2802</v>
      </c>
      <c r="B622" s="3" t="s">
        <v>2803</v>
      </c>
      <c r="C622" s="3" t="s">
        <v>6177</v>
      </c>
      <c r="D622" s="3" t="s">
        <v>2804</v>
      </c>
      <c r="E622" s="3"/>
      <c r="F622" s="3" t="s">
        <v>54</v>
      </c>
      <c r="G622" s="3"/>
      <c r="H622" s="3"/>
      <c r="I622" s="3"/>
      <c r="J622" s="3" t="s">
        <v>2805</v>
      </c>
      <c r="K622" s="3"/>
      <c r="L622" s="3" t="s">
        <v>2806</v>
      </c>
      <c r="M622" s="3" t="str">
        <f>HYPERLINK("https://ceds.ed.gov/cedselementdetails.aspx?termid=6323")</f>
        <v>https://ceds.ed.gov/cedselementdetails.aspx?termid=6323</v>
      </c>
      <c r="N622" s="3" t="str">
        <f>HYPERLINK("https://ceds.ed.gov/elementComment.aspx?elementName=Frequency of Service &amp;elementID=6323", "Click here to submit comment")</f>
        <v>Click here to submit comment</v>
      </c>
    </row>
    <row r="623" spans="1:14" ht="45">
      <c r="A623" s="3" t="s">
        <v>2807</v>
      </c>
      <c r="B623" s="3" t="s">
        <v>2808</v>
      </c>
      <c r="C623" s="3" t="s">
        <v>5963</v>
      </c>
      <c r="D623" s="3" t="s">
        <v>6138</v>
      </c>
      <c r="E623" s="3"/>
      <c r="F623" s="3"/>
      <c r="G623" s="3"/>
      <c r="H623" s="3"/>
      <c r="I623" s="3"/>
      <c r="J623" s="3" t="s">
        <v>2809</v>
      </c>
      <c r="K623" s="3"/>
      <c r="L623" s="3" t="s">
        <v>2810</v>
      </c>
      <c r="M623" s="3" t="str">
        <f>HYPERLINK("https://ceds.ed.gov/cedselementdetails.aspx?termid=5504")</f>
        <v>https://ceds.ed.gov/cedselementdetails.aspx?termid=5504</v>
      </c>
      <c r="N623" s="3" t="str">
        <f>HYPERLINK("https://ceds.ed.gov/elementComment.aspx?elementName=Full Year Expulsion &amp;elementID=5504", "Click here to submit comment")</f>
        <v>Click here to submit comment</v>
      </c>
    </row>
    <row r="624" spans="1:14" ht="409.5">
      <c r="A624" s="3" t="s">
        <v>2811</v>
      </c>
      <c r="B624" s="3" t="s">
        <v>2812</v>
      </c>
      <c r="C624" s="4" t="s">
        <v>6518</v>
      </c>
      <c r="D624" s="3" t="s">
        <v>2186</v>
      </c>
      <c r="E624" s="3" t="s">
        <v>6145</v>
      </c>
      <c r="F624" s="3"/>
      <c r="G624" s="3"/>
      <c r="H624" s="3"/>
      <c r="I624" s="3"/>
      <c r="J624" s="3" t="s">
        <v>2813</v>
      </c>
      <c r="K624" s="3"/>
      <c r="L624" s="3" t="s">
        <v>2814</v>
      </c>
      <c r="M624" s="3" t="str">
        <f>HYPERLINK("https://ceds.ed.gov/cedselementdetails.aspx?termid=5866")</f>
        <v>https://ceds.ed.gov/cedselementdetails.aspx?termid=5866</v>
      </c>
      <c r="N624" s="3" t="str">
        <f>HYPERLINK("https://ceds.ed.gov/elementComment.aspx?elementName=Full-Time Employee Benefits &amp;elementID=5866", "Click here to submit comment")</f>
        <v>Click here to submit comment</v>
      </c>
    </row>
    <row r="625" spans="1:14" ht="180">
      <c r="A625" s="3" t="s">
        <v>2815</v>
      </c>
      <c r="B625" s="3" t="s">
        <v>2816</v>
      </c>
      <c r="C625" s="3" t="s">
        <v>6178</v>
      </c>
      <c r="D625" s="3" t="s">
        <v>35</v>
      </c>
      <c r="E625" s="3" t="s">
        <v>36</v>
      </c>
      <c r="F625" s="3"/>
      <c r="G625" s="3"/>
      <c r="H625" s="3"/>
      <c r="I625" s="3" t="s">
        <v>2817</v>
      </c>
      <c r="J625" s="3" t="s">
        <v>2818</v>
      </c>
      <c r="K625" s="3"/>
      <c r="L625" s="3" t="s">
        <v>2819</v>
      </c>
      <c r="M625" s="3" t="str">
        <f>HYPERLINK("https://ceds.ed.gov/cedselementdetails.aspx?termid=5713")</f>
        <v>https://ceds.ed.gov/cedselementdetails.aspx?termid=5713</v>
      </c>
      <c r="N625" s="3" t="str">
        <f>HYPERLINK("https://ceds.ed.gov/elementComment.aspx?elementName=Full-time Status &amp;elementID=5713", "Click here to submit comment")</f>
        <v>Click here to submit comment</v>
      </c>
    </row>
    <row r="626" spans="1:14" ht="45">
      <c r="A626" s="3" t="s">
        <v>2820</v>
      </c>
      <c r="B626" s="3" t="s">
        <v>2821</v>
      </c>
      <c r="C626" s="3" t="s">
        <v>13</v>
      </c>
      <c r="D626" s="3" t="s">
        <v>2822</v>
      </c>
      <c r="E626" s="3" t="s">
        <v>207</v>
      </c>
      <c r="F626" s="3"/>
      <c r="G626" s="3" t="s">
        <v>1461</v>
      </c>
      <c r="H626" s="3"/>
      <c r="I626" s="3"/>
      <c r="J626" s="3" t="s">
        <v>2823</v>
      </c>
      <c r="K626" s="3"/>
      <c r="L626" s="3" t="s">
        <v>2824</v>
      </c>
      <c r="M626" s="3" t="str">
        <f>HYPERLINK("https://ceds.ed.gov/cedselementdetails.aspx?termid=5442")</f>
        <v>https://ceds.ed.gov/cedselementdetails.aspx?termid=5442</v>
      </c>
      <c r="N626" s="3" t="str">
        <f>HYPERLINK("https://ceds.ed.gov/elementComment.aspx?elementName=Funds Transfer Amount &amp;elementID=5442", "Click here to submit comment")</f>
        <v>Click here to submit comment</v>
      </c>
    </row>
    <row r="627" spans="1:14" ht="60">
      <c r="A627" s="3" t="s">
        <v>2825</v>
      </c>
      <c r="B627" s="3" t="s">
        <v>2826</v>
      </c>
      <c r="C627" s="3" t="s">
        <v>5963</v>
      </c>
      <c r="D627" s="3" t="s">
        <v>154</v>
      </c>
      <c r="E627" s="3" t="s">
        <v>2</v>
      </c>
      <c r="F627" s="3"/>
      <c r="G627" s="3"/>
      <c r="H627" s="3"/>
      <c r="I627" s="3"/>
      <c r="J627" s="3" t="s">
        <v>2827</v>
      </c>
      <c r="K627" s="3"/>
      <c r="L627" s="3" t="s">
        <v>2828</v>
      </c>
      <c r="M627" s="3" t="str">
        <f>HYPERLINK("https://ceds.ed.gov/cedselementdetails.aspx?termid=5120")</f>
        <v>https://ceds.ed.gov/cedselementdetails.aspx?termid=5120</v>
      </c>
      <c r="N627" s="3" t="str">
        <f>HYPERLINK("https://ceds.ed.gov/elementComment.aspx?elementName=GED Preparation Program Participation Status &amp;elementID=5120", "Click here to submit comment")</f>
        <v>Click here to submit comment</v>
      </c>
    </row>
    <row r="628" spans="1:14" ht="409.5">
      <c r="A628" s="3" t="s">
        <v>2829</v>
      </c>
      <c r="B628" s="3" t="s">
        <v>2830</v>
      </c>
      <c r="C628" s="3" t="s">
        <v>13</v>
      </c>
      <c r="D628" s="3" t="s">
        <v>6175</v>
      </c>
      <c r="E628" s="3" t="s">
        <v>6179</v>
      </c>
      <c r="F628" s="3" t="s">
        <v>3</v>
      </c>
      <c r="G628" s="3" t="s">
        <v>2031</v>
      </c>
      <c r="H628" s="3"/>
      <c r="I628" s="3" t="s">
        <v>2778</v>
      </c>
      <c r="J628" s="3" t="s">
        <v>2831</v>
      </c>
      <c r="K628" s="3"/>
      <c r="L628" s="3" t="s">
        <v>2832</v>
      </c>
      <c r="M628" s="3" t="str">
        <f>HYPERLINK("https://ceds.ed.gov/cedselementdetails.aspx?termid=5121")</f>
        <v>https://ceds.ed.gov/cedselementdetails.aspx?termid=5121</v>
      </c>
      <c r="N628" s="3" t="str">
        <f>HYPERLINK("https://ceds.ed.gov/elementComment.aspx?elementName=Generation Code or Suffix &amp;elementID=5121", "Click here to submit comment")</f>
        <v>Click here to submit comment</v>
      </c>
    </row>
    <row r="629" spans="1:14" ht="90">
      <c r="A629" s="3" t="s">
        <v>2833</v>
      </c>
      <c r="B629" s="3" t="s">
        <v>2834</v>
      </c>
      <c r="C629" s="3" t="s">
        <v>6180</v>
      </c>
      <c r="D629" s="3" t="s">
        <v>154</v>
      </c>
      <c r="E629" s="3" t="s">
        <v>5968</v>
      </c>
      <c r="F629" s="3" t="s">
        <v>66</v>
      </c>
      <c r="G629" s="3"/>
      <c r="H629" s="3" t="s">
        <v>2835</v>
      </c>
      <c r="I629" s="3"/>
      <c r="J629" s="3" t="s">
        <v>2836</v>
      </c>
      <c r="K629" s="3"/>
      <c r="L629" s="3" t="s">
        <v>2837</v>
      </c>
      <c r="M629" s="3" t="str">
        <f>HYPERLINK("https://ceds.ed.gov/cedselementdetails.aspx?termid=5122")</f>
        <v>https://ceds.ed.gov/cedselementdetails.aspx?termid=5122</v>
      </c>
      <c r="N629" s="3" t="str">
        <f>HYPERLINK("https://ceds.ed.gov/elementComment.aspx?elementName=Gifted and Talented Indicator &amp;elementID=5122", "Click here to submit comment")</f>
        <v>Click here to submit comment</v>
      </c>
    </row>
    <row r="630" spans="1:14" ht="195">
      <c r="A630" s="3" t="s">
        <v>2838</v>
      </c>
      <c r="B630" s="3" t="s">
        <v>2839</v>
      </c>
      <c r="C630" s="4" t="s">
        <v>6519</v>
      </c>
      <c r="D630" s="3" t="s">
        <v>248</v>
      </c>
      <c r="E630" s="3"/>
      <c r="F630" s="3"/>
      <c r="G630" s="3"/>
      <c r="H630" s="3"/>
      <c r="I630" s="3"/>
      <c r="J630" s="3" t="s">
        <v>2840</v>
      </c>
      <c r="K630" s="3"/>
      <c r="L630" s="3" t="s">
        <v>2841</v>
      </c>
      <c r="M630" s="3" t="str">
        <f>HYPERLINK("https://ceds.ed.gov/cedselementdetails.aspx?termid=5767")</f>
        <v>https://ceds.ed.gov/cedselementdetails.aspx?termid=5767</v>
      </c>
      <c r="N630" s="3" t="str">
        <f>HYPERLINK("https://ceds.ed.gov/elementComment.aspx?elementName=Goals for Attending Adult Education &amp;elementID=5767", "Click here to submit comment")</f>
        <v>Click here to submit comment</v>
      </c>
    </row>
    <row r="631" spans="1:14" ht="90">
      <c r="A631" s="3" t="s">
        <v>2842</v>
      </c>
      <c r="B631" s="3" t="s">
        <v>2843</v>
      </c>
      <c r="C631" s="3" t="s">
        <v>13</v>
      </c>
      <c r="D631" s="3" t="s">
        <v>6181</v>
      </c>
      <c r="E631" s="3" t="s">
        <v>5968</v>
      </c>
      <c r="F631" s="3"/>
      <c r="G631" s="3" t="s">
        <v>2844</v>
      </c>
      <c r="H631" s="3"/>
      <c r="I631" s="3"/>
      <c r="J631" s="3" t="s">
        <v>2845</v>
      </c>
      <c r="K631" s="3"/>
      <c r="L631" s="3" t="s">
        <v>2846</v>
      </c>
      <c r="M631" s="3" t="str">
        <f>HYPERLINK("https://ceds.ed.gov/cedselementdetails.aspx?termid=5124")</f>
        <v>https://ceds.ed.gov/cedselementdetails.aspx?termid=5124</v>
      </c>
      <c r="N631" s="3" t="str">
        <f>HYPERLINK("https://ceds.ed.gov/elementComment.aspx?elementName=Grade Earned &amp;elementID=5124", "Click here to submit comment")</f>
        <v>Click here to submit comment</v>
      </c>
    </row>
    <row r="632" spans="1:14" ht="345">
      <c r="A632" s="3" t="s">
        <v>2847</v>
      </c>
      <c r="B632" s="3" t="s">
        <v>2848</v>
      </c>
      <c r="C632" s="4" t="s">
        <v>6520</v>
      </c>
      <c r="D632" s="3" t="s">
        <v>6050</v>
      </c>
      <c r="E632" s="3" t="s">
        <v>6182</v>
      </c>
      <c r="F632" s="3"/>
      <c r="G632" s="3"/>
      <c r="H632" s="3"/>
      <c r="I632" s="3"/>
      <c r="J632" s="3" t="s">
        <v>2849</v>
      </c>
      <c r="K632" s="3"/>
      <c r="L632" s="3" t="s">
        <v>2850</v>
      </c>
      <c r="M632" s="3" t="str">
        <f>HYPERLINK("https://ceds.ed.gov/cedselementdetails.aspx?termid=5126")</f>
        <v>https://ceds.ed.gov/cedselementdetails.aspx?termid=5126</v>
      </c>
      <c r="N632" s="3" t="str">
        <f>HYPERLINK("https://ceds.ed.gov/elementComment.aspx?elementName=Grade Level When Assessed &amp;elementID=5126", "Click here to submit comment")</f>
        <v>Click here to submit comment</v>
      </c>
    </row>
    <row r="633" spans="1:14" ht="330">
      <c r="A633" s="3" t="s">
        <v>2851</v>
      </c>
      <c r="B633" s="3" t="s">
        <v>2852</v>
      </c>
      <c r="C633" s="4" t="s">
        <v>6499</v>
      </c>
      <c r="D633" s="3" t="s">
        <v>6183</v>
      </c>
      <c r="E633" s="3" t="s">
        <v>5968</v>
      </c>
      <c r="F633" s="3"/>
      <c r="G633" s="3"/>
      <c r="H633" s="3"/>
      <c r="I633" s="3"/>
      <c r="J633" s="3" t="s">
        <v>2853</v>
      </c>
      <c r="K633" s="3"/>
      <c r="L633" s="3" t="s">
        <v>2854</v>
      </c>
      <c r="M633" s="3" t="str">
        <f>HYPERLINK("https://ceds.ed.gov/cedselementdetails.aspx?termid=5125")</f>
        <v>https://ceds.ed.gov/cedselementdetails.aspx?termid=5125</v>
      </c>
      <c r="N633" s="3" t="str">
        <f>HYPERLINK("https://ceds.ed.gov/elementComment.aspx?elementName=Grade Level When Course Taken &amp;elementID=5125", "Click here to submit comment")</f>
        <v>Click here to submit comment</v>
      </c>
    </row>
    <row r="634" spans="1:14" ht="45">
      <c r="A634" s="3" t="s">
        <v>2855</v>
      </c>
      <c r="B634" s="3" t="s">
        <v>2856</v>
      </c>
      <c r="C634" s="3" t="s">
        <v>13</v>
      </c>
      <c r="D634" s="3" t="s">
        <v>14</v>
      </c>
      <c r="E634" s="3" t="s">
        <v>24</v>
      </c>
      <c r="F634" s="3"/>
      <c r="G634" s="3" t="s">
        <v>2857</v>
      </c>
      <c r="H634" s="3"/>
      <c r="I634" s="3"/>
      <c r="J634" s="3" t="s">
        <v>2858</v>
      </c>
      <c r="K634" s="3"/>
      <c r="L634" s="3" t="s">
        <v>2859</v>
      </c>
      <c r="M634" s="3" t="str">
        <f>HYPERLINK("https://ceds.ed.gov/cedselementdetails.aspx?termid=5127")</f>
        <v>https://ceds.ed.gov/cedselementdetails.aspx?termid=5127</v>
      </c>
      <c r="N634" s="3" t="str">
        <f>HYPERLINK("https://ceds.ed.gov/elementComment.aspx?elementName=Grade Point Average &amp;elementID=5127", "Click here to submit comment")</f>
        <v>Click here to submit comment</v>
      </c>
    </row>
    <row r="635" spans="1:14" ht="180">
      <c r="A635" s="3" t="s">
        <v>2860</v>
      </c>
      <c r="B635" s="3" t="s">
        <v>2861</v>
      </c>
      <c r="C635" s="3" t="s">
        <v>13</v>
      </c>
      <c r="D635" s="3" t="s">
        <v>6184</v>
      </c>
      <c r="E635" s="3" t="s">
        <v>6185</v>
      </c>
      <c r="F635" s="3"/>
      <c r="G635" s="3" t="s">
        <v>2857</v>
      </c>
      <c r="H635" s="3"/>
      <c r="I635" s="3" t="s">
        <v>2862</v>
      </c>
      <c r="J635" s="3" t="s">
        <v>2863</v>
      </c>
      <c r="K635" s="3" t="s">
        <v>2864</v>
      </c>
      <c r="L635" s="3" t="s">
        <v>2865</v>
      </c>
      <c r="M635" s="3" t="str">
        <f>HYPERLINK("https://ceds.ed.gov/cedselementdetails.aspx?termid=5128")</f>
        <v>https://ceds.ed.gov/cedselementdetails.aspx?termid=5128</v>
      </c>
      <c r="N635" s="3" t="str">
        <f>HYPERLINK("https://ceds.ed.gov/elementComment.aspx?elementName=Grade Point Average Cumulative &amp;elementID=5128", "Click here to submit comment")</f>
        <v>Click here to submit comment</v>
      </c>
    </row>
    <row r="636" spans="1:14" ht="105">
      <c r="A636" s="3" t="s">
        <v>2866</v>
      </c>
      <c r="B636" s="3" t="s">
        <v>2867</v>
      </c>
      <c r="C636" s="4" t="s">
        <v>6521</v>
      </c>
      <c r="D636" s="3" t="s">
        <v>236</v>
      </c>
      <c r="E636" s="3" t="s">
        <v>237</v>
      </c>
      <c r="F636" s="3"/>
      <c r="G636" s="3"/>
      <c r="H636" s="3"/>
      <c r="I636" s="3" t="s">
        <v>2868</v>
      </c>
      <c r="J636" s="3" t="s">
        <v>2869</v>
      </c>
      <c r="K636" s="3" t="s">
        <v>2870</v>
      </c>
      <c r="L636" s="3" t="s">
        <v>2871</v>
      </c>
      <c r="M636" s="3" t="str">
        <f>HYPERLINK("https://ceds.ed.gov/cedselementdetails.aspx?termid=5739")</f>
        <v>https://ceds.ed.gov/cedselementdetails.aspx?termid=5739</v>
      </c>
      <c r="N636" s="3" t="str">
        <f>HYPERLINK("https://ceds.ed.gov/elementComment.aspx?elementName=Grade Point Average Domain &amp;elementID=5739", "Click here to submit comment")</f>
        <v>Click here to submit comment</v>
      </c>
    </row>
    <row r="637" spans="1:14" ht="90">
      <c r="A637" s="3" t="s">
        <v>2872</v>
      </c>
      <c r="B637" s="3" t="s">
        <v>2873</v>
      </c>
      <c r="C637" s="3" t="s">
        <v>13</v>
      </c>
      <c r="D637" s="3" t="s">
        <v>30</v>
      </c>
      <c r="E637" s="3" t="s">
        <v>5968</v>
      </c>
      <c r="F637" s="3"/>
      <c r="G637" s="3" t="s">
        <v>2857</v>
      </c>
      <c r="H637" s="3"/>
      <c r="I637" s="3"/>
      <c r="J637" s="3" t="s">
        <v>2874</v>
      </c>
      <c r="K637" s="3" t="s">
        <v>2875</v>
      </c>
      <c r="L637" s="3" t="s">
        <v>2876</v>
      </c>
      <c r="M637" s="3" t="str">
        <f>HYPERLINK("https://ceds.ed.gov/cedselementdetails.aspx?termid=5129")</f>
        <v>https://ceds.ed.gov/cedselementdetails.aspx?termid=5129</v>
      </c>
      <c r="N637" s="3" t="str">
        <f>HYPERLINK("https://ceds.ed.gov/elementComment.aspx?elementName=Grade Point Average Given Session &amp;elementID=5129", "Click here to submit comment")</f>
        <v>Click here to submit comment</v>
      </c>
    </row>
    <row r="638" spans="1:14" ht="60">
      <c r="A638" s="3" t="s">
        <v>2877</v>
      </c>
      <c r="B638" s="3" t="s">
        <v>2878</v>
      </c>
      <c r="C638" s="3" t="s">
        <v>6186</v>
      </c>
      <c r="D638" s="3" t="s">
        <v>6187</v>
      </c>
      <c r="E638" s="3" t="s">
        <v>6188</v>
      </c>
      <c r="F638" s="3"/>
      <c r="G638" s="3"/>
      <c r="H638" s="3"/>
      <c r="I638" s="3"/>
      <c r="J638" s="3" t="s">
        <v>2879</v>
      </c>
      <c r="K638" s="3" t="s">
        <v>2880</v>
      </c>
      <c r="L638" s="3" t="s">
        <v>2881</v>
      </c>
      <c r="M638" s="3" t="str">
        <f>HYPERLINK("https://ceds.ed.gov/cedselementdetails.aspx?termid=5123")</f>
        <v>https://ceds.ed.gov/cedselementdetails.aspx?termid=5123</v>
      </c>
      <c r="N638" s="3" t="str">
        <f>HYPERLINK("https://ceds.ed.gov/elementComment.aspx?elementName=Grade Point Average Weighted Indicator &amp;elementID=5123", "Click here to submit comment")</f>
        <v>Click here to submit comment</v>
      </c>
    </row>
    <row r="639" spans="1:14" ht="105">
      <c r="A639" s="3" t="s">
        <v>2882</v>
      </c>
      <c r="B639" s="3" t="s">
        <v>2883</v>
      </c>
      <c r="C639" s="3" t="s">
        <v>13</v>
      </c>
      <c r="D639" s="3" t="s">
        <v>30</v>
      </c>
      <c r="E639" s="3" t="s">
        <v>5968</v>
      </c>
      <c r="F639" s="3"/>
      <c r="G639" s="3" t="s">
        <v>1461</v>
      </c>
      <c r="H639" s="3"/>
      <c r="I639" s="3"/>
      <c r="J639" s="3" t="s">
        <v>2884</v>
      </c>
      <c r="K639" s="3"/>
      <c r="L639" s="3" t="s">
        <v>2885</v>
      </c>
      <c r="M639" s="3" t="str">
        <f>HYPERLINK("https://ceds.ed.gov/cedselementdetails.aspx?termid=5130")</f>
        <v>https://ceds.ed.gov/cedselementdetails.aspx?termid=5130</v>
      </c>
      <c r="N639" s="3" t="str">
        <f>HYPERLINK("https://ceds.ed.gov/elementComment.aspx?elementName=Grade Points Earned Cumulative &amp;elementID=5130", "Click here to submit comment")</f>
        <v>Click here to submit comment</v>
      </c>
    </row>
    <row r="640" spans="1:14" ht="135">
      <c r="A640" s="3" t="s">
        <v>2886</v>
      </c>
      <c r="B640" s="3" t="s">
        <v>2887</v>
      </c>
      <c r="C640" s="3" t="s">
        <v>13</v>
      </c>
      <c r="D640" s="3" t="s">
        <v>6181</v>
      </c>
      <c r="E640" s="3"/>
      <c r="F640" s="3"/>
      <c r="G640" s="3" t="s">
        <v>745</v>
      </c>
      <c r="H640" s="3"/>
      <c r="I640" s="3" t="s">
        <v>2888</v>
      </c>
      <c r="J640" s="3" t="s">
        <v>2889</v>
      </c>
      <c r="K640" s="3"/>
      <c r="L640" s="3" t="s">
        <v>2890</v>
      </c>
      <c r="M640" s="3" t="str">
        <f>HYPERLINK("https://ceds.ed.gov/cedselementdetails.aspx?termid=5609")</f>
        <v>https://ceds.ed.gov/cedselementdetails.aspx?termid=5609</v>
      </c>
      <c r="N640" s="3" t="str">
        <f>HYPERLINK("https://ceds.ed.gov/elementComment.aspx?elementName=Grade Value Qualifier &amp;elementID=5609", "Click here to submit comment")</f>
        <v>Click here to submit comment</v>
      </c>
    </row>
    <row r="641" spans="1:14" ht="390">
      <c r="A641" s="3" t="s">
        <v>2891</v>
      </c>
      <c r="B641" s="3" t="s">
        <v>2892</v>
      </c>
      <c r="C641" s="4" t="s">
        <v>6522</v>
      </c>
      <c r="D641" s="3" t="s">
        <v>224</v>
      </c>
      <c r="E641" s="3" t="s">
        <v>5968</v>
      </c>
      <c r="F641" s="3"/>
      <c r="G641" s="3"/>
      <c r="H641" s="3"/>
      <c r="I641" s="3"/>
      <c r="J641" s="3" t="s">
        <v>2893</v>
      </c>
      <c r="K641" s="3"/>
      <c r="L641" s="3" t="s">
        <v>2894</v>
      </c>
      <c r="M641" s="3" t="str">
        <f>HYPERLINK("https://ceds.ed.gov/cedselementdetails.aspx?termid=5131")</f>
        <v>https://ceds.ed.gov/cedselementdetails.aspx?termid=5131</v>
      </c>
      <c r="N641" s="3" t="str">
        <f>HYPERLINK("https://ceds.ed.gov/elementComment.aspx?elementName=Grades Offered &amp;elementID=5131", "Click here to submit comment")</f>
        <v>Click here to submit comment</v>
      </c>
    </row>
    <row r="642" spans="1:14" ht="195">
      <c r="A642" s="3" t="s">
        <v>2895</v>
      </c>
      <c r="B642" s="3" t="s">
        <v>2896</v>
      </c>
      <c r="C642" s="4" t="s">
        <v>6523</v>
      </c>
      <c r="D642" s="3" t="s">
        <v>35</v>
      </c>
      <c r="E642" s="3" t="s">
        <v>36</v>
      </c>
      <c r="F642" s="3"/>
      <c r="G642" s="3"/>
      <c r="H642" s="3"/>
      <c r="I642" s="3" t="s">
        <v>1785</v>
      </c>
      <c r="J642" s="3" t="s">
        <v>2897</v>
      </c>
      <c r="K642" s="3"/>
      <c r="L642" s="3" t="s">
        <v>2898</v>
      </c>
      <c r="M642" s="3" t="str">
        <f>HYPERLINK("https://ceds.ed.gov/cedselementdetails.aspx?termid=5721")</f>
        <v>https://ceds.ed.gov/cedselementdetails.aspx?termid=5721</v>
      </c>
      <c r="N642" s="3" t="str">
        <f>HYPERLINK("https://ceds.ed.gov/elementComment.aspx?elementName=Graduate Assistant IPEDS Occupation Category &amp;elementID=5721", "Click here to submit comment")</f>
        <v>Click here to submit comment</v>
      </c>
    </row>
    <row r="643" spans="1:14" ht="150">
      <c r="A643" s="3" t="s">
        <v>2899</v>
      </c>
      <c r="B643" s="3" t="s">
        <v>2900</v>
      </c>
      <c r="C643" s="3" t="s">
        <v>5963</v>
      </c>
      <c r="D643" s="3" t="s">
        <v>35</v>
      </c>
      <c r="E643" s="3" t="s">
        <v>36</v>
      </c>
      <c r="F643" s="3"/>
      <c r="G643" s="3"/>
      <c r="H643" s="3"/>
      <c r="I643" s="3" t="s">
        <v>358</v>
      </c>
      <c r="J643" s="3" t="s">
        <v>2901</v>
      </c>
      <c r="K643" s="3"/>
      <c r="L643" s="3" t="s">
        <v>2902</v>
      </c>
      <c r="M643" s="3" t="str">
        <f>HYPERLINK("https://ceds.ed.gov/cedselementdetails.aspx?termid=5720")</f>
        <v>https://ceds.ed.gov/cedselementdetails.aspx?termid=5720</v>
      </c>
      <c r="N643" s="3" t="str">
        <f>HYPERLINK("https://ceds.ed.gov/elementComment.aspx?elementName=Graduate Assistant Status &amp;elementID=5720", "Click here to submit comment")</f>
        <v>Click here to submit comment</v>
      </c>
    </row>
    <row r="644" spans="1:14" ht="105">
      <c r="A644" s="3" t="s">
        <v>2903</v>
      </c>
      <c r="B644" s="3" t="s">
        <v>2904</v>
      </c>
      <c r="C644" s="4" t="s">
        <v>6524</v>
      </c>
      <c r="D644" s="3" t="s">
        <v>2267</v>
      </c>
      <c r="E644" s="3"/>
      <c r="F644" s="3" t="s">
        <v>54</v>
      </c>
      <c r="G644" s="3"/>
      <c r="H644" s="3"/>
      <c r="I644" s="3"/>
      <c r="J644" s="3" t="s">
        <v>2905</v>
      </c>
      <c r="K644" s="3"/>
      <c r="L644" s="3" t="s">
        <v>2906</v>
      </c>
      <c r="M644" s="3" t="str">
        <f>HYPERLINK("https://ceds.ed.gov/cedselementdetails.aspx?termid=6324")</f>
        <v>https://ceds.ed.gov/cedselementdetails.aspx?termid=6324</v>
      </c>
      <c r="N644" s="3" t="str">
        <f>HYPERLINK("https://ceds.ed.gov/elementComment.aspx?elementName=Graduate or Doctoral Exam Results Status &amp;elementID=6324", "Click here to submit comment")</f>
        <v>Click here to submit comment</v>
      </c>
    </row>
    <row r="645" spans="1:14" ht="30">
      <c r="A645" s="3" t="s">
        <v>2907</v>
      </c>
      <c r="B645" s="3" t="s">
        <v>2908</v>
      </c>
      <c r="C645" s="3" t="s">
        <v>13</v>
      </c>
      <c r="D645" s="3" t="s">
        <v>30</v>
      </c>
      <c r="E645" s="3"/>
      <c r="F645" s="3"/>
      <c r="G645" s="3" t="s">
        <v>1736</v>
      </c>
      <c r="H645" s="3"/>
      <c r="I645" s="3"/>
      <c r="J645" s="3" t="s">
        <v>2909</v>
      </c>
      <c r="K645" s="3"/>
      <c r="L645" s="3" t="s">
        <v>2910</v>
      </c>
      <c r="M645" s="3" t="str">
        <f>HYPERLINK("https://ceds.ed.gov/cedselementdetails.aspx?termid=5132")</f>
        <v>https://ceds.ed.gov/cedselementdetails.aspx?termid=5132</v>
      </c>
      <c r="N645" s="3" t="str">
        <f>HYPERLINK("https://ceds.ed.gov/elementComment.aspx?elementName=Graduation Rate Survey Cohort Year &amp;elementID=5132", "Click here to submit comment")</f>
        <v>Click here to submit comment</v>
      </c>
    </row>
    <row r="646" spans="1:14" ht="75">
      <c r="A646" s="3" t="s">
        <v>2911</v>
      </c>
      <c r="B646" s="3" t="s">
        <v>2912</v>
      </c>
      <c r="C646" s="3" t="s">
        <v>5963</v>
      </c>
      <c r="D646" s="3" t="s">
        <v>30</v>
      </c>
      <c r="E646" s="3" t="s">
        <v>2913</v>
      </c>
      <c r="F646" s="3"/>
      <c r="G646" s="3"/>
      <c r="H646" s="3"/>
      <c r="I646" s="3"/>
      <c r="J646" s="3" t="s">
        <v>2914</v>
      </c>
      <c r="K646" s="3"/>
      <c r="L646" s="3" t="s">
        <v>2915</v>
      </c>
      <c r="M646" s="3" t="str">
        <f>HYPERLINK("https://ceds.ed.gov/cedselementdetails.aspx?termid=5133")</f>
        <v>https://ceds.ed.gov/cedselementdetails.aspx?termid=5133</v>
      </c>
      <c r="N646" s="3" t="str">
        <f>HYPERLINK("https://ceds.ed.gov/elementComment.aspx?elementName=Graduation Rate Survey Indicator &amp;elementID=5133", "Click here to submit comment")</f>
        <v>Click here to submit comment</v>
      </c>
    </row>
    <row r="647" spans="1:14" ht="120">
      <c r="A647" s="3" t="s">
        <v>2916</v>
      </c>
      <c r="B647" s="3" t="s">
        <v>2917</v>
      </c>
      <c r="C647" s="4" t="s">
        <v>6525</v>
      </c>
      <c r="D647" s="3" t="s">
        <v>5979</v>
      </c>
      <c r="E647" s="3" t="s">
        <v>218</v>
      </c>
      <c r="F647" s="3"/>
      <c r="G647" s="3"/>
      <c r="H647" s="3"/>
      <c r="I647" s="3"/>
      <c r="J647" s="3" t="s">
        <v>2918</v>
      </c>
      <c r="K647" s="3"/>
      <c r="L647" s="3" t="s">
        <v>2919</v>
      </c>
      <c r="M647" s="3" t="str">
        <f>HYPERLINK("https://ceds.ed.gov/cedselementdetails.aspx?termid=5134")</f>
        <v>https://ceds.ed.gov/cedselementdetails.aspx?termid=5134</v>
      </c>
      <c r="N647" s="3" t="str">
        <f>HYPERLINK("https://ceds.ed.gov/elementComment.aspx?elementName=Gun Free Schools Act Reporting Status &amp;elementID=5134", "Click here to submit comment")</f>
        <v>Click here to submit comment</v>
      </c>
    </row>
    <row r="648" spans="1:14" ht="60">
      <c r="A648" s="3" t="s">
        <v>2920</v>
      </c>
      <c r="B648" s="3" t="s">
        <v>2921</v>
      </c>
      <c r="C648" s="3" t="s">
        <v>5963</v>
      </c>
      <c r="D648" s="3" t="s">
        <v>1471</v>
      </c>
      <c r="E648" s="3" t="s">
        <v>2</v>
      </c>
      <c r="F648" s="3"/>
      <c r="G648" s="3"/>
      <c r="H648" s="3"/>
      <c r="I648" s="3"/>
      <c r="J648" s="3" t="s">
        <v>2922</v>
      </c>
      <c r="K648" s="3"/>
      <c r="L648" s="3" t="s">
        <v>2923</v>
      </c>
      <c r="M648" s="3" t="str">
        <f>HYPERLINK("https://ceds.ed.gov/cedselementdetails.aspx?termid=5135")</f>
        <v>https://ceds.ed.gov/cedselementdetails.aspx?termid=5135</v>
      </c>
      <c r="N648" s="3" t="str">
        <f>HYPERLINK("https://ceds.ed.gov/elementComment.aspx?elementName=Harassment or Bullying Policy Status &amp;elementID=5135", "Click here to submit comment")</f>
        <v>Click here to submit comment</v>
      </c>
    </row>
    <row r="649" spans="1:14" ht="45">
      <c r="A649" s="3" t="s">
        <v>2924</v>
      </c>
      <c r="B649" s="3" t="s">
        <v>2925</v>
      </c>
      <c r="C649" s="3" t="s">
        <v>13</v>
      </c>
      <c r="D649" s="3" t="s">
        <v>2926</v>
      </c>
      <c r="E649" s="3"/>
      <c r="F649" s="3" t="s">
        <v>54</v>
      </c>
      <c r="G649" s="3" t="s">
        <v>93</v>
      </c>
      <c r="H649" s="3"/>
      <c r="I649" s="3"/>
      <c r="J649" s="3" t="s">
        <v>2927</v>
      </c>
      <c r="K649" s="3"/>
      <c r="L649" s="3" t="s">
        <v>2928</v>
      </c>
      <c r="M649" s="3" t="str">
        <f>HYPERLINK("https://ceds.ed.gov/cedselementdetails.aspx?termid=6325")</f>
        <v>https://ceds.ed.gov/cedselementdetails.aspx?termid=6325</v>
      </c>
      <c r="N649" s="3" t="str">
        <f>HYPERLINK("https://ceds.ed.gov/elementComment.aspx?elementName=Health Screening Equipment Used &amp;elementID=6325", "Click here to submit comment")</f>
        <v>Click here to submit comment</v>
      </c>
    </row>
    <row r="650" spans="1:14" ht="45">
      <c r="A650" s="3" t="s">
        <v>2929</v>
      </c>
      <c r="B650" s="3" t="s">
        <v>2930</v>
      </c>
      <c r="C650" s="3" t="s">
        <v>13</v>
      </c>
      <c r="D650" s="3" t="s">
        <v>2926</v>
      </c>
      <c r="E650" s="3"/>
      <c r="F650" s="3" t="s">
        <v>54</v>
      </c>
      <c r="G650" s="3" t="s">
        <v>319</v>
      </c>
      <c r="H650" s="3"/>
      <c r="I650" s="3"/>
      <c r="J650" s="3" t="s">
        <v>2931</v>
      </c>
      <c r="K650" s="3"/>
      <c r="L650" s="3" t="s">
        <v>2932</v>
      </c>
      <c r="M650" s="3" t="str">
        <f>HYPERLINK("https://ceds.ed.gov/cedselementdetails.aspx?termid=6326")</f>
        <v>https://ceds.ed.gov/cedselementdetails.aspx?termid=6326</v>
      </c>
      <c r="N650" s="3" t="str">
        <f>HYPERLINK("https://ceds.ed.gov/elementComment.aspx?elementName=Health Screening Follow-up Recommendation &amp;elementID=6326", "Click here to submit comment")</f>
        <v>Click here to submit comment</v>
      </c>
    </row>
    <row r="651" spans="1:14" ht="60">
      <c r="A651" s="3" t="s">
        <v>2933</v>
      </c>
      <c r="B651" s="3" t="s">
        <v>2934</v>
      </c>
      <c r="C651" s="3" t="s">
        <v>13</v>
      </c>
      <c r="D651" s="3" t="s">
        <v>6189</v>
      </c>
      <c r="E651" s="3"/>
      <c r="F651" s="3" t="s">
        <v>3</v>
      </c>
      <c r="G651" s="3" t="s">
        <v>73</v>
      </c>
      <c r="H651" s="3"/>
      <c r="I651" s="3"/>
      <c r="J651" s="3" t="s">
        <v>2935</v>
      </c>
      <c r="K651" s="3"/>
      <c r="L651" s="3" t="s">
        <v>2936</v>
      </c>
      <c r="M651" s="3" t="str">
        <f>HYPERLINK("https://ceds.ed.gov/cedselementdetails.aspx?termid=5681")</f>
        <v>https://ceds.ed.gov/cedselementdetails.aspx?termid=5681</v>
      </c>
      <c r="N651" s="3" t="str">
        <f>HYPERLINK("https://ceds.ed.gov/elementComment.aspx?elementName=Hearing Screening Date &amp;elementID=5681", "Click here to submit comment")</f>
        <v>Click here to submit comment</v>
      </c>
    </row>
    <row r="652" spans="1:14" ht="60">
      <c r="A652" s="3" t="s">
        <v>2937</v>
      </c>
      <c r="B652" s="3" t="s">
        <v>2938</v>
      </c>
      <c r="C652" s="4" t="s">
        <v>6526</v>
      </c>
      <c r="D652" s="3" t="s">
        <v>6189</v>
      </c>
      <c r="E652" s="3" t="s">
        <v>2158</v>
      </c>
      <c r="F652" s="3" t="s">
        <v>3</v>
      </c>
      <c r="G652" s="3"/>
      <c r="H652" s="3"/>
      <c r="I652" s="3"/>
      <c r="J652" s="3" t="s">
        <v>2939</v>
      </c>
      <c r="K652" s="3"/>
      <c r="L652" s="3" t="s">
        <v>2940</v>
      </c>
      <c r="M652" s="3" t="str">
        <f>HYPERLINK("https://ceds.ed.gov/cedselementdetails.aspx?termid=5309")</f>
        <v>https://ceds.ed.gov/cedselementdetails.aspx?termid=5309</v>
      </c>
      <c r="N652" s="3" t="str">
        <f>HYPERLINK("https://ceds.ed.gov/elementComment.aspx?elementName=Hearing Screening Status &amp;elementID=5309", "Click here to submit comment")</f>
        <v>Click here to submit comment</v>
      </c>
    </row>
    <row r="653" spans="1:14" ht="120">
      <c r="A653" s="3" t="s">
        <v>2941</v>
      </c>
      <c r="B653" s="3" t="s">
        <v>2942</v>
      </c>
      <c r="C653" s="3" t="s">
        <v>5963</v>
      </c>
      <c r="D653" s="3" t="s">
        <v>6077</v>
      </c>
      <c r="E653" s="3" t="s">
        <v>6078</v>
      </c>
      <c r="F653" s="3"/>
      <c r="G653" s="3"/>
      <c r="H653" s="3"/>
      <c r="I653" s="3"/>
      <c r="J653" s="3" t="s">
        <v>2943</v>
      </c>
      <c r="K653" s="3"/>
      <c r="L653" s="3" t="s">
        <v>2944</v>
      </c>
      <c r="M653" s="3" t="str">
        <f>HYPERLINK("https://ceds.ed.gov/cedselementdetails.aspx?termid=5137")</f>
        <v>https://ceds.ed.gov/cedselementdetails.aspx?termid=5137</v>
      </c>
      <c r="N653" s="3" t="str">
        <f>HYPERLINK("https://ceds.ed.gov/elementComment.aspx?elementName=High School Course Requirement &amp;elementID=5137", "Click here to submit comment")</f>
        <v>Click here to submit comment</v>
      </c>
    </row>
    <row r="654" spans="1:14" ht="105">
      <c r="A654" s="3" t="s">
        <v>2945</v>
      </c>
      <c r="B654" s="3" t="s">
        <v>2946</v>
      </c>
      <c r="C654" s="4" t="s">
        <v>6527</v>
      </c>
      <c r="D654" s="3" t="s">
        <v>30</v>
      </c>
      <c r="E654" s="3"/>
      <c r="F654" s="3"/>
      <c r="G654" s="3"/>
      <c r="H654" s="3"/>
      <c r="I654" s="3"/>
      <c r="J654" s="3" t="s">
        <v>2947</v>
      </c>
      <c r="K654" s="3"/>
      <c r="L654" s="3" t="s">
        <v>2948</v>
      </c>
      <c r="M654" s="3" t="str">
        <f>HYPERLINK("https://ceds.ed.gov/cedselementdetails.aspx?termid=5689")</f>
        <v>https://ceds.ed.gov/cedselementdetails.aspx?termid=5689</v>
      </c>
      <c r="N654" s="3" t="str">
        <f>HYPERLINK("https://ceds.ed.gov/elementComment.aspx?elementName=High School Diploma Distinction Type &amp;elementID=5689", "Click here to submit comment")</f>
        <v>Click here to submit comment</v>
      </c>
    </row>
    <row r="655" spans="1:14" ht="285">
      <c r="A655" s="3" t="s">
        <v>2949</v>
      </c>
      <c r="B655" s="3" t="s">
        <v>2950</v>
      </c>
      <c r="C655" s="4" t="s">
        <v>6528</v>
      </c>
      <c r="D655" s="3" t="s">
        <v>6190</v>
      </c>
      <c r="E655" s="3" t="s">
        <v>6191</v>
      </c>
      <c r="F655" s="3"/>
      <c r="G655" s="3"/>
      <c r="H655" s="3"/>
      <c r="I655" s="3"/>
      <c r="J655" s="3" t="s">
        <v>2951</v>
      </c>
      <c r="K655" s="3"/>
      <c r="L655" s="3" t="s">
        <v>2952</v>
      </c>
      <c r="M655" s="3" t="str">
        <f>HYPERLINK("https://ceds.ed.gov/cedselementdetails.aspx?termid=5138")</f>
        <v>https://ceds.ed.gov/cedselementdetails.aspx?termid=5138</v>
      </c>
      <c r="N655" s="3" t="str">
        <f>HYPERLINK("https://ceds.ed.gov/elementComment.aspx?elementName=High School Diploma Type &amp;elementID=5138", "Click here to submit comment")</f>
        <v>Click here to submit comment</v>
      </c>
    </row>
    <row r="656" spans="1:14" ht="120">
      <c r="A656" s="3" t="s">
        <v>2953</v>
      </c>
      <c r="B656" s="3" t="s">
        <v>2954</v>
      </c>
      <c r="C656" s="4" t="s">
        <v>6529</v>
      </c>
      <c r="D656" s="3" t="s">
        <v>5979</v>
      </c>
      <c r="E656" s="3" t="s">
        <v>218</v>
      </c>
      <c r="F656" s="3"/>
      <c r="G656" s="3"/>
      <c r="H656" s="3"/>
      <c r="I656" s="3"/>
      <c r="J656" s="3" t="s">
        <v>2955</v>
      </c>
      <c r="K656" s="3"/>
      <c r="L656" s="3" t="s">
        <v>2956</v>
      </c>
      <c r="M656" s="3" t="str">
        <f>HYPERLINK("https://ceds.ed.gov/cedselementdetails.aspx?termid=5140")</f>
        <v>https://ceds.ed.gov/cedselementdetails.aspx?termid=5140</v>
      </c>
      <c r="N656" s="3" t="str">
        <f>HYPERLINK("https://ceds.ed.gov/elementComment.aspx?elementName=High School Graduation Rate Indicator Status &amp;elementID=5140", "Click here to submit comment")</f>
        <v>Click here to submit comment</v>
      </c>
    </row>
    <row r="657" spans="1:14" ht="120">
      <c r="A657" s="3" t="s">
        <v>2957</v>
      </c>
      <c r="B657" s="3" t="s">
        <v>2958</v>
      </c>
      <c r="C657" s="3" t="s">
        <v>13</v>
      </c>
      <c r="D657" s="3" t="s">
        <v>236</v>
      </c>
      <c r="E657" s="3" t="s">
        <v>237</v>
      </c>
      <c r="F657" s="3"/>
      <c r="G657" s="3" t="s">
        <v>740</v>
      </c>
      <c r="H657" s="3"/>
      <c r="I657" s="3" t="s">
        <v>2959</v>
      </c>
      <c r="J657" s="3" t="s">
        <v>2960</v>
      </c>
      <c r="K657" s="3"/>
      <c r="L657" s="3" t="s">
        <v>2961</v>
      </c>
      <c r="M657" s="3" t="str">
        <f>HYPERLINK("https://ceds.ed.gov/cedselementdetails.aspx?termid=5740")</f>
        <v>https://ceds.ed.gov/cedselementdetails.aspx?termid=5740</v>
      </c>
      <c r="N657" s="3" t="str">
        <f>HYPERLINK("https://ceds.ed.gov/elementComment.aspx?elementName=High School Percentile &amp;elementID=5740", "Click here to submit comment")</f>
        <v>Click here to submit comment</v>
      </c>
    </row>
    <row r="658" spans="1:14" ht="120">
      <c r="A658" s="3" t="s">
        <v>2962</v>
      </c>
      <c r="B658" s="3" t="s">
        <v>2963</v>
      </c>
      <c r="C658" s="3" t="s">
        <v>13</v>
      </c>
      <c r="D658" s="3" t="s">
        <v>6192</v>
      </c>
      <c r="E658" s="3" t="s">
        <v>6193</v>
      </c>
      <c r="F658" s="3"/>
      <c r="G658" s="3" t="s">
        <v>308</v>
      </c>
      <c r="H658" s="3"/>
      <c r="I658" s="3"/>
      <c r="J658" s="3" t="s">
        <v>2964</v>
      </c>
      <c r="K658" s="3"/>
      <c r="L658" s="3" t="s">
        <v>2965</v>
      </c>
      <c r="M658" s="3" t="str">
        <f>HYPERLINK("https://ceds.ed.gov/cedselementdetails.aspx?termid=5041")</f>
        <v>https://ceds.ed.gov/cedselementdetails.aspx?termid=5041</v>
      </c>
      <c r="N658" s="3" t="str">
        <f>HYPERLINK("https://ceds.ed.gov/elementComment.aspx?elementName=High School Student Class Rank &amp;elementID=5041", "Click here to submit comment")</f>
        <v>Click here to submit comment</v>
      </c>
    </row>
    <row r="659" spans="1:14" ht="120">
      <c r="A659" s="3" t="s">
        <v>2966</v>
      </c>
      <c r="B659" s="3" t="s">
        <v>2967</v>
      </c>
      <c r="C659" s="4" t="s">
        <v>6530</v>
      </c>
      <c r="D659" s="3" t="s">
        <v>388</v>
      </c>
      <c r="E659" s="3" t="s">
        <v>202</v>
      </c>
      <c r="F659" s="3"/>
      <c r="G659" s="3"/>
      <c r="H659" s="3"/>
      <c r="I659" s="3"/>
      <c r="J659" s="3" t="s">
        <v>2968</v>
      </c>
      <c r="K659" s="3"/>
      <c r="L659" s="3" t="s">
        <v>2969</v>
      </c>
      <c r="M659" s="3" t="str">
        <f>HYPERLINK("https://ceds.ed.gov/cedselementdetails.aspx?termid=5817")</f>
        <v>https://ceds.ed.gov/cedselementdetails.aspx?termid=5817</v>
      </c>
      <c r="N659" s="3" t="str">
        <f>HYPERLINK("https://ceds.ed.gov/elementComment.aspx?elementName=Higher Education Institution Accreditation Status &amp;elementID=5817", "Click here to submit comment")</f>
        <v>Click here to submit comment</v>
      </c>
    </row>
    <row r="660" spans="1:14" ht="409.5">
      <c r="A660" s="3" t="s">
        <v>2970</v>
      </c>
      <c r="B660" s="3" t="s">
        <v>2971</v>
      </c>
      <c r="C660" s="4" t="s">
        <v>6531</v>
      </c>
      <c r="D660" s="3" t="s">
        <v>6194</v>
      </c>
      <c r="E660" s="3" t="s">
        <v>6195</v>
      </c>
      <c r="F660" s="3" t="s">
        <v>66</v>
      </c>
      <c r="G660" s="3"/>
      <c r="H660" s="3" t="s">
        <v>2972</v>
      </c>
      <c r="I660" s="3"/>
      <c r="J660" s="3" t="s">
        <v>2973</v>
      </c>
      <c r="K660" s="3"/>
      <c r="L660" s="3" t="s">
        <v>2974</v>
      </c>
      <c r="M660" s="3" t="str">
        <f>HYPERLINK("https://ceds.ed.gov/cedselementdetails.aspx?termid=5141")</f>
        <v>https://ceds.ed.gov/cedselementdetails.aspx?termid=5141</v>
      </c>
      <c r="N660" s="3" t="str">
        <f>HYPERLINK("https://ceds.ed.gov/elementComment.aspx?elementName=Highest Level of Education Completed &amp;elementID=5141", "Click here to submit comment")</f>
        <v>Click here to submit comment</v>
      </c>
    </row>
    <row r="661" spans="1:14" ht="60">
      <c r="A661" s="3" t="s">
        <v>2975</v>
      </c>
      <c r="B661" s="3" t="s">
        <v>2976</v>
      </c>
      <c r="C661" s="4" t="s">
        <v>6532</v>
      </c>
      <c r="D661" s="3" t="s">
        <v>2977</v>
      </c>
      <c r="E661" s="3" t="s">
        <v>218</v>
      </c>
      <c r="F661" s="3"/>
      <c r="G661" s="3"/>
      <c r="H661" s="3"/>
      <c r="I661" s="3"/>
      <c r="J661" s="3" t="s">
        <v>2978</v>
      </c>
      <c r="K661" s="3"/>
      <c r="L661" s="3" t="s">
        <v>2979</v>
      </c>
      <c r="M661" s="3" t="str">
        <f>HYPERLINK("https://ceds.ed.gov/cedselementdetails.aspx?termid=5142")</f>
        <v>https://ceds.ed.gov/cedselementdetails.aspx?termid=5142</v>
      </c>
      <c r="N661" s="3" t="str">
        <f>HYPERLINK("https://ceds.ed.gov/elementComment.aspx?elementName=Highly Qualified Teacher Indicator &amp;elementID=5142", "Click here to submit comment")</f>
        <v>Click here to submit comment</v>
      </c>
    </row>
    <row r="662" spans="1:14" ht="210">
      <c r="A662" s="3" t="s">
        <v>2980</v>
      </c>
      <c r="B662" s="3" t="s">
        <v>2981</v>
      </c>
      <c r="C662" s="3" t="s">
        <v>13</v>
      </c>
      <c r="D662" s="3" t="s">
        <v>6196</v>
      </c>
      <c r="E662" s="3" t="s">
        <v>6197</v>
      </c>
      <c r="F662" s="3" t="s">
        <v>3</v>
      </c>
      <c r="G662" s="3" t="s">
        <v>73</v>
      </c>
      <c r="H662" s="3"/>
      <c r="I662" s="3" t="s">
        <v>2982</v>
      </c>
      <c r="J662" s="3" t="s">
        <v>2983</v>
      </c>
      <c r="K662" s="3"/>
      <c r="L662" s="3" t="s">
        <v>2984</v>
      </c>
      <c r="M662" s="3" t="str">
        <f>HYPERLINK("https://ceds.ed.gov/cedselementdetails.aspx?termid=5143")</f>
        <v>https://ceds.ed.gov/cedselementdetails.aspx?termid=5143</v>
      </c>
      <c r="N662" s="3" t="str">
        <f>HYPERLINK("https://ceds.ed.gov/elementComment.aspx?elementName=Hire Date &amp;elementID=5143", "Click here to submit comment")</f>
        <v>Click here to submit comment</v>
      </c>
    </row>
    <row r="663" spans="1:14" ht="315">
      <c r="A663" s="3" t="s">
        <v>2985</v>
      </c>
      <c r="B663" s="3" t="s">
        <v>2986</v>
      </c>
      <c r="C663" s="4" t="s">
        <v>6373</v>
      </c>
      <c r="D663" s="3" t="s">
        <v>5985</v>
      </c>
      <c r="E663" s="3" t="s">
        <v>5986</v>
      </c>
      <c r="F663" s="3"/>
      <c r="G663" s="3"/>
      <c r="H663" s="3"/>
      <c r="I663" s="3" t="s">
        <v>353</v>
      </c>
      <c r="J663" s="3" t="s">
        <v>2987</v>
      </c>
      <c r="K663" s="3"/>
      <c r="L663" s="3" t="s">
        <v>2988</v>
      </c>
      <c r="M663" s="3" t="str">
        <f>HYPERLINK("https://ceds.ed.gov/cedselementdetails.aspx?termid=5144")</f>
        <v>https://ceds.ed.gov/cedselementdetails.aspx?termid=5144</v>
      </c>
      <c r="N663" s="3" t="str">
        <f>HYPERLINK("https://ceds.ed.gov/elementComment.aspx?elementName=Hispanic or Latino Ethnicity &amp;elementID=5144", "Click here to submit comment")</f>
        <v>Click here to submit comment</v>
      </c>
    </row>
    <row r="664" spans="1:14" ht="75">
      <c r="A664" s="3" t="s">
        <v>2989</v>
      </c>
      <c r="B664" s="3" t="s">
        <v>2990</v>
      </c>
      <c r="C664" s="4" t="s">
        <v>6533</v>
      </c>
      <c r="D664" s="3" t="s">
        <v>2991</v>
      </c>
      <c r="E664" s="3" t="s">
        <v>218</v>
      </c>
      <c r="F664" s="3"/>
      <c r="G664" s="3"/>
      <c r="H664" s="3"/>
      <c r="I664" s="3"/>
      <c r="J664" s="3" t="s">
        <v>2992</v>
      </c>
      <c r="K664" s="3"/>
      <c r="L664" s="3" t="s">
        <v>2993</v>
      </c>
      <c r="M664" s="3" t="str">
        <f>HYPERLINK("https://ceds.ed.gov/cedselementdetails.aspx?termid=5146")</f>
        <v>https://ceds.ed.gov/cedselementdetails.aspx?termid=5146</v>
      </c>
      <c r="N664" s="3" t="str">
        <f>HYPERLINK("https://ceds.ed.gov/elementComment.aspx?elementName=Homeless Primary Nighttime Residence &amp;elementID=5146", "Click here to submit comment")</f>
        <v>Click here to submit comment</v>
      </c>
    </row>
    <row r="665" spans="1:14" ht="45">
      <c r="A665" s="3" t="s">
        <v>2994</v>
      </c>
      <c r="B665" s="3" t="s">
        <v>2995</v>
      </c>
      <c r="C665" s="3" t="s">
        <v>5963</v>
      </c>
      <c r="D665" s="3" t="s">
        <v>2991</v>
      </c>
      <c r="E665" s="3"/>
      <c r="F665" s="3"/>
      <c r="G665" s="3"/>
      <c r="H665" s="3"/>
      <c r="I665" s="3"/>
      <c r="J665" s="3" t="s">
        <v>2996</v>
      </c>
      <c r="K665" s="3"/>
      <c r="L665" s="3" t="s">
        <v>2997</v>
      </c>
      <c r="M665" s="3" t="str">
        <f>HYPERLINK("https://ceds.ed.gov/cedselementdetails.aspx?termid=5147")</f>
        <v>https://ceds.ed.gov/cedselementdetails.aspx?termid=5147</v>
      </c>
      <c r="N665" s="3" t="str">
        <f>HYPERLINK("https://ceds.ed.gov/elementComment.aspx?elementName=Homeless Serviced Indicator &amp;elementID=5147", "Click here to submit comment")</f>
        <v>Click here to submit comment</v>
      </c>
    </row>
    <row r="666" spans="1:14" ht="45">
      <c r="A666" s="3" t="s">
        <v>2998</v>
      </c>
      <c r="B666" s="3" t="s">
        <v>2999</v>
      </c>
      <c r="C666" s="3" t="s">
        <v>5963</v>
      </c>
      <c r="D666" s="3" t="s">
        <v>2991</v>
      </c>
      <c r="E666" s="3" t="s">
        <v>218</v>
      </c>
      <c r="F666" s="3"/>
      <c r="G666" s="3"/>
      <c r="H666" s="3"/>
      <c r="I666" s="3"/>
      <c r="J666" s="3" t="s">
        <v>3000</v>
      </c>
      <c r="K666" s="3"/>
      <c r="L666" s="3" t="s">
        <v>3001</v>
      </c>
      <c r="M666" s="3" t="str">
        <f>HYPERLINK("https://ceds.ed.gov/cedselementdetails.aspx?termid=5148")</f>
        <v>https://ceds.ed.gov/cedselementdetails.aspx?termid=5148</v>
      </c>
      <c r="N666" s="3" t="str">
        <f>HYPERLINK("https://ceds.ed.gov/elementComment.aspx?elementName=Homeless Unaccompanied Youth Status &amp;elementID=5148", "Click here to submit comment")</f>
        <v>Click here to submit comment</v>
      </c>
    </row>
    <row r="667" spans="1:14" ht="409.5">
      <c r="A667" s="3" t="s">
        <v>3002</v>
      </c>
      <c r="B667" s="3" t="s">
        <v>3003</v>
      </c>
      <c r="C667" s="3" t="s">
        <v>5963</v>
      </c>
      <c r="D667" s="3" t="s">
        <v>6198</v>
      </c>
      <c r="E667" s="3" t="s">
        <v>6199</v>
      </c>
      <c r="F667" s="3"/>
      <c r="G667" s="3"/>
      <c r="H667" s="3"/>
      <c r="I667" s="3"/>
      <c r="J667" s="3" t="s">
        <v>3004</v>
      </c>
      <c r="K667" s="3"/>
      <c r="L667" s="3" t="s">
        <v>3005</v>
      </c>
      <c r="M667" s="3" t="str">
        <f>HYPERLINK("https://ceds.ed.gov/cedselementdetails.aspx?termid=5149")</f>
        <v>https://ceds.ed.gov/cedselementdetails.aspx?termid=5149</v>
      </c>
      <c r="N667" s="3" t="str">
        <f>HYPERLINK("https://ceds.ed.gov/elementComment.aspx?elementName=Homelessness Status &amp;elementID=5149", "Click here to submit comment")</f>
        <v>Click here to submit comment</v>
      </c>
    </row>
    <row r="668" spans="1:14" ht="90">
      <c r="A668" s="3" t="s">
        <v>3006</v>
      </c>
      <c r="B668" s="3" t="s">
        <v>3007</v>
      </c>
      <c r="C668" s="3" t="s">
        <v>13</v>
      </c>
      <c r="D668" s="3" t="s">
        <v>30</v>
      </c>
      <c r="E668" s="3" t="s">
        <v>5968</v>
      </c>
      <c r="F668" s="3"/>
      <c r="G668" s="3" t="s">
        <v>25</v>
      </c>
      <c r="H668" s="3"/>
      <c r="I668" s="3"/>
      <c r="J668" s="3" t="s">
        <v>3008</v>
      </c>
      <c r="K668" s="3"/>
      <c r="L668" s="3" t="s">
        <v>3009</v>
      </c>
      <c r="M668" s="3" t="str">
        <f>HYPERLINK("https://ceds.ed.gov/cedselementdetails.aspx?termid=5150")</f>
        <v>https://ceds.ed.gov/cedselementdetails.aspx?termid=5150</v>
      </c>
      <c r="N668" s="3" t="str">
        <f>HYPERLINK("https://ceds.ed.gov/elementComment.aspx?elementName=Honors Description &amp;elementID=5150", "Click here to submit comment")</f>
        <v>Click here to submit comment</v>
      </c>
    </row>
    <row r="669" spans="1:14" ht="30">
      <c r="A669" s="3" t="s">
        <v>3010</v>
      </c>
      <c r="B669" s="3" t="s">
        <v>3011</v>
      </c>
      <c r="C669" s="3" t="s">
        <v>13</v>
      </c>
      <c r="D669" s="3" t="s">
        <v>3012</v>
      </c>
      <c r="E669" s="3" t="s">
        <v>202</v>
      </c>
      <c r="F669" s="3"/>
      <c r="G669" s="3" t="s">
        <v>389</v>
      </c>
      <c r="H669" s="3"/>
      <c r="I669" s="3"/>
      <c r="J669" s="3" t="s">
        <v>3013</v>
      </c>
      <c r="K669" s="3"/>
      <c r="L669" s="3" t="s">
        <v>3014</v>
      </c>
      <c r="M669" s="3" t="str">
        <f>HYPERLINK("https://ceds.ed.gov/cedselementdetails.aspx?termid=5796")</f>
        <v>https://ceds.ed.gov/cedselementdetails.aspx?termid=5796</v>
      </c>
      <c r="N669" s="3" t="str">
        <f>HYPERLINK("https://ceds.ed.gov/elementComment.aspx?elementName=Hourly Wage &amp;elementID=5796", "Click here to submit comment")</f>
        <v>Click here to submit comment</v>
      </c>
    </row>
    <row r="670" spans="1:14" ht="75">
      <c r="A670" s="3" t="s">
        <v>3015</v>
      </c>
      <c r="B670" s="3" t="s">
        <v>3016</v>
      </c>
      <c r="C670" s="3" t="s">
        <v>13</v>
      </c>
      <c r="D670" s="3" t="s">
        <v>6128</v>
      </c>
      <c r="E670" s="3" t="s">
        <v>6129</v>
      </c>
      <c r="F670" s="3"/>
      <c r="G670" s="3" t="s">
        <v>1461</v>
      </c>
      <c r="H670" s="3"/>
      <c r="I670" s="3"/>
      <c r="J670" s="3" t="s">
        <v>3017</v>
      </c>
      <c r="K670" s="3"/>
      <c r="L670" s="3" t="s">
        <v>3018</v>
      </c>
      <c r="M670" s="3" t="str">
        <f>HYPERLINK("https://ceds.ed.gov/cedselementdetails.aspx?termid=5353")</f>
        <v>https://ceds.ed.gov/cedselementdetails.aspx?termid=5353</v>
      </c>
      <c r="N670" s="3" t="str">
        <f>HYPERLINK("https://ceds.ed.gov/elementComment.aspx?elementName=Hours Available Per Day &amp;elementID=5353", "Click here to submit comment")</f>
        <v>Click here to submit comment</v>
      </c>
    </row>
    <row r="671" spans="1:14" ht="30">
      <c r="A671" s="3" t="s">
        <v>3019</v>
      </c>
      <c r="B671" s="3" t="s">
        <v>3020</v>
      </c>
      <c r="C671" s="3" t="s">
        <v>13</v>
      </c>
      <c r="D671" s="3" t="s">
        <v>3012</v>
      </c>
      <c r="E671" s="3" t="s">
        <v>202</v>
      </c>
      <c r="F671" s="3"/>
      <c r="G671" s="3" t="s">
        <v>389</v>
      </c>
      <c r="H671" s="3"/>
      <c r="I671" s="3"/>
      <c r="J671" s="3" t="s">
        <v>3021</v>
      </c>
      <c r="K671" s="3"/>
      <c r="L671" s="3" t="s">
        <v>3022</v>
      </c>
      <c r="M671" s="3" t="str">
        <f>HYPERLINK("https://ceds.ed.gov/cedselementdetails.aspx?termid=5795")</f>
        <v>https://ceds.ed.gov/cedselementdetails.aspx?termid=5795</v>
      </c>
      <c r="N671" s="3" t="str">
        <f>HYPERLINK("https://ceds.ed.gov/elementComment.aspx?elementName=Hours Worked Per Week &amp;elementID=5795", "Click here to submit comment")</f>
        <v>Click here to submit comment</v>
      </c>
    </row>
    <row r="672" spans="1:14" ht="180">
      <c r="A672" s="3" t="s">
        <v>3023</v>
      </c>
      <c r="B672" s="3" t="s">
        <v>3024</v>
      </c>
      <c r="C672" s="4" t="s">
        <v>6534</v>
      </c>
      <c r="D672" s="3" t="s">
        <v>2235</v>
      </c>
      <c r="E672" s="3" t="s">
        <v>218</v>
      </c>
      <c r="F672" s="3"/>
      <c r="G672" s="3"/>
      <c r="H672" s="3"/>
      <c r="I672" s="3"/>
      <c r="J672" s="3" t="s">
        <v>3025</v>
      </c>
      <c r="K672" s="3"/>
      <c r="L672" s="3" t="s">
        <v>3026</v>
      </c>
      <c r="M672" s="3" t="str">
        <f>HYPERLINK("https://ceds.ed.gov/cedselementdetails.aspx?termid=5547")</f>
        <v>https://ceds.ed.gov/cedselementdetails.aspx?termid=5547</v>
      </c>
      <c r="N672" s="3" t="str">
        <f>HYPERLINK("https://ceds.ed.gov/elementComment.aspx?elementName=IDEA Discipline Method for Firearms Incidents &amp;elementID=5547", "Click here to submit comment")</f>
        <v>Click here to submit comment</v>
      </c>
    </row>
    <row r="673" spans="1:14" ht="255">
      <c r="A673" s="3" t="s">
        <v>3027</v>
      </c>
      <c r="B673" s="3" t="s">
        <v>3028</v>
      </c>
      <c r="C673" s="4" t="s">
        <v>6535</v>
      </c>
      <c r="D673" s="3" t="s">
        <v>383</v>
      </c>
      <c r="E673" s="3" t="s">
        <v>218</v>
      </c>
      <c r="F673" s="3"/>
      <c r="G673" s="3"/>
      <c r="H673" s="3"/>
      <c r="I673" s="3"/>
      <c r="J673" s="3" t="s">
        <v>3029</v>
      </c>
      <c r="K673" s="3"/>
      <c r="L673" s="3" t="s">
        <v>3030</v>
      </c>
      <c r="M673" s="3" t="str">
        <f>HYPERLINK("https://ceds.ed.gov/cedselementdetails.aspx?termid=5550")</f>
        <v>https://ceds.ed.gov/cedselementdetails.aspx?termid=5550</v>
      </c>
      <c r="N673" s="3" t="str">
        <f>HYPERLINK("https://ceds.ed.gov/elementComment.aspx?elementName=IDEA Educational Environment for Early Childhood &amp;elementID=5550", "Click here to submit comment")</f>
        <v>Click here to submit comment</v>
      </c>
    </row>
    <row r="674" spans="1:14" ht="195">
      <c r="A674" s="3" t="s">
        <v>3031</v>
      </c>
      <c r="B674" s="3" t="s">
        <v>3032</v>
      </c>
      <c r="C674" s="4" t="s">
        <v>6536</v>
      </c>
      <c r="D674" s="3" t="s">
        <v>1466</v>
      </c>
      <c r="E674" s="3" t="s">
        <v>218</v>
      </c>
      <c r="F674" s="3"/>
      <c r="G674" s="3"/>
      <c r="H674" s="3"/>
      <c r="I674" s="3"/>
      <c r="J674" s="3" t="s">
        <v>3033</v>
      </c>
      <c r="K674" s="3"/>
      <c r="L674" s="3" t="s">
        <v>3034</v>
      </c>
      <c r="M674" s="3" t="str">
        <f>HYPERLINK("https://ceds.ed.gov/cedselementdetails.aspx?termid=5526")</f>
        <v>https://ceds.ed.gov/cedselementdetails.aspx?termid=5526</v>
      </c>
      <c r="N674" s="3" t="str">
        <f>HYPERLINK("https://ceds.ed.gov/elementComment.aspx?elementName=IDEA Educational Environment for School Age &amp;elementID=5526", "Click here to submit comment")</f>
        <v>Click here to submit comment</v>
      </c>
    </row>
    <row r="675" spans="1:14" ht="60">
      <c r="A675" s="3" t="s">
        <v>3035</v>
      </c>
      <c r="B675" s="3" t="s">
        <v>3036</v>
      </c>
      <c r="C675" s="4" t="s">
        <v>6537</v>
      </c>
      <c r="D675" s="3" t="s">
        <v>3037</v>
      </c>
      <c r="E675" s="3"/>
      <c r="F675" s="3" t="s">
        <v>54</v>
      </c>
      <c r="G675" s="3"/>
      <c r="H675" s="3"/>
      <c r="I675" s="3"/>
      <c r="J675" s="3" t="s">
        <v>3038</v>
      </c>
      <c r="K675" s="3"/>
      <c r="L675" s="3" t="s">
        <v>3039</v>
      </c>
      <c r="M675" s="3" t="str">
        <f>HYPERLINK("https://ceds.ed.gov/cedselementdetails.aspx?termid=6473")</f>
        <v>https://ceds.ed.gov/cedselementdetails.aspx?termid=6473</v>
      </c>
      <c r="N675" s="3" t="str">
        <f>HYPERLINK("https://ceds.ed.gov/elementComment.aspx?elementName=IDEA IEP Status &amp;elementID=6473", "Click here to submit comment")</f>
        <v>Click here to submit comment</v>
      </c>
    </row>
    <row r="676" spans="1:14" ht="285">
      <c r="A676" s="3" t="s">
        <v>3040</v>
      </c>
      <c r="B676" s="3" t="s">
        <v>3041</v>
      </c>
      <c r="C676" s="3" t="s">
        <v>5963</v>
      </c>
      <c r="D676" s="3" t="s">
        <v>6137</v>
      </c>
      <c r="E676" s="3" t="s">
        <v>6200</v>
      </c>
      <c r="F676" s="3" t="s">
        <v>3</v>
      </c>
      <c r="G676" s="3"/>
      <c r="H676" s="3"/>
      <c r="I676" s="3"/>
      <c r="J676" s="3" t="s">
        <v>3042</v>
      </c>
      <c r="K676" s="3"/>
      <c r="L676" s="3" t="s">
        <v>3043</v>
      </c>
      <c r="M676" s="3" t="str">
        <f>HYPERLINK("https://ceds.ed.gov/cedselementdetails.aspx?termid=5151")</f>
        <v>https://ceds.ed.gov/cedselementdetails.aspx?termid=5151</v>
      </c>
      <c r="N676" s="3" t="str">
        <f>HYPERLINK("https://ceds.ed.gov/elementComment.aspx?elementName=IDEA Indicator &amp;elementID=5151", "Click here to submit comment")</f>
        <v>Click here to submit comment</v>
      </c>
    </row>
    <row r="677" spans="1:14" ht="75">
      <c r="A677" s="3" t="s">
        <v>3044</v>
      </c>
      <c r="B677" s="3" t="s">
        <v>3045</v>
      </c>
      <c r="C677" s="4" t="s">
        <v>6538</v>
      </c>
      <c r="D677" s="3" t="s">
        <v>6138</v>
      </c>
      <c r="E677" s="3" t="s">
        <v>218</v>
      </c>
      <c r="F677" s="3"/>
      <c r="G677" s="3"/>
      <c r="H677" s="3"/>
      <c r="I677" s="3"/>
      <c r="J677" s="3" t="s">
        <v>3046</v>
      </c>
      <c r="K677" s="3"/>
      <c r="L677" s="3" t="s">
        <v>3047</v>
      </c>
      <c r="M677" s="3" t="str">
        <f>HYPERLINK("https://ceds.ed.gov/cedselementdetails.aspx?termid=5532")</f>
        <v>https://ceds.ed.gov/cedselementdetails.aspx?termid=5532</v>
      </c>
      <c r="N677" s="3" t="str">
        <f>HYPERLINK("https://ceds.ed.gov/elementComment.aspx?elementName=IDEA Interim Removal &amp;elementID=5532", "Click here to submit comment")</f>
        <v>Click here to submit comment</v>
      </c>
    </row>
    <row r="678" spans="1:14" ht="75">
      <c r="A678" s="3" t="s">
        <v>3048</v>
      </c>
      <c r="B678" s="3" t="s">
        <v>3049</v>
      </c>
      <c r="C678" s="4" t="s">
        <v>6539</v>
      </c>
      <c r="D678" s="3" t="s">
        <v>6138</v>
      </c>
      <c r="E678" s="3" t="s">
        <v>218</v>
      </c>
      <c r="F678" s="3"/>
      <c r="G678" s="3"/>
      <c r="H678" s="3"/>
      <c r="I678" s="3"/>
      <c r="J678" s="3" t="s">
        <v>3050</v>
      </c>
      <c r="K678" s="3"/>
      <c r="L678" s="3" t="s">
        <v>3051</v>
      </c>
      <c r="M678" s="3" t="str">
        <f>HYPERLINK("https://ceds.ed.gov/cedselementdetails.aspx?termid=5530")</f>
        <v>https://ceds.ed.gov/cedselementdetails.aspx?termid=5530</v>
      </c>
      <c r="N678" s="3" t="str">
        <f>HYPERLINK("https://ceds.ed.gov/elementComment.aspx?elementName=IDEA Interim Removal Reason &amp;elementID=5530", "Click here to submit comment")</f>
        <v>Click here to submit comment</v>
      </c>
    </row>
    <row r="679" spans="1:14" ht="45">
      <c r="A679" s="3" t="s">
        <v>3052</v>
      </c>
      <c r="B679" s="3" t="s">
        <v>3053</v>
      </c>
      <c r="C679" s="3" t="s">
        <v>5963</v>
      </c>
      <c r="D679" s="3" t="s">
        <v>6201</v>
      </c>
      <c r="E679" s="3"/>
      <c r="F679" s="3" t="s">
        <v>54</v>
      </c>
      <c r="G679" s="3"/>
      <c r="H679" s="3"/>
      <c r="I679" s="3"/>
      <c r="J679" s="3" t="s">
        <v>3054</v>
      </c>
      <c r="K679" s="3"/>
      <c r="L679" s="3" t="s">
        <v>3055</v>
      </c>
      <c r="M679" s="3" t="str">
        <f>HYPERLINK("https://ceds.ed.gov/cedselementdetails.aspx?termid=6327")</f>
        <v>https://ceds.ed.gov/cedselementdetails.aspx?termid=6327</v>
      </c>
      <c r="N679" s="3" t="str">
        <f>HYPERLINK("https://ceds.ed.gov/elementComment.aspx?elementName=IDEA Part B 619 Potential Eligibility Indicator &amp;elementID=6327", "Click here to submit comment")</f>
        <v>Click here to submit comment</v>
      </c>
    </row>
    <row r="680" spans="1:14" ht="75">
      <c r="A680" s="3" t="s">
        <v>3056</v>
      </c>
      <c r="B680" s="3" t="s">
        <v>3057</v>
      </c>
      <c r="C680" s="3" t="s">
        <v>13</v>
      </c>
      <c r="D680" s="3" t="s">
        <v>3037</v>
      </c>
      <c r="E680" s="3"/>
      <c r="F680" s="3" t="s">
        <v>54</v>
      </c>
      <c r="G680" s="3" t="s">
        <v>73</v>
      </c>
      <c r="H680" s="3"/>
      <c r="I680" s="3"/>
      <c r="J680" s="3" t="s">
        <v>3058</v>
      </c>
      <c r="K680" s="3"/>
      <c r="L680" s="3" t="s">
        <v>3059</v>
      </c>
      <c r="M680" s="3" t="str">
        <f>HYPERLINK("https://ceds.ed.gov/cedselementdetails.aspx?termid=6472")</f>
        <v>https://ceds.ed.gov/cedselementdetails.aspx?termid=6472</v>
      </c>
      <c r="N680" s="3" t="str">
        <f>HYPERLINK("https://ceds.ed.gov/elementComment.aspx?elementName=IDEA Part C to B Sharing Notification Date &amp;elementID=6472", "Click here to submit comment")</f>
        <v>Click here to submit comment</v>
      </c>
    </row>
    <row r="681" spans="1:14" ht="30">
      <c r="A681" s="3" t="s">
        <v>3060</v>
      </c>
      <c r="B681" s="3" t="s">
        <v>3061</v>
      </c>
      <c r="C681" s="3" t="s">
        <v>13</v>
      </c>
      <c r="D681" s="3" t="s">
        <v>3037</v>
      </c>
      <c r="E681" s="3"/>
      <c r="F681" s="3" t="s">
        <v>54</v>
      </c>
      <c r="G681" s="3" t="s">
        <v>73</v>
      </c>
      <c r="H681" s="3"/>
      <c r="I681" s="3"/>
      <c r="J681" s="3" t="s">
        <v>3062</v>
      </c>
      <c r="K681" s="3"/>
      <c r="L681" s="3" t="s">
        <v>3063</v>
      </c>
      <c r="M681" s="3" t="str">
        <f>HYPERLINK("https://ceds.ed.gov/cedselementdetails.aspx?termid=6333")</f>
        <v>https://ceds.ed.gov/cedselementdetails.aspx?termid=6333</v>
      </c>
      <c r="N681" s="3" t="str">
        <f>HYPERLINK("https://ceds.ed.gov/elementComment.aspx?elementName=IDEA Part C to Part B Date of Transition Conference &amp;elementID=6333", "Click here to submit comment")</f>
        <v>Click here to submit comment</v>
      </c>
    </row>
    <row r="682" spans="1:14" ht="45">
      <c r="A682" s="3" t="s">
        <v>3064</v>
      </c>
      <c r="B682" s="3" t="s">
        <v>3065</v>
      </c>
      <c r="C682" s="3" t="s">
        <v>13</v>
      </c>
      <c r="D682" s="3" t="s">
        <v>3037</v>
      </c>
      <c r="E682" s="3"/>
      <c r="F682" s="3" t="s">
        <v>54</v>
      </c>
      <c r="G682" s="3" t="s">
        <v>73</v>
      </c>
      <c r="H682" s="3"/>
      <c r="I682" s="3"/>
      <c r="J682" s="3" t="s">
        <v>3066</v>
      </c>
      <c r="K682" s="3"/>
      <c r="L682" s="3" t="s">
        <v>3067</v>
      </c>
      <c r="M682" s="3" t="str">
        <f>HYPERLINK("https://ceds.ed.gov/cedselementdetails.aspx?termid=6334")</f>
        <v>https://ceds.ed.gov/cedselementdetails.aspx?termid=6334</v>
      </c>
      <c r="N682" s="3" t="str">
        <f>HYPERLINK("https://ceds.ed.gov/elementComment.aspx?elementName=IDEA Part C to Part B Date of Transition Conference Decline &amp;elementID=6334", "Click here to submit comment")</f>
        <v>Click here to submit comment</v>
      </c>
    </row>
    <row r="683" spans="1:14" ht="45">
      <c r="A683" s="3" t="s">
        <v>3068</v>
      </c>
      <c r="B683" s="3" t="s">
        <v>3069</v>
      </c>
      <c r="C683" s="3" t="s">
        <v>13</v>
      </c>
      <c r="D683" s="3" t="s">
        <v>3037</v>
      </c>
      <c r="E683" s="3"/>
      <c r="F683" s="3" t="s">
        <v>54</v>
      </c>
      <c r="G683" s="3" t="s">
        <v>73</v>
      </c>
      <c r="H683" s="3"/>
      <c r="I683" s="3"/>
      <c r="J683" s="3" t="s">
        <v>3070</v>
      </c>
      <c r="K683" s="3"/>
      <c r="L683" s="3" t="s">
        <v>3071</v>
      </c>
      <c r="M683" s="3" t="str">
        <f>HYPERLINK("https://ceds.ed.gov/cedselementdetails.aspx?termid=6335")</f>
        <v>https://ceds.ed.gov/cedselementdetails.aspx?termid=6335</v>
      </c>
      <c r="N683" s="3" t="str">
        <f>HYPERLINK("https://ceds.ed.gov/elementComment.aspx?elementName=IDEA Part C to Part B Date of Transition Plan Steps or Services &amp;elementID=6335", "Click here to submit comment")</f>
        <v>Click here to submit comment</v>
      </c>
    </row>
    <row r="684" spans="1:14" ht="105">
      <c r="A684" s="3" t="s">
        <v>3072</v>
      </c>
      <c r="B684" s="3" t="s">
        <v>3073</v>
      </c>
      <c r="C684" s="3" t="s">
        <v>13</v>
      </c>
      <c r="D684" s="3" t="s">
        <v>3037</v>
      </c>
      <c r="E684" s="3"/>
      <c r="F684" s="3" t="s">
        <v>54</v>
      </c>
      <c r="G684" s="3" t="s">
        <v>73</v>
      </c>
      <c r="H684" s="3"/>
      <c r="I684" s="3"/>
      <c r="J684" s="3" t="s">
        <v>3074</v>
      </c>
      <c r="K684" s="3"/>
      <c r="L684" s="3" t="s">
        <v>3075</v>
      </c>
      <c r="M684" s="3" t="str">
        <f>HYPERLINK("https://ceds.ed.gov/cedselementdetails.aspx?termid=6331")</f>
        <v>https://ceds.ed.gov/cedselementdetails.aspx?termid=6331</v>
      </c>
      <c r="N684" s="3" t="str">
        <f>HYPERLINK("https://ceds.ed.gov/elementComment.aspx?elementName=IDEA Part C to Part B Parent Notification Opt Out Date &amp;elementID=6331", "Click here to submit comment")</f>
        <v>Click here to submit comment</v>
      </c>
    </row>
    <row r="685" spans="1:14" ht="105">
      <c r="A685" s="3" t="s">
        <v>3076</v>
      </c>
      <c r="B685" s="3" t="s">
        <v>3077</v>
      </c>
      <c r="C685" s="3" t="s">
        <v>5963</v>
      </c>
      <c r="D685" s="3" t="s">
        <v>3037</v>
      </c>
      <c r="E685" s="3"/>
      <c r="F685" s="3" t="s">
        <v>54</v>
      </c>
      <c r="G685" s="3"/>
      <c r="H685" s="3"/>
      <c r="I685" s="3"/>
      <c r="J685" s="3" t="s">
        <v>3078</v>
      </c>
      <c r="K685" s="3"/>
      <c r="L685" s="3" t="s">
        <v>3079</v>
      </c>
      <c r="M685" s="3" t="str">
        <f>HYPERLINK("https://ceds.ed.gov/cedselementdetails.aspx?termid=6330")</f>
        <v>https://ceds.ed.gov/cedselementdetails.aspx?termid=6330</v>
      </c>
      <c r="N685" s="3" t="str">
        <f>HYPERLINK("https://ceds.ed.gov/elementComment.aspx?elementName=IDEA Part C to Part B Parent Notification Opt Out Indicator &amp;elementID=6330", "Click here to submit comment")</f>
        <v>Click here to submit comment</v>
      </c>
    </row>
    <row r="686" spans="1:14" ht="120">
      <c r="A686" s="3" t="s">
        <v>3080</v>
      </c>
      <c r="B686" s="3" t="s">
        <v>3081</v>
      </c>
      <c r="C686" s="3" t="s">
        <v>6065</v>
      </c>
      <c r="D686" s="3" t="s">
        <v>6202</v>
      </c>
      <c r="E686" s="3"/>
      <c r="F686" s="3"/>
      <c r="G686" s="3"/>
      <c r="H686" s="3"/>
      <c r="I686" s="3"/>
      <c r="J686" s="3" t="s">
        <v>3082</v>
      </c>
      <c r="K686" s="3"/>
      <c r="L686" s="3" t="s">
        <v>3083</v>
      </c>
      <c r="M686" s="3" t="str">
        <f>HYPERLINK("https://ceds.ed.gov/cedselementdetails.aspx?termid=6141")</f>
        <v>https://ceds.ed.gov/cedselementdetails.aspx?termid=6141</v>
      </c>
      <c r="N686" s="3" t="str">
        <f>HYPERLINK("https://ceds.ed.gov/elementComment.aspx?elementName=Identification System for Assessment Form Section &amp;elementID=6141", "Click here to submit comment")</f>
        <v>Click here to submit comment</v>
      </c>
    </row>
    <row r="687" spans="1:14" ht="75">
      <c r="A687" s="3" t="s">
        <v>3084</v>
      </c>
      <c r="B687" s="3" t="s">
        <v>3085</v>
      </c>
      <c r="C687" s="3" t="s">
        <v>13</v>
      </c>
      <c r="D687" s="3" t="s">
        <v>6203</v>
      </c>
      <c r="E687" s="3" t="s">
        <v>6204</v>
      </c>
      <c r="F687" s="3"/>
      <c r="G687" s="3" t="s">
        <v>73</v>
      </c>
      <c r="H687" s="3"/>
      <c r="I687" s="3"/>
      <c r="J687" s="3" t="s">
        <v>3086</v>
      </c>
      <c r="K687" s="3"/>
      <c r="L687" s="3" t="s">
        <v>3087</v>
      </c>
      <c r="M687" s="3" t="str">
        <f>HYPERLINK("https://ceds.ed.gov/cedselementdetails.aspx?termid=5306")</f>
        <v>https://ceds.ed.gov/cedselementdetails.aspx?termid=5306</v>
      </c>
      <c r="N687" s="3" t="str">
        <f>HYPERLINK("https://ceds.ed.gov/elementComment.aspx?elementName=Immunization Date &amp;elementID=5306", "Click here to submit comment")</f>
        <v>Click here to submit comment</v>
      </c>
    </row>
    <row r="688" spans="1:14" ht="60">
      <c r="A688" s="3" t="s">
        <v>3088</v>
      </c>
      <c r="B688" s="3" t="s">
        <v>3089</v>
      </c>
      <c r="C688" s="3" t="s">
        <v>5963</v>
      </c>
      <c r="D688" s="3" t="s">
        <v>2387</v>
      </c>
      <c r="E688" s="3" t="s">
        <v>65</v>
      </c>
      <c r="F688" s="3"/>
      <c r="G688" s="3"/>
      <c r="H688" s="3"/>
      <c r="I688" s="3"/>
      <c r="J688" s="3" t="s">
        <v>3090</v>
      </c>
      <c r="K688" s="3"/>
      <c r="L688" s="3" t="s">
        <v>3091</v>
      </c>
      <c r="M688" s="3" t="str">
        <f>HYPERLINK("https://ceds.ed.gov/cedselementdetails.aspx?termid=5849")</f>
        <v>https://ceds.ed.gov/cedselementdetails.aspx?termid=5849</v>
      </c>
      <c r="N688" s="3" t="str">
        <f>HYPERLINK("https://ceds.ed.gov/elementComment.aspx?elementName=Immunization Policy &amp;elementID=5849", "Click here to submit comment")</f>
        <v>Click here to submit comment</v>
      </c>
    </row>
    <row r="689" spans="1:14" ht="45">
      <c r="A689" s="3" t="s">
        <v>3092</v>
      </c>
      <c r="B689" s="3" t="s">
        <v>3093</v>
      </c>
      <c r="C689" s="3" t="s">
        <v>5963</v>
      </c>
      <c r="D689" s="3" t="s">
        <v>1479</v>
      </c>
      <c r="E689" s="3" t="s">
        <v>1480</v>
      </c>
      <c r="F689" s="3"/>
      <c r="G689" s="3"/>
      <c r="H689" s="3"/>
      <c r="I689" s="3"/>
      <c r="J689" s="3" t="s">
        <v>3094</v>
      </c>
      <c r="K689" s="3"/>
      <c r="L689" s="3" t="s">
        <v>3095</v>
      </c>
      <c r="M689" s="3" t="str">
        <f>HYPERLINK("https://ceds.ed.gov/cedselementdetails.aspx?termid=5428")</f>
        <v>https://ceds.ed.gov/cedselementdetails.aspx?termid=5428</v>
      </c>
      <c r="N689" s="3" t="str">
        <f>HYPERLINK("https://ceds.ed.gov/elementComment.aspx?elementName=Immunization Record Flag &amp;elementID=5428", "Click here to submit comment")</f>
        <v>Click here to submit comment</v>
      </c>
    </row>
    <row r="690" spans="1:14" ht="345">
      <c r="A690" s="3" t="s">
        <v>3096</v>
      </c>
      <c r="B690" s="3" t="s">
        <v>3097</v>
      </c>
      <c r="C690" s="4" t="s">
        <v>6540</v>
      </c>
      <c r="D690" s="3" t="s">
        <v>6203</v>
      </c>
      <c r="E690" s="3"/>
      <c r="F690" s="3"/>
      <c r="G690" s="3"/>
      <c r="H690" s="3"/>
      <c r="I690" s="3"/>
      <c r="J690" s="3" t="s">
        <v>3098</v>
      </c>
      <c r="K690" s="3"/>
      <c r="L690" s="3" t="s">
        <v>3099</v>
      </c>
      <c r="M690" s="3" t="str">
        <f>HYPERLINK("https://ceds.ed.gov/cedselementdetails.aspx?termid=6214")</f>
        <v>https://ceds.ed.gov/cedselementdetails.aspx?termid=6214</v>
      </c>
      <c r="N690" s="3" t="str">
        <f>HYPERLINK("https://ceds.ed.gov/elementComment.aspx?elementName=Immunization Type &amp;elementID=6214", "Click here to submit comment")</f>
        <v>Click here to submit comment</v>
      </c>
    </row>
    <row r="691" spans="1:14" ht="409.5">
      <c r="A691" s="3" t="s">
        <v>3100</v>
      </c>
      <c r="B691" s="3" t="s">
        <v>3101</v>
      </c>
      <c r="C691" s="4" t="s">
        <v>6541</v>
      </c>
      <c r="D691" s="3" t="s">
        <v>2760</v>
      </c>
      <c r="E691" s="3"/>
      <c r="F691" s="3"/>
      <c r="G691" s="3"/>
      <c r="H691" s="3"/>
      <c r="I691" s="3"/>
      <c r="J691" s="3" t="s">
        <v>3102</v>
      </c>
      <c r="K691" s="3"/>
      <c r="L691" s="3" t="s">
        <v>3103</v>
      </c>
      <c r="M691" s="3" t="str">
        <f>HYPERLINK("https://ceds.ed.gov/cedselementdetails.aspx?termid=5500")</f>
        <v>https://ceds.ed.gov/cedselementdetails.aspx?termid=5500</v>
      </c>
      <c r="N691" s="3" t="str">
        <f>HYPERLINK("https://ceds.ed.gov/elementComment.aspx?elementName=Incident Behavior &amp;elementID=5500", "Click here to submit comment")</f>
        <v>Click here to submit comment</v>
      </c>
    </row>
    <row r="692" spans="1:14" ht="195">
      <c r="A692" s="3" t="s">
        <v>3104</v>
      </c>
      <c r="B692" s="3" t="s">
        <v>3105</v>
      </c>
      <c r="C692" s="3" t="s">
        <v>13</v>
      </c>
      <c r="D692" s="3" t="s">
        <v>2760</v>
      </c>
      <c r="E692" s="3"/>
      <c r="F692" s="3"/>
      <c r="G692" s="3" t="s">
        <v>100</v>
      </c>
      <c r="H692" s="3"/>
      <c r="I692" s="3"/>
      <c r="J692" s="3" t="s">
        <v>3106</v>
      </c>
      <c r="K692" s="3"/>
      <c r="L692" s="3" t="s">
        <v>3107</v>
      </c>
      <c r="M692" s="3" t="str">
        <f>HYPERLINK("https://ceds.ed.gov/cedselementdetails.aspx?termid=5496")</f>
        <v>https://ceds.ed.gov/cedselementdetails.aspx?termid=5496</v>
      </c>
      <c r="N692" s="3" t="str">
        <f>HYPERLINK("https://ceds.ed.gov/elementComment.aspx?elementName=Incident Cost &amp;elementID=5496", "Click here to submit comment")</f>
        <v>Click here to submit comment</v>
      </c>
    </row>
    <row r="693" spans="1:14" ht="30">
      <c r="A693" s="3" t="s">
        <v>3108</v>
      </c>
      <c r="B693" s="3" t="s">
        <v>3109</v>
      </c>
      <c r="C693" s="3" t="s">
        <v>13</v>
      </c>
      <c r="D693" s="3" t="s">
        <v>2760</v>
      </c>
      <c r="E693" s="3"/>
      <c r="F693" s="3"/>
      <c r="G693" s="3" t="s">
        <v>73</v>
      </c>
      <c r="H693" s="3"/>
      <c r="I693" s="3"/>
      <c r="J693" s="3" t="s">
        <v>3110</v>
      </c>
      <c r="K693" s="3"/>
      <c r="L693" s="3" t="s">
        <v>3111</v>
      </c>
      <c r="M693" s="3" t="str">
        <f>HYPERLINK("https://ceds.ed.gov/cedselementdetails.aspx?termid=5493")</f>
        <v>https://ceds.ed.gov/cedselementdetails.aspx?termid=5493</v>
      </c>
      <c r="N693" s="3" t="str">
        <f>HYPERLINK("https://ceds.ed.gov/elementComment.aspx?elementName=Incident Date &amp;elementID=5493", "Click here to submit comment")</f>
        <v>Click here to submit comment</v>
      </c>
    </row>
    <row r="694" spans="1:14">
      <c r="A694" s="3" t="s">
        <v>3112</v>
      </c>
      <c r="B694" s="3" t="s">
        <v>3113</v>
      </c>
      <c r="C694" s="3" t="s">
        <v>13</v>
      </c>
      <c r="D694" s="3" t="s">
        <v>2760</v>
      </c>
      <c r="E694" s="3"/>
      <c r="F694" s="3"/>
      <c r="G694" s="3" t="s">
        <v>3114</v>
      </c>
      <c r="H694" s="3"/>
      <c r="I694" s="3"/>
      <c r="J694" s="3" t="s">
        <v>3115</v>
      </c>
      <c r="K694" s="3"/>
      <c r="L694" s="3" t="s">
        <v>3116</v>
      </c>
      <c r="M694" s="3" t="str">
        <f>HYPERLINK("https://ceds.ed.gov/cedselementdetails.aspx?termid=5499")</f>
        <v>https://ceds.ed.gov/cedselementdetails.aspx?termid=5499</v>
      </c>
      <c r="N694" s="3" t="str">
        <f>HYPERLINK("https://ceds.ed.gov/elementComment.aspx?elementName=Incident Description &amp;elementID=5499", "Click here to submit comment")</f>
        <v>Click here to submit comment</v>
      </c>
    </row>
    <row r="695" spans="1:14" ht="105">
      <c r="A695" s="3" t="s">
        <v>3117</v>
      </c>
      <c r="B695" s="3" t="s">
        <v>3118</v>
      </c>
      <c r="C695" s="3" t="s">
        <v>13</v>
      </c>
      <c r="D695" s="3" t="s">
        <v>2760</v>
      </c>
      <c r="E695" s="3"/>
      <c r="F695" s="3"/>
      <c r="G695" s="3" t="s">
        <v>149</v>
      </c>
      <c r="H695" s="3"/>
      <c r="I695" s="3"/>
      <c r="J695" s="3" t="s">
        <v>3119</v>
      </c>
      <c r="K695" s="3"/>
      <c r="L695" s="3" t="s">
        <v>3120</v>
      </c>
      <c r="M695" s="3" t="str">
        <f>HYPERLINK("https://ceds.ed.gov/cedselementdetails.aspx?termid=5492")</f>
        <v>https://ceds.ed.gov/cedselementdetails.aspx?termid=5492</v>
      </c>
      <c r="N695" s="3" t="str">
        <f>HYPERLINK("https://ceds.ed.gov/elementComment.aspx?elementName=Incident Identifier &amp;elementID=5492", "Click here to submit comment")</f>
        <v>Click here to submit comment</v>
      </c>
    </row>
    <row r="696" spans="1:14" ht="105">
      <c r="A696" s="3" t="s">
        <v>3121</v>
      </c>
      <c r="B696" s="3" t="s">
        <v>3122</v>
      </c>
      <c r="C696" s="4" t="s">
        <v>6542</v>
      </c>
      <c r="D696" s="3" t="s">
        <v>2760</v>
      </c>
      <c r="E696" s="3"/>
      <c r="F696" s="3"/>
      <c r="G696" s="3"/>
      <c r="H696" s="3"/>
      <c r="I696" s="3" t="s">
        <v>3123</v>
      </c>
      <c r="J696" s="3" t="s">
        <v>3124</v>
      </c>
      <c r="K696" s="3"/>
      <c r="L696" s="3" t="s">
        <v>3125</v>
      </c>
      <c r="M696" s="3" t="str">
        <f>HYPERLINK("https://ceds.ed.gov/cedselementdetails.aspx?termid=5501")</f>
        <v>https://ceds.ed.gov/cedselementdetails.aspx?termid=5501</v>
      </c>
      <c r="N696" s="3" t="str">
        <f>HYPERLINK("https://ceds.ed.gov/elementComment.aspx?elementName=Incident Injury Type &amp;elementID=5501", "Click here to submit comment")</f>
        <v>Click here to submit comment</v>
      </c>
    </row>
    <row r="697" spans="1:14" ht="409.5">
      <c r="A697" s="3" t="s">
        <v>3126</v>
      </c>
      <c r="B697" s="3" t="s">
        <v>3127</v>
      </c>
      <c r="C697" s="4" t="s">
        <v>6543</v>
      </c>
      <c r="D697" s="3" t="s">
        <v>2760</v>
      </c>
      <c r="E697" s="3"/>
      <c r="F697" s="3"/>
      <c r="G697" s="3"/>
      <c r="H697" s="3"/>
      <c r="I697" s="3"/>
      <c r="J697" s="3" t="s">
        <v>3128</v>
      </c>
      <c r="K697" s="3"/>
      <c r="L697" s="3" t="s">
        <v>3129</v>
      </c>
      <c r="M697" s="3" t="str">
        <f>HYPERLINK("https://ceds.ed.gov/cedselementdetails.aspx?termid=5610")</f>
        <v>https://ceds.ed.gov/cedselementdetails.aspx?termid=5610</v>
      </c>
      <c r="N697" s="3" t="str">
        <f>HYPERLINK("https://ceds.ed.gov/elementComment.aspx?elementName=Incident Location &amp;elementID=5610", "Click here to submit comment")</f>
        <v>Click here to submit comment</v>
      </c>
    </row>
    <row r="698" spans="1:14" ht="60">
      <c r="A698" s="3" t="s">
        <v>3130</v>
      </c>
      <c r="B698" s="3" t="s">
        <v>3131</v>
      </c>
      <c r="C698" s="3" t="s">
        <v>6205</v>
      </c>
      <c r="D698" s="3" t="s">
        <v>2760</v>
      </c>
      <c r="E698" s="3"/>
      <c r="F698" s="3" t="s">
        <v>54</v>
      </c>
      <c r="G698" s="3"/>
      <c r="H698" s="3"/>
      <c r="I698" s="3"/>
      <c r="J698" s="3" t="s">
        <v>3132</v>
      </c>
      <c r="K698" s="3"/>
      <c r="L698" s="3" t="s">
        <v>3133</v>
      </c>
      <c r="M698" s="3" t="str">
        <f>HYPERLINK("https://ceds.ed.gov/cedselementdetails.aspx?termid=6337")</f>
        <v>https://ceds.ed.gov/cedselementdetails.aspx?termid=6337</v>
      </c>
      <c r="N698" s="3" t="str">
        <f>HYPERLINK("https://ceds.ed.gov/elementComment.aspx?elementName=Incident Multiple Offense Type &amp;elementID=6337", "Click here to submit comment")</f>
        <v>Click here to submit comment</v>
      </c>
    </row>
    <row r="699" spans="1:14" ht="60">
      <c r="A699" s="3" t="s">
        <v>3134</v>
      </c>
      <c r="B699" s="3" t="s">
        <v>3135</v>
      </c>
      <c r="C699" s="3" t="s">
        <v>13</v>
      </c>
      <c r="D699" s="3" t="s">
        <v>2760</v>
      </c>
      <c r="E699" s="3"/>
      <c r="F699" s="3" t="s">
        <v>54</v>
      </c>
      <c r="G699" s="3" t="s">
        <v>100</v>
      </c>
      <c r="H699" s="3"/>
      <c r="I699" s="3"/>
      <c r="J699" s="3" t="s">
        <v>3136</v>
      </c>
      <c r="K699" s="3"/>
      <c r="L699" s="3" t="s">
        <v>3137</v>
      </c>
      <c r="M699" s="3" t="str">
        <f>HYPERLINK("https://ceds.ed.gov/cedselementdetails.aspx?termid=6338")</f>
        <v>https://ceds.ed.gov/cedselementdetails.aspx?termid=6338</v>
      </c>
      <c r="N699" s="3" t="str">
        <f>HYPERLINK("https://ceds.ed.gov/elementComment.aspx?elementName=Incident Perpetrator Identifier &amp;elementID=6338", "Click here to submit comment")</f>
        <v>Click here to submit comment</v>
      </c>
    </row>
    <row r="700" spans="1:14" ht="105">
      <c r="A700" s="3" t="s">
        <v>3138</v>
      </c>
      <c r="B700" s="3" t="s">
        <v>3139</v>
      </c>
      <c r="C700" s="4" t="s">
        <v>6542</v>
      </c>
      <c r="D700" s="3" t="s">
        <v>2760</v>
      </c>
      <c r="E700" s="3"/>
      <c r="F700" s="3" t="s">
        <v>54</v>
      </c>
      <c r="G700" s="3"/>
      <c r="H700" s="3"/>
      <c r="I700" s="3"/>
      <c r="J700" s="3" t="s">
        <v>3140</v>
      </c>
      <c r="K700" s="3"/>
      <c r="L700" s="3" t="s">
        <v>3141</v>
      </c>
      <c r="M700" s="3" t="str">
        <f>HYPERLINK("https://ceds.ed.gov/cedselementdetails.aspx?termid=6339")</f>
        <v>https://ceds.ed.gov/cedselementdetails.aspx?termid=6339</v>
      </c>
      <c r="N700" s="3" t="str">
        <f>HYPERLINK("https://ceds.ed.gov/elementComment.aspx?elementName=Incident Perpetrator Injury Type &amp;elementID=6339", "Click here to submit comment")</f>
        <v>Click here to submit comment</v>
      </c>
    </row>
    <row r="701" spans="1:14" ht="409.5">
      <c r="A701" s="3" t="s">
        <v>3142</v>
      </c>
      <c r="B701" s="3" t="s">
        <v>3143</v>
      </c>
      <c r="C701" s="4" t="s">
        <v>6544</v>
      </c>
      <c r="D701" s="3" t="s">
        <v>2760</v>
      </c>
      <c r="E701" s="3"/>
      <c r="F701" s="3" t="s">
        <v>54</v>
      </c>
      <c r="G701" s="3"/>
      <c r="H701" s="3"/>
      <c r="I701" s="3"/>
      <c r="J701" s="3" t="s">
        <v>3144</v>
      </c>
      <c r="K701" s="3"/>
      <c r="L701" s="3" t="s">
        <v>3145</v>
      </c>
      <c r="M701" s="3" t="str">
        <f>HYPERLINK("https://ceds.ed.gov/cedselementdetails.aspx?termid=6340")</f>
        <v>https://ceds.ed.gov/cedselementdetails.aspx?termid=6340</v>
      </c>
      <c r="N701" s="3" t="str">
        <f>HYPERLINK("https://ceds.ed.gov/elementComment.aspx?elementName=Incident Perpetrator Type &amp;elementID=6340", "Click here to submit comment")</f>
        <v>Click here to submit comment</v>
      </c>
    </row>
    <row r="702" spans="1:14" ht="75">
      <c r="A702" s="3" t="s">
        <v>3146</v>
      </c>
      <c r="B702" s="3" t="s">
        <v>3147</v>
      </c>
      <c r="C702" s="3" t="s">
        <v>6206</v>
      </c>
      <c r="D702" s="3" t="s">
        <v>2760</v>
      </c>
      <c r="E702" s="3"/>
      <c r="F702" s="3" t="s">
        <v>54</v>
      </c>
      <c r="G702" s="3"/>
      <c r="H702" s="3"/>
      <c r="I702" s="3"/>
      <c r="J702" s="3" t="s">
        <v>3148</v>
      </c>
      <c r="K702" s="3"/>
      <c r="L702" s="3" t="s">
        <v>3149</v>
      </c>
      <c r="M702" s="3" t="str">
        <f>HYPERLINK("https://ceds.ed.gov/cedselementdetails.aspx?termid=6341")</f>
        <v>https://ceds.ed.gov/cedselementdetails.aspx?termid=6341</v>
      </c>
      <c r="N702" s="3" t="str">
        <f>HYPERLINK("https://ceds.ed.gov/elementComment.aspx?elementName=Incident Person Role Type &amp;elementID=6341", "Click here to submit comment")</f>
        <v>Click here to submit comment</v>
      </c>
    </row>
    <row r="703" spans="1:14" ht="90">
      <c r="A703" s="3" t="s">
        <v>3150</v>
      </c>
      <c r="B703" s="3" t="s">
        <v>3151</v>
      </c>
      <c r="C703" s="3" t="s">
        <v>13</v>
      </c>
      <c r="D703" s="3" t="s">
        <v>2760</v>
      </c>
      <c r="E703" s="3"/>
      <c r="F703" s="3" t="s">
        <v>54</v>
      </c>
      <c r="G703" s="3" t="s">
        <v>745</v>
      </c>
      <c r="H703" s="3"/>
      <c r="I703" s="3"/>
      <c r="J703" s="3" t="s">
        <v>3152</v>
      </c>
      <c r="K703" s="3"/>
      <c r="L703" s="3" t="s">
        <v>3153</v>
      </c>
      <c r="M703" s="3" t="str">
        <f>HYPERLINK("https://ceds.ed.gov/cedselementdetails.aspx?termid=6342")</f>
        <v>https://ceds.ed.gov/cedselementdetails.aspx?termid=6342</v>
      </c>
      <c r="N703" s="3" t="str">
        <f>HYPERLINK("https://ceds.ed.gov/elementComment.aspx?elementName=Incident Regulation Violated Description &amp;elementID=6342", "Click here to submit comment")</f>
        <v>Click here to submit comment</v>
      </c>
    </row>
    <row r="704" spans="1:14" ht="90">
      <c r="A704" s="3" t="s">
        <v>3154</v>
      </c>
      <c r="B704" s="3" t="s">
        <v>3155</v>
      </c>
      <c r="C704" s="3" t="s">
        <v>5963</v>
      </c>
      <c r="D704" s="3" t="s">
        <v>2760</v>
      </c>
      <c r="E704" s="3"/>
      <c r="F704" s="3" t="s">
        <v>54</v>
      </c>
      <c r="G704" s="3"/>
      <c r="H704" s="3"/>
      <c r="I704" s="3" t="s">
        <v>3156</v>
      </c>
      <c r="J704" s="3" t="s">
        <v>3157</v>
      </c>
      <c r="K704" s="3"/>
      <c r="L704" s="3" t="s">
        <v>3158</v>
      </c>
      <c r="M704" s="3" t="str">
        <f>HYPERLINK("https://ceds.ed.gov/cedselementdetails.aspx?termid=6343")</f>
        <v>https://ceds.ed.gov/cedselementdetails.aspx?termid=6343</v>
      </c>
      <c r="N704" s="3" t="str">
        <f>HYPERLINK("https://ceds.ed.gov/elementComment.aspx?elementName=Incident Related to Disability Manifestation &amp;elementID=6343", "Click here to submit comment")</f>
        <v>Click here to submit comment</v>
      </c>
    </row>
    <row r="705" spans="1:14" ht="75">
      <c r="A705" s="3" t="s">
        <v>3159</v>
      </c>
      <c r="B705" s="3" t="s">
        <v>3160</v>
      </c>
      <c r="C705" s="3" t="s">
        <v>5963</v>
      </c>
      <c r="D705" s="3" t="s">
        <v>2760</v>
      </c>
      <c r="E705" s="3"/>
      <c r="F705" s="3" t="s">
        <v>54</v>
      </c>
      <c r="G705" s="3"/>
      <c r="H705" s="3"/>
      <c r="I705" s="3"/>
      <c r="J705" s="3" t="s">
        <v>3161</v>
      </c>
      <c r="K705" s="3"/>
      <c r="L705" s="3" t="s">
        <v>3162</v>
      </c>
      <c r="M705" s="3" t="str">
        <f>HYPERLINK("https://ceds.ed.gov/cedselementdetails.aspx?termid=6345")</f>
        <v>https://ceds.ed.gov/cedselementdetails.aspx?termid=6345</v>
      </c>
      <c r="N705" s="3" t="str">
        <f>HYPERLINK("https://ceds.ed.gov/elementComment.aspx?elementName=Incident Reported to Law Enforcement Indicator &amp;elementID=6345", "Click here to submit comment")</f>
        <v>Click here to submit comment</v>
      </c>
    </row>
    <row r="706" spans="1:14" ht="409.5">
      <c r="A706" s="3" t="s">
        <v>3163</v>
      </c>
      <c r="B706" s="3" t="s">
        <v>3164</v>
      </c>
      <c r="C706" s="4" t="s">
        <v>6545</v>
      </c>
      <c r="D706" s="3" t="s">
        <v>2760</v>
      </c>
      <c r="E706" s="3"/>
      <c r="F706" s="3"/>
      <c r="G706" s="3"/>
      <c r="H706" s="3"/>
      <c r="I706" s="3"/>
      <c r="J706" s="3" t="s">
        <v>3165</v>
      </c>
      <c r="K706" s="3"/>
      <c r="L706" s="3" t="s">
        <v>3166</v>
      </c>
      <c r="M706" s="3" t="str">
        <f>HYPERLINK("https://ceds.ed.gov/cedselementdetails.aspx?termid=5497")</f>
        <v>https://ceds.ed.gov/cedselementdetails.aspx?termid=5497</v>
      </c>
      <c r="N706" s="3" t="str">
        <f>HYPERLINK("https://ceds.ed.gov/elementComment.aspx?elementName=Incident Reporter Type &amp;elementID=5497", "Click here to submit comment")</f>
        <v>Click here to submit comment</v>
      </c>
    </row>
    <row r="707" spans="1:14" ht="30">
      <c r="A707" s="3" t="s">
        <v>3167</v>
      </c>
      <c r="B707" s="3" t="s">
        <v>3168</v>
      </c>
      <c r="C707" s="3" t="s">
        <v>13</v>
      </c>
      <c r="D707" s="3" t="s">
        <v>2760</v>
      </c>
      <c r="E707" s="3"/>
      <c r="F707" s="3"/>
      <c r="G707" s="3" t="s">
        <v>426</v>
      </c>
      <c r="H707" s="3"/>
      <c r="I707" s="3"/>
      <c r="J707" s="3" t="s">
        <v>3169</v>
      </c>
      <c r="K707" s="3"/>
      <c r="L707" s="3" t="s">
        <v>3170</v>
      </c>
      <c r="M707" s="3" t="str">
        <f>HYPERLINK("https://ceds.ed.gov/cedselementdetails.aspx?termid=5494")</f>
        <v>https://ceds.ed.gov/cedselementdetails.aspx?termid=5494</v>
      </c>
      <c r="N707" s="3" t="str">
        <f>HYPERLINK("https://ceds.ed.gov/elementComment.aspx?elementName=Incident Time &amp;elementID=5494", "Click here to submit comment")</f>
        <v>Click here to submit comment</v>
      </c>
    </row>
    <row r="708" spans="1:14" ht="210">
      <c r="A708" s="3" t="s">
        <v>3171</v>
      </c>
      <c r="B708" s="3" t="s">
        <v>3172</v>
      </c>
      <c r="C708" s="4" t="s">
        <v>6546</v>
      </c>
      <c r="D708" s="3" t="s">
        <v>2760</v>
      </c>
      <c r="E708" s="3"/>
      <c r="F708" s="3"/>
      <c r="G708" s="3"/>
      <c r="H708" s="3"/>
      <c r="I708" s="3"/>
      <c r="J708" s="3" t="s">
        <v>3173</v>
      </c>
      <c r="K708" s="3"/>
      <c r="L708" s="3" t="s">
        <v>3174</v>
      </c>
      <c r="M708" s="3" t="str">
        <f>HYPERLINK("https://ceds.ed.gov/cedselementdetails.aspx?termid=5506")</f>
        <v>https://ceds.ed.gov/cedselementdetails.aspx?termid=5506</v>
      </c>
      <c r="N708" s="3" t="str">
        <f>HYPERLINK("https://ceds.ed.gov/elementComment.aspx?elementName=Incident Time Description Code &amp;elementID=5506", "Click here to submit comment")</f>
        <v>Click here to submit comment</v>
      </c>
    </row>
    <row r="709" spans="1:14" ht="60">
      <c r="A709" s="3" t="s">
        <v>3175</v>
      </c>
      <c r="B709" s="3" t="s">
        <v>3176</v>
      </c>
      <c r="C709" s="3" t="s">
        <v>13</v>
      </c>
      <c r="D709" s="3" t="s">
        <v>2760</v>
      </c>
      <c r="E709" s="3"/>
      <c r="F709" s="3" t="s">
        <v>54</v>
      </c>
      <c r="G709" s="3" t="s">
        <v>100</v>
      </c>
      <c r="H709" s="3"/>
      <c r="I709" s="3"/>
      <c r="J709" s="3" t="s">
        <v>3177</v>
      </c>
      <c r="K709" s="3"/>
      <c r="L709" s="3" t="s">
        <v>3178</v>
      </c>
      <c r="M709" s="3" t="str">
        <f>HYPERLINK("https://ceds.ed.gov/cedselementdetails.aspx?termid=6346")</f>
        <v>https://ceds.ed.gov/cedselementdetails.aspx?termid=6346</v>
      </c>
      <c r="N709" s="3" t="str">
        <f>HYPERLINK("https://ceds.ed.gov/elementComment.aspx?elementName=Incident Victim Identifier &amp;elementID=6346", "Click here to submit comment")</f>
        <v>Click here to submit comment</v>
      </c>
    </row>
    <row r="710" spans="1:14" ht="409.5">
      <c r="A710" s="3" t="s">
        <v>3179</v>
      </c>
      <c r="B710" s="3" t="s">
        <v>3180</v>
      </c>
      <c r="C710" s="4" t="s">
        <v>6544</v>
      </c>
      <c r="D710" s="3" t="s">
        <v>2760</v>
      </c>
      <c r="E710" s="3"/>
      <c r="F710" s="3" t="s">
        <v>54</v>
      </c>
      <c r="G710" s="3"/>
      <c r="H710" s="3"/>
      <c r="I710" s="3"/>
      <c r="J710" s="3" t="s">
        <v>3181</v>
      </c>
      <c r="K710" s="3"/>
      <c r="L710" s="3" t="s">
        <v>3182</v>
      </c>
      <c r="M710" s="3" t="str">
        <f>HYPERLINK("https://ceds.ed.gov/cedselementdetails.aspx?termid=6347")</f>
        <v>https://ceds.ed.gov/cedselementdetails.aspx?termid=6347</v>
      </c>
      <c r="N710" s="3" t="str">
        <f>HYPERLINK("https://ceds.ed.gov/elementComment.aspx?elementName=Incident Victim Type &amp;elementID=6347", "Click here to submit comment")</f>
        <v>Click here to submit comment</v>
      </c>
    </row>
    <row r="711" spans="1:14" ht="120">
      <c r="A711" s="3" t="s">
        <v>3183</v>
      </c>
      <c r="B711" s="3" t="s">
        <v>3184</v>
      </c>
      <c r="C711" s="3" t="s">
        <v>13</v>
      </c>
      <c r="D711" s="3" t="s">
        <v>2760</v>
      </c>
      <c r="E711" s="3"/>
      <c r="F711" s="3" t="s">
        <v>54</v>
      </c>
      <c r="G711" s="3" t="s">
        <v>100</v>
      </c>
      <c r="H711" s="3"/>
      <c r="I711" s="3"/>
      <c r="J711" s="3" t="s">
        <v>3185</v>
      </c>
      <c r="K711" s="3"/>
      <c r="L711" s="3" t="s">
        <v>3186</v>
      </c>
      <c r="M711" s="3" t="str">
        <f>HYPERLINK("https://ceds.ed.gov/cedselementdetails.aspx?termid=6348")</f>
        <v>https://ceds.ed.gov/cedselementdetails.aspx?termid=6348</v>
      </c>
      <c r="N711" s="3" t="str">
        <f>HYPERLINK("https://ceds.ed.gov/elementComment.aspx?elementName=Incident Witness Identifier &amp;elementID=6348", "Click here to submit comment")</f>
        <v>Click here to submit comment</v>
      </c>
    </row>
    <row r="712" spans="1:14" ht="409.5">
      <c r="A712" s="3" t="s">
        <v>3187</v>
      </c>
      <c r="B712" s="3" t="s">
        <v>3188</v>
      </c>
      <c r="C712" s="4" t="s">
        <v>6544</v>
      </c>
      <c r="D712" s="3" t="s">
        <v>2760</v>
      </c>
      <c r="E712" s="3"/>
      <c r="F712" s="3" t="s">
        <v>54</v>
      </c>
      <c r="G712" s="3"/>
      <c r="H712" s="3"/>
      <c r="I712" s="3"/>
      <c r="J712" s="3" t="s">
        <v>3189</v>
      </c>
      <c r="K712" s="3"/>
      <c r="L712" s="3" t="s">
        <v>3190</v>
      </c>
      <c r="M712" s="3" t="str">
        <f>HYPERLINK("https://ceds.ed.gov/cedselementdetails.aspx?termid=6349")</f>
        <v>https://ceds.ed.gov/cedselementdetails.aspx?termid=6349</v>
      </c>
      <c r="N712" s="3" t="str">
        <f>HYPERLINK("https://ceds.ed.gov/elementComment.aspx?elementName=Incident Witness Type &amp;elementID=6349", "Click here to submit comment")</f>
        <v>Click here to submit comment</v>
      </c>
    </row>
    <row r="713" spans="1:14" ht="60">
      <c r="A713" s="3" t="s">
        <v>3191</v>
      </c>
      <c r="B713" s="3" t="s">
        <v>3192</v>
      </c>
      <c r="C713" s="4" t="s">
        <v>6547</v>
      </c>
      <c r="D713" s="3" t="s">
        <v>2644</v>
      </c>
      <c r="E713" s="3"/>
      <c r="F713" s="3"/>
      <c r="G713" s="3"/>
      <c r="H713" s="3"/>
      <c r="I713" s="3"/>
      <c r="J713" s="3" t="s">
        <v>3193</v>
      </c>
      <c r="K713" s="3"/>
      <c r="L713" s="3" t="s">
        <v>3194</v>
      </c>
      <c r="M713" s="3" t="str">
        <f>HYPERLINK("https://ceds.ed.gov/cedselementdetails.aspx?termid=5333")</f>
        <v>https://ceds.ed.gov/cedselementdetails.aspx?termid=5333</v>
      </c>
      <c r="N713" s="3" t="str">
        <f>HYPERLINK("https://ceds.ed.gov/elementComment.aspx?elementName=Income Calculation Method &amp;elementID=5333", "Click here to submit comment")</f>
        <v>Click here to submit comment</v>
      </c>
    </row>
    <row r="714" spans="1:14" ht="120">
      <c r="A714" s="3" t="s">
        <v>3195</v>
      </c>
      <c r="B714" s="3" t="s">
        <v>3196</v>
      </c>
      <c r="C714" s="4" t="s">
        <v>6548</v>
      </c>
      <c r="D714" s="3" t="s">
        <v>2235</v>
      </c>
      <c r="E714" s="3" t="s">
        <v>218</v>
      </c>
      <c r="F714" s="3"/>
      <c r="G714" s="3"/>
      <c r="H714" s="3"/>
      <c r="I714" s="3"/>
      <c r="J714" s="3" t="s">
        <v>3197</v>
      </c>
      <c r="K714" s="3"/>
      <c r="L714" s="3" t="s">
        <v>3198</v>
      </c>
      <c r="M714" s="3" t="str">
        <f>HYPERLINK("https://ceds.ed.gov/cedselementdetails.aspx?termid=5164")</f>
        <v>https://ceds.ed.gov/cedselementdetails.aspx?termid=5164</v>
      </c>
      <c r="N714" s="3" t="str">
        <f>HYPERLINK("https://ceds.ed.gov/elementComment.aspx?elementName=Increased Learning Time Type &amp;elementID=5164", "Click here to submit comment")</f>
        <v>Click here to submit comment</v>
      </c>
    </row>
    <row r="715" spans="1:14" ht="75">
      <c r="A715" s="3" t="s">
        <v>3199</v>
      </c>
      <c r="B715" s="3" t="s">
        <v>3200</v>
      </c>
      <c r="C715" s="3" t="s">
        <v>13</v>
      </c>
      <c r="D715" s="3" t="s">
        <v>6207</v>
      </c>
      <c r="E715" s="3"/>
      <c r="F715" s="3" t="s">
        <v>3</v>
      </c>
      <c r="G715" s="3" t="s">
        <v>73</v>
      </c>
      <c r="H715" s="3"/>
      <c r="I715" s="3"/>
      <c r="J715" s="3" t="s">
        <v>3201</v>
      </c>
      <c r="K715" s="3"/>
      <c r="L715" s="3" t="s">
        <v>3202</v>
      </c>
      <c r="M715" s="3" t="str">
        <f>HYPERLINK("https://ceds.ed.gov/cedselementdetails.aspx?termid=6197")</f>
        <v>https://ceds.ed.gov/cedselementdetails.aspx?termid=6197</v>
      </c>
      <c r="N715" s="3" t="str">
        <f>HYPERLINK("https://ceds.ed.gov/elementComment.aspx?elementName=Individualized Program Date &amp;elementID=6197", "Click here to submit comment")</f>
        <v>Click here to submit comment</v>
      </c>
    </row>
    <row r="716" spans="1:14" ht="120">
      <c r="A716" s="3" t="s">
        <v>3203</v>
      </c>
      <c r="B716" s="3" t="s">
        <v>3204</v>
      </c>
      <c r="C716" s="4" t="s">
        <v>6549</v>
      </c>
      <c r="D716" s="3" t="s">
        <v>6207</v>
      </c>
      <c r="E716" s="3"/>
      <c r="F716" s="3"/>
      <c r="G716" s="3"/>
      <c r="H716" s="3"/>
      <c r="I716" s="3"/>
      <c r="J716" s="3" t="s">
        <v>3205</v>
      </c>
      <c r="K716" s="3"/>
      <c r="L716" s="3" t="s">
        <v>3206</v>
      </c>
      <c r="M716" s="3" t="str">
        <f>HYPERLINK("https://ceds.ed.gov/cedselementdetails.aspx?termid=6196")</f>
        <v>https://ceds.ed.gov/cedselementdetails.aspx?termid=6196</v>
      </c>
      <c r="N716" s="3" t="str">
        <f>HYPERLINK("https://ceds.ed.gov/elementComment.aspx?elementName=Individualized Program Date Type &amp;elementID=6196", "Click here to submit comment")</f>
        <v>Click here to submit comment</v>
      </c>
    </row>
    <row r="717" spans="1:14" ht="75">
      <c r="A717" s="3" t="s">
        <v>3207</v>
      </c>
      <c r="B717" s="3" t="s">
        <v>3208</v>
      </c>
      <c r="C717" s="3" t="s">
        <v>13</v>
      </c>
      <c r="D717" s="3" t="s">
        <v>6207</v>
      </c>
      <c r="E717" s="3"/>
      <c r="F717" s="3"/>
      <c r="G717" s="3" t="s">
        <v>575</v>
      </c>
      <c r="H717" s="3"/>
      <c r="I717" s="3"/>
      <c r="J717" s="3" t="s">
        <v>3209</v>
      </c>
      <c r="K717" s="3"/>
      <c r="L717" s="3" t="s">
        <v>3210</v>
      </c>
      <c r="M717" s="3" t="str">
        <f>HYPERLINK("https://ceds.ed.gov/cedselementdetails.aspx?termid=6199")</f>
        <v>https://ceds.ed.gov/cedselementdetails.aspx?termid=6199</v>
      </c>
      <c r="N717" s="3" t="str">
        <f>HYPERLINK("https://ceds.ed.gov/elementComment.aspx?elementName=Individualized Program Inclusion Minutes Per Week &amp;elementID=6199", "Click here to submit comment")</f>
        <v>Click here to submit comment</v>
      </c>
    </row>
    <row r="718" spans="1:14" ht="75">
      <c r="A718" s="3" t="s">
        <v>3211</v>
      </c>
      <c r="B718" s="3" t="s">
        <v>3212</v>
      </c>
      <c r="C718" s="3" t="s">
        <v>13</v>
      </c>
      <c r="D718" s="3" t="s">
        <v>6207</v>
      </c>
      <c r="E718" s="3"/>
      <c r="F718" s="3"/>
      <c r="G718" s="3" t="s">
        <v>575</v>
      </c>
      <c r="H718" s="3"/>
      <c r="I718" s="3"/>
      <c r="J718" s="3" t="s">
        <v>3213</v>
      </c>
      <c r="K718" s="3"/>
      <c r="L718" s="3" t="s">
        <v>3214</v>
      </c>
      <c r="M718" s="3" t="str">
        <f>HYPERLINK("https://ceds.ed.gov/cedselementdetails.aspx?termid=6198")</f>
        <v>https://ceds.ed.gov/cedselementdetails.aspx?termid=6198</v>
      </c>
      <c r="N718" s="3" t="str">
        <f>HYPERLINK("https://ceds.ed.gov/elementComment.aspx?elementName=Individualized Program NonInclusion Minutes Per Week &amp;elementID=6198", "Click here to submit comment")</f>
        <v>Click here to submit comment</v>
      </c>
    </row>
    <row r="719" spans="1:14" ht="30">
      <c r="A719" s="3" t="s">
        <v>3215</v>
      </c>
      <c r="B719" s="3" t="s">
        <v>3216</v>
      </c>
      <c r="C719" s="3" t="s">
        <v>13</v>
      </c>
      <c r="D719" s="3" t="s">
        <v>2804</v>
      </c>
      <c r="E719" s="3"/>
      <c r="F719" s="3" t="s">
        <v>54</v>
      </c>
      <c r="G719" s="3" t="s">
        <v>1461</v>
      </c>
      <c r="H719" s="3"/>
      <c r="I719" s="3"/>
      <c r="J719" s="3" t="s">
        <v>3217</v>
      </c>
      <c r="K719" s="3"/>
      <c r="L719" s="3" t="s">
        <v>3218</v>
      </c>
      <c r="M719" s="3" t="str">
        <f>HYPERLINK("https://ceds.ed.gov/cedselementdetails.aspx?termid=6493")</f>
        <v>https://ceds.ed.gov/cedselementdetails.aspx?termid=6493</v>
      </c>
      <c r="N719" s="3" t="str">
        <f>HYPERLINK("https://ceds.ed.gov/elementComment.aspx?elementName=Individualized Program Planned Service Duration &amp;elementID=6493", "Click here to submit comment")</f>
        <v>Click here to submit comment</v>
      </c>
    </row>
    <row r="720" spans="1:14" ht="150">
      <c r="A720" s="3" t="s">
        <v>3219</v>
      </c>
      <c r="B720" s="3" t="s">
        <v>3220</v>
      </c>
      <c r="C720" s="3" t="s">
        <v>6208</v>
      </c>
      <c r="D720" s="3" t="s">
        <v>2804</v>
      </c>
      <c r="E720" s="3"/>
      <c r="F720" s="3" t="s">
        <v>54</v>
      </c>
      <c r="G720" s="3"/>
      <c r="H720" s="3"/>
      <c r="I720" s="3"/>
      <c r="J720" s="3" t="s">
        <v>3221</v>
      </c>
      <c r="K720" s="3"/>
      <c r="L720" s="3" t="s">
        <v>3222</v>
      </c>
      <c r="M720" s="3" t="str">
        <f>HYPERLINK("https://ceds.ed.gov/cedselementdetails.aspx?termid=6492")</f>
        <v>https://ceds.ed.gov/cedselementdetails.aspx?termid=6492</v>
      </c>
      <c r="N720" s="3" t="str">
        <f>HYPERLINK("https://ceds.ed.gov/elementComment.aspx?elementName=Individualized Program Planned Service Frequency &amp;elementID=6492", "Click here to submit comment")</f>
        <v>Click here to submit comment</v>
      </c>
    </row>
    <row r="721" spans="1:14" ht="30">
      <c r="A721" s="3" t="s">
        <v>3223</v>
      </c>
      <c r="B721" s="3" t="s">
        <v>3224</v>
      </c>
      <c r="C721" s="3" t="s">
        <v>13</v>
      </c>
      <c r="D721" s="3" t="s">
        <v>2804</v>
      </c>
      <c r="E721" s="3"/>
      <c r="F721" s="3" t="s">
        <v>54</v>
      </c>
      <c r="G721" s="3" t="s">
        <v>73</v>
      </c>
      <c r="H721" s="3"/>
      <c r="I721" s="3" t="s">
        <v>3225</v>
      </c>
      <c r="J721" s="3" t="s">
        <v>3226</v>
      </c>
      <c r="K721" s="3"/>
      <c r="L721" s="3" t="s">
        <v>3227</v>
      </c>
      <c r="M721" s="3" t="str">
        <f>HYPERLINK("https://ceds.ed.gov/cedselementdetails.aspx?termid=6350")</f>
        <v>https://ceds.ed.gov/cedselementdetails.aspx?termid=6350</v>
      </c>
      <c r="N721" s="3" t="str">
        <f>HYPERLINK("https://ceds.ed.gov/elementComment.aspx?elementName=Individualized Program Planned Service Start Date &amp;elementID=6350", "Click here to submit comment")</f>
        <v>Click here to submit comment</v>
      </c>
    </row>
    <row r="722" spans="1:14" ht="300">
      <c r="A722" s="3" t="s">
        <v>3228</v>
      </c>
      <c r="B722" s="3" t="s">
        <v>2313</v>
      </c>
      <c r="C722" s="4" t="s">
        <v>6473</v>
      </c>
      <c r="D722" s="3" t="s">
        <v>2804</v>
      </c>
      <c r="E722" s="3"/>
      <c r="F722" s="3" t="s">
        <v>54</v>
      </c>
      <c r="G722" s="3"/>
      <c r="H722" s="3"/>
      <c r="I722" s="3"/>
      <c r="J722" s="3" t="s">
        <v>3229</v>
      </c>
      <c r="K722" s="3"/>
      <c r="L722" s="3" t="s">
        <v>3230</v>
      </c>
      <c r="M722" s="3" t="str">
        <f>HYPERLINK("https://ceds.ed.gov/cedselementdetails.aspx?termid=6352")</f>
        <v>https://ceds.ed.gov/cedselementdetails.aspx?termid=6352</v>
      </c>
      <c r="N722" s="3" t="str">
        <f>HYPERLINK("https://ceds.ed.gov/elementComment.aspx?elementName=Individualized Program Planned Service Type &amp;elementID=6352", "Click here to submit comment")</f>
        <v>Click here to submit comment</v>
      </c>
    </row>
    <row r="723" spans="1:14" ht="75">
      <c r="A723" s="3" t="s">
        <v>3231</v>
      </c>
      <c r="B723" s="3" t="s">
        <v>3232</v>
      </c>
      <c r="C723" s="3" t="s">
        <v>13</v>
      </c>
      <c r="D723" s="3" t="s">
        <v>6207</v>
      </c>
      <c r="E723" s="3"/>
      <c r="F723" s="3"/>
      <c r="G723" s="3" t="s">
        <v>73</v>
      </c>
      <c r="H723" s="3"/>
      <c r="I723" s="3"/>
      <c r="J723" s="3" t="s">
        <v>3233</v>
      </c>
      <c r="K723" s="3"/>
      <c r="L723" s="3" t="s">
        <v>3234</v>
      </c>
      <c r="M723" s="3" t="str">
        <f>HYPERLINK("https://ceds.ed.gov/cedselementdetails.aspx?termid=6201")</f>
        <v>https://ceds.ed.gov/cedselementdetails.aspx?termid=6201</v>
      </c>
      <c r="N723" s="3" t="str">
        <f>HYPERLINK("https://ceds.ed.gov/elementComment.aspx?elementName=Individualized Program Service Plan Date &amp;elementID=6201", "Click here to submit comment")</f>
        <v>Click here to submit comment</v>
      </c>
    </row>
    <row r="724" spans="1:14" ht="255">
      <c r="A724" s="3" t="s">
        <v>3235</v>
      </c>
      <c r="B724" s="3" t="s">
        <v>3236</v>
      </c>
      <c r="C724" s="4" t="s">
        <v>6550</v>
      </c>
      <c r="D724" s="3" t="s">
        <v>6207</v>
      </c>
      <c r="E724" s="3"/>
      <c r="F724" s="3"/>
      <c r="G724" s="3"/>
      <c r="H724" s="3"/>
      <c r="I724" s="3"/>
      <c r="J724" s="3" t="s">
        <v>3237</v>
      </c>
      <c r="K724" s="3"/>
      <c r="L724" s="3" t="s">
        <v>3238</v>
      </c>
      <c r="M724" s="3" t="str">
        <f>HYPERLINK("https://ceds.ed.gov/cedselementdetails.aspx?termid=6202")</f>
        <v>https://ceds.ed.gov/cedselementdetails.aspx?termid=6202</v>
      </c>
      <c r="N724" s="3" t="str">
        <f>HYPERLINK("https://ceds.ed.gov/elementComment.aspx?elementName=Individualized Program Service Plan Meeting Location &amp;elementID=6202", "Click here to submit comment")</f>
        <v>Click here to submit comment</v>
      </c>
    </row>
    <row r="725" spans="1:14" ht="75">
      <c r="A725" s="3" t="s">
        <v>3239</v>
      </c>
      <c r="B725" s="3" t="s">
        <v>3240</v>
      </c>
      <c r="C725" s="3" t="s">
        <v>13</v>
      </c>
      <c r="D725" s="3" t="s">
        <v>6207</v>
      </c>
      <c r="E725" s="3"/>
      <c r="F725" s="3"/>
      <c r="G725" s="3" t="s">
        <v>319</v>
      </c>
      <c r="H725" s="3"/>
      <c r="I725" s="3"/>
      <c r="J725" s="3" t="s">
        <v>3241</v>
      </c>
      <c r="K725" s="3"/>
      <c r="L725" s="3" t="s">
        <v>3242</v>
      </c>
      <c r="M725" s="3" t="str">
        <f>HYPERLINK("https://ceds.ed.gov/cedselementdetails.aspx?termid=6203")</f>
        <v>https://ceds.ed.gov/cedselementdetails.aspx?termid=6203</v>
      </c>
      <c r="N725" s="3" t="str">
        <f>HYPERLINK("https://ceds.ed.gov/elementComment.aspx?elementName=Individualized Program Service Plan Meeting Participants &amp;elementID=6203", "Click here to submit comment")</f>
        <v>Click here to submit comment</v>
      </c>
    </row>
    <row r="726" spans="1:14" ht="75">
      <c r="A726" s="3" t="s">
        <v>3243</v>
      </c>
      <c r="B726" s="3" t="s">
        <v>3244</v>
      </c>
      <c r="C726" s="3" t="s">
        <v>13</v>
      </c>
      <c r="D726" s="3" t="s">
        <v>6207</v>
      </c>
      <c r="E726" s="3"/>
      <c r="F726" s="3"/>
      <c r="G726" s="3" t="s">
        <v>73</v>
      </c>
      <c r="H726" s="3"/>
      <c r="I726" s="3"/>
      <c r="J726" s="3" t="s">
        <v>3245</v>
      </c>
      <c r="K726" s="3"/>
      <c r="L726" s="3" t="s">
        <v>3246</v>
      </c>
      <c r="M726" s="3" t="str">
        <f>HYPERLINK("https://ceds.ed.gov/cedselementdetails.aspx?termid=6207")</f>
        <v>https://ceds.ed.gov/cedselementdetails.aspx?termid=6207</v>
      </c>
      <c r="N726" s="3" t="str">
        <f>HYPERLINK("https://ceds.ed.gov/elementComment.aspx?elementName=Individualized Program Service Plan Reevaluation Date &amp;elementID=6207", "Click here to submit comment")</f>
        <v>Click here to submit comment</v>
      </c>
    </row>
    <row r="727" spans="1:14" ht="75">
      <c r="A727" s="3" t="s">
        <v>3247</v>
      </c>
      <c r="B727" s="3" t="s">
        <v>3248</v>
      </c>
      <c r="C727" s="3" t="s">
        <v>13</v>
      </c>
      <c r="D727" s="3" t="s">
        <v>6207</v>
      </c>
      <c r="E727" s="3"/>
      <c r="F727" s="3"/>
      <c r="G727" s="3" t="s">
        <v>73</v>
      </c>
      <c r="H727" s="3"/>
      <c r="I727" s="3"/>
      <c r="J727" s="3" t="s">
        <v>3249</v>
      </c>
      <c r="K727" s="3"/>
      <c r="L727" s="3" t="s">
        <v>3250</v>
      </c>
      <c r="M727" s="3" t="str">
        <f>HYPERLINK("https://ceds.ed.gov/cedselementdetails.aspx?termid=6205")</f>
        <v>https://ceds.ed.gov/cedselementdetails.aspx?termid=6205</v>
      </c>
      <c r="N727" s="3" t="str">
        <f>HYPERLINK("https://ceds.ed.gov/elementComment.aspx?elementName=Individualized Program Service Plan Signature Date &amp;elementID=6205", "Click here to submit comment")</f>
        <v>Click here to submit comment</v>
      </c>
    </row>
    <row r="728" spans="1:14" ht="75">
      <c r="A728" s="3" t="s">
        <v>3251</v>
      </c>
      <c r="B728" s="3" t="s">
        <v>3252</v>
      </c>
      <c r="C728" s="3" t="s">
        <v>13</v>
      </c>
      <c r="D728" s="3" t="s">
        <v>6207</v>
      </c>
      <c r="E728" s="3"/>
      <c r="F728" s="3"/>
      <c r="G728" s="3" t="s">
        <v>319</v>
      </c>
      <c r="H728" s="3"/>
      <c r="I728" s="3"/>
      <c r="J728" s="3" t="s">
        <v>3253</v>
      </c>
      <c r="K728" s="3"/>
      <c r="L728" s="3" t="s">
        <v>3254</v>
      </c>
      <c r="M728" s="3" t="str">
        <f>HYPERLINK("https://ceds.ed.gov/cedselementdetails.aspx?termid=6204")</f>
        <v>https://ceds.ed.gov/cedselementdetails.aspx?termid=6204</v>
      </c>
      <c r="N728" s="3" t="str">
        <f>HYPERLINK("https://ceds.ed.gov/elementComment.aspx?elementName=Individualized Program Service Plan Signed By &amp;elementID=6204", "Click here to submit comment")</f>
        <v>Click here to submit comment</v>
      </c>
    </row>
    <row r="729" spans="1:14" ht="75">
      <c r="A729" s="3" t="s">
        <v>3255</v>
      </c>
      <c r="B729" s="3" t="s">
        <v>3256</v>
      </c>
      <c r="C729" s="4" t="s">
        <v>6551</v>
      </c>
      <c r="D729" s="3" t="s">
        <v>6207</v>
      </c>
      <c r="E729" s="3"/>
      <c r="F729" s="3"/>
      <c r="G729" s="3"/>
      <c r="H729" s="3"/>
      <c r="I729" s="3"/>
      <c r="J729" s="3" t="s">
        <v>3257</v>
      </c>
      <c r="K729" s="3"/>
      <c r="L729" s="3" t="s">
        <v>3258</v>
      </c>
      <c r="M729" s="3" t="str">
        <f>HYPERLINK("https://ceds.ed.gov/cedselementdetails.aspx?termid=6200")</f>
        <v>https://ceds.ed.gov/cedselementdetails.aspx?termid=6200</v>
      </c>
      <c r="N729" s="3" t="str">
        <f>HYPERLINK("https://ceds.ed.gov/elementComment.aspx?elementName=Individualized Program Transition Plan Type &amp;elementID=6200", "Click here to submit comment")</f>
        <v>Click here to submit comment</v>
      </c>
    </row>
    <row r="730" spans="1:14" ht="255">
      <c r="A730" s="3" t="s">
        <v>3259</v>
      </c>
      <c r="B730" s="3" t="s">
        <v>3260</v>
      </c>
      <c r="C730" s="4" t="s">
        <v>6552</v>
      </c>
      <c r="D730" s="3" t="s">
        <v>6207</v>
      </c>
      <c r="E730" s="3" t="s">
        <v>5988</v>
      </c>
      <c r="F730" s="3"/>
      <c r="G730" s="3"/>
      <c r="H730" s="3"/>
      <c r="I730" s="3"/>
      <c r="J730" s="3" t="s">
        <v>3261</v>
      </c>
      <c r="K730" s="3"/>
      <c r="L730" s="3" t="s">
        <v>3262</v>
      </c>
      <c r="M730" s="3" t="str">
        <f>HYPERLINK("https://ceds.ed.gov/cedselementdetails.aspx?termid=5320")</f>
        <v>https://ceds.ed.gov/cedselementdetails.aspx?termid=5320</v>
      </c>
      <c r="N730" s="3" t="str">
        <f>HYPERLINK("https://ceds.ed.gov/elementComment.aspx?elementName=Individualized Program Type &amp;elementID=5320", "Click here to submit comment")</f>
        <v>Click here to submit comment</v>
      </c>
    </row>
    <row r="731" spans="1:14" ht="75">
      <c r="A731" s="3" t="s">
        <v>3263</v>
      </c>
      <c r="B731" s="3" t="s">
        <v>3264</v>
      </c>
      <c r="C731" s="3" t="s">
        <v>13</v>
      </c>
      <c r="D731" s="3" t="s">
        <v>1708</v>
      </c>
      <c r="E731" s="3" t="s">
        <v>5976</v>
      </c>
      <c r="F731" s="3"/>
      <c r="G731" s="3" t="s">
        <v>100</v>
      </c>
      <c r="H731" s="3"/>
      <c r="I731" s="3"/>
      <c r="J731" s="3" t="s">
        <v>3265</v>
      </c>
      <c r="K731" s="3"/>
      <c r="L731" s="3" t="s">
        <v>3266</v>
      </c>
      <c r="M731" s="3" t="str">
        <f>HYPERLINK("https://ceds.ed.gov/cedselementdetails.aspx?termid=5165")</f>
        <v>https://ceds.ed.gov/cedselementdetails.aspx?termid=5165</v>
      </c>
      <c r="N731" s="3" t="str">
        <f>HYPERLINK("https://ceds.ed.gov/elementComment.aspx?elementName=Initial Enrollment Term &amp;elementID=5165", "Click here to submit comment")</f>
        <v>Click here to submit comment</v>
      </c>
    </row>
    <row r="732" spans="1:14" ht="45">
      <c r="A732" s="3" t="s">
        <v>3267</v>
      </c>
      <c r="B732" s="3" t="s">
        <v>3268</v>
      </c>
      <c r="C732" s="3" t="s">
        <v>13</v>
      </c>
      <c r="D732" s="3" t="s">
        <v>1774</v>
      </c>
      <c r="E732" s="3" t="s">
        <v>6104</v>
      </c>
      <c r="F732" s="3"/>
      <c r="G732" s="3" t="s">
        <v>73</v>
      </c>
      <c r="H732" s="3"/>
      <c r="I732" s="3"/>
      <c r="J732" s="3" t="s">
        <v>3269</v>
      </c>
      <c r="K732" s="3"/>
      <c r="L732" s="3" t="s">
        <v>3270</v>
      </c>
      <c r="M732" s="3" t="str">
        <f>HYPERLINK("https://ceds.ed.gov/cedselementdetails.aspx?termid=5347")</f>
        <v>https://ceds.ed.gov/cedselementdetails.aspx?termid=5347</v>
      </c>
      <c r="N732" s="3" t="str">
        <f>HYPERLINK("https://ceds.ed.gov/elementComment.aspx?elementName=Initial License Date &amp;elementID=5347", "Click here to submit comment")</f>
        <v>Click here to submit comment</v>
      </c>
    </row>
    <row r="733" spans="1:14" ht="30">
      <c r="A733" s="3" t="s">
        <v>3271</v>
      </c>
      <c r="B733" s="3" t="s">
        <v>3272</v>
      </c>
      <c r="C733" s="3" t="s">
        <v>13</v>
      </c>
      <c r="D733" s="3" t="s">
        <v>2822</v>
      </c>
      <c r="E733" s="3" t="s">
        <v>207</v>
      </c>
      <c r="F733" s="3"/>
      <c r="G733" s="3" t="s">
        <v>1461</v>
      </c>
      <c r="H733" s="3"/>
      <c r="I733" s="3"/>
      <c r="J733" s="3" t="s">
        <v>3273</v>
      </c>
      <c r="K733" s="3"/>
      <c r="L733" s="3" t="s">
        <v>3274</v>
      </c>
      <c r="M733" s="3" t="str">
        <f>HYPERLINK("https://ceds.ed.gov/cedselementdetails.aspx?termid=5451")</f>
        <v>https://ceds.ed.gov/cedselementdetails.aspx?termid=5451</v>
      </c>
      <c r="N733" s="3" t="str">
        <f>HYPERLINK("https://ceds.ed.gov/elementComment.aspx?elementName=Innovative Dollars Spent &amp;elementID=5451", "Click here to submit comment")</f>
        <v>Click here to submit comment</v>
      </c>
    </row>
    <row r="734" spans="1:14" ht="45">
      <c r="A734" s="3" t="s">
        <v>3275</v>
      </c>
      <c r="B734" s="3" t="s">
        <v>3276</v>
      </c>
      <c r="C734" s="3" t="s">
        <v>13</v>
      </c>
      <c r="D734" s="3" t="s">
        <v>2822</v>
      </c>
      <c r="E734" s="3" t="s">
        <v>207</v>
      </c>
      <c r="F734" s="3"/>
      <c r="G734" s="3" t="s">
        <v>1461</v>
      </c>
      <c r="H734" s="3"/>
      <c r="I734" s="3"/>
      <c r="J734" s="3" t="s">
        <v>3277</v>
      </c>
      <c r="K734" s="3"/>
      <c r="L734" s="3" t="s">
        <v>3278</v>
      </c>
      <c r="M734" s="3" t="str">
        <f>HYPERLINK("https://ceds.ed.gov/cedselementdetails.aspx?termid=5452")</f>
        <v>https://ceds.ed.gov/cedselementdetails.aspx?termid=5452</v>
      </c>
      <c r="N734" s="3" t="str">
        <f>HYPERLINK("https://ceds.ed.gov/elementComment.aspx?elementName=Innovative Dollars Spent on Strategic Priorities &amp;elementID=5452", "Click here to submit comment")</f>
        <v>Click here to submit comment</v>
      </c>
    </row>
    <row r="735" spans="1:14" ht="30">
      <c r="A735" s="3" t="s">
        <v>3279</v>
      </c>
      <c r="B735" s="3" t="s">
        <v>3280</v>
      </c>
      <c r="C735" s="3" t="s">
        <v>13</v>
      </c>
      <c r="D735" s="3" t="s">
        <v>2822</v>
      </c>
      <c r="E735" s="3" t="s">
        <v>207</v>
      </c>
      <c r="F735" s="3"/>
      <c r="G735" s="3" t="s">
        <v>1461</v>
      </c>
      <c r="H735" s="3"/>
      <c r="I735" s="3"/>
      <c r="J735" s="3" t="s">
        <v>3281</v>
      </c>
      <c r="K735" s="3"/>
      <c r="L735" s="3" t="s">
        <v>3282</v>
      </c>
      <c r="M735" s="3" t="str">
        <f>HYPERLINK("https://ceds.ed.gov/cedselementdetails.aspx?termid=5454")</f>
        <v>https://ceds.ed.gov/cedselementdetails.aspx?termid=5454</v>
      </c>
      <c r="N735" s="3" t="str">
        <f>HYPERLINK("https://ceds.ed.gov/elementComment.aspx?elementName=Innovative Programs Funds Received &amp;elementID=5454", "Click here to submit comment")</f>
        <v>Click here to submit comment</v>
      </c>
    </row>
    <row r="736" spans="1:14" ht="75">
      <c r="A736" s="3" t="s">
        <v>3283</v>
      </c>
      <c r="B736" s="3" t="s">
        <v>3284</v>
      </c>
      <c r="C736" s="3" t="s">
        <v>13</v>
      </c>
      <c r="D736" s="3" t="s">
        <v>1494</v>
      </c>
      <c r="E736" s="3" t="s">
        <v>5976</v>
      </c>
      <c r="F736" s="3"/>
      <c r="G736" s="3" t="s">
        <v>3285</v>
      </c>
      <c r="H736" s="3"/>
      <c r="I736" s="3"/>
      <c r="J736" s="3" t="s">
        <v>3286</v>
      </c>
      <c r="K736" s="3" t="s">
        <v>3287</v>
      </c>
      <c r="L736" s="3" t="s">
        <v>3288</v>
      </c>
      <c r="M736" s="3" t="str">
        <f>HYPERLINK("https://ceds.ed.gov/cedselementdetails.aspx?termid=5166")</f>
        <v>https://ceds.ed.gov/cedselementdetails.aspx?termid=5166</v>
      </c>
      <c r="N736" s="3" t="str">
        <f>HYPERLINK("https://ceds.ed.gov/elementComment.aspx?elementName=Institution IPEDS UnitID &amp;elementID=5166", "Click here to submit comment")</f>
        <v>Click here to submit comment</v>
      </c>
    </row>
    <row r="737" spans="1:14" ht="165">
      <c r="A737" s="3" t="s">
        <v>3289</v>
      </c>
      <c r="B737" s="3" t="s">
        <v>3290</v>
      </c>
      <c r="C737" s="4" t="s">
        <v>6553</v>
      </c>
      <c r="D737" s="3" t="s">
        <v>6209</v>
      </c>
      <c r="E737" s="3"/>
      <c r="F737" s="3"/>
      <c r="G737" s="3"/>
      <c r="H737" s="3"/>
      <c r="I737" s="3"/>
      <c r="J737" s="3" t="s">
        <v>3291</v>
      </c>
      <c r="K737" s="3"/>
      <c r="L737" s="3" t="s">
        <v>3292</v>
      </c>
      <c r="M737" s="3" t="str">
        <f>HYPERLINK("https://ceds.ed.gov/cedselementdetails.aspx?termid=5167")</f>
        <v>https://ceds.ed.gov/cedselementdetails.aspx?termid=5167</v>
      </c>
      <c r="N737" s="3" t="str">
        <f>HYPERLINK("https://ceds.ed.gov/elementComment.aspx?elementName=Institution Telephone Number Type &amp;elementID=5167", "Click here to submit comment")</f>
        <v>Click here to submit comment</v>
      </c>
    </row>
    <row r="738" spans="1:14" ht="105">
      <c r="A738" s="3" t="s">
        <v>3293</v>
      </c>
      <c r="B738" s="3" t="s">
        <v>3294</v>
      </c>
      <c r="C738" s="3" t="s">
        <v>5963</v>
      </c>
      <c r="D738" s="3" t="s">
        <v>1494</v>
      </c>
      <c r="E738" s="3" t="s">
        <v>1495</v>
      </c>
      <c r="F738" s="3"/>
      <c r="G738" s="3"/>
      <c r="H738" s="3"/>
      <c r="I738" s="3" t="s">
        <v>358</v>
      </c>
      <c r="J738" s="3" t="s">
        <v>3295</v>
      </c>
      <c r="K738" s="3"/>
      <c r="L738" s="3" t="s">
        <v>3296</v>
      </c>
      <c r="M738" s="3" t="str">
        <f>HYPERLINK("https://ceds.ed.gov/cedselementdetails.aspx?termid=5727")</f>
        <v>https://ceds.ed.gov/cedselementdetails.aspx?termid=5727</v>
      </c>
      <c r="N738" s="3" t="str">
        <f>HYPERLINK("https://ceds.ed.gov/elementComment.aspx?elementName=Institutionally Controlled Housing Status &amp;elementID=5727", "Click here to submit comment")</f>
        <v>Click here to submit comment</v>
      </c>
    </row>
    <row r="739" spans="1:14" ht="120">
      <c r="A739" s="3" t="s">
        <v>3297</v>
      </c>
      <c r="B739" s="3" t="s">
        <v>3298</v>
      </c>
      <c r="C739" s="4" t="s">
        <v>6554</v>
      </c>
      <c r="D739" s="3" t="s">
        <v>35</v>
      </c>
      <c r="E739" s="3" t="s">
        <v>36</v>
      </c>
      <c r="F739" s="3"/>
      <c r="G739" s="3"/>
      <c r="H739" s="3"/>
      <c r="I739" s="3" t="s">
        <v>3299</v>
      </c>
      <c r="J739" s="3" t="s">
        <v>3300</v>
      </c>
      <c r="K739" s="3"/>
      <c r="L739" s="3" t="s">
        <v>3301</v>
      </c>
      <c r="M739" s="3" t="str">
        <f>HYPERLINK("https://ceds.ed.gov/cedselementdetails.aspx?termid=5719")</f>
        <v>https://ceds.ed.gov/cedselementdetails.aspx?termid=5719</v>
      </c>
      <c r="N739" s="3" t="str">
        <f>HYPERLINK("https://ceds.ed.gov/elementComment.aspx?elementName=Instruction Credit Type &amp;elementID=5719", "Click here to submit comment")</f>
        <v>Click here to submit comment</v>
      </c>
    </row>
    <row r="740" spans="1:14" ht="105">
      <c r="A740" s="3" t="s">
        <v>3302</v>
      </c>
      <c r="B740" s="3" t="s">
        <v>3303</v>
      </c>
      <c r="C740" s="5" t="s">
        <v>939</v>
      </c>
      <c r="D740" s="3" t="s">
        <v>6210</v>
      </c>
      <c r="E740" s="3" t="s">
        <v>207</v>
      </c>
      <c r="F740" s="3"/>
      <c r="G740" s="3"/>
      <c r="H740" s="3"/>
      <c r="I740" s="3"/>
      <c r="J740" s="3" t="s">
        <v>3304</v>
      </c>
      <c r="K740" s="3"/>
      <c r="L740" s="3" t="s">
        <v>3305</v>
      </c>
      <c r="M740" s="3" t="str">
        <f>HYPERLINK("https://ceds.ed.gov/cedselementdetails.aspx?termid=5438")</f>
        <v>https://ceds.ed.gov/cedselementdetails.aspx?termid=5438</v>
      </c>
      <c r="N740" s="3" t="str">
        <f>HYPERLINK("https://ceds.ed.gov/elementComment.aspx?elementName=Instruction Language &amp;elementID=5438", "Click here to submit comment")</f>
        <v>Click here to submit comment</v>
      </c>
    </row>
    <row r="741" spans="1:14" ht="45">
      <c r="A741" s="3" t="s">
        <v>3306</v>
      </c>
      <c r="B741" s="3" t="s">
        <v>3307</v>
      </c>
      <c r="C741" s="3" t="s">
        <v>13</v>
      </c>
      <c r="D741" s="3" t="s">
        <v>1708</v>
      </c>
      <c r="E741" s="3" t="s">
        <v>5976</v>
      </c>
      <c r="F741" s="3"/>
      <c r="G741" s="3" t="s">
        <v>1461</v>
      </c>
      <c r="H741" s="3"/>
      <c r="I741" s="3"/>
      <c r="J741" s="3" t="s">
        <v>3308</v>
      </c>
      <c r="K741" s="3"/>
      <c r="L741" s="3" t="s">
        <v>3309</v>
      </c>
      <c r="M741" s="3" t="str">
        <f>HYPERLINK("https://ceds.ed.gov/cedselementdetails.aspx?termid=5168")</f>
        <v>https://ceds.ed.gov/cedselementdetails.aspx?termid=5168</v>
      </c>
      <c r="N741" s="3" t="str">
        <f>HYPERLINK("https://ceds.ed.gov/elementComment.aspx?elementName=Instructional Activity Hours Attempted &amp;elementID=5168", "Click here to submit comment")</f>
        <v>Click here to submit comment</v>
      </c>
    </row>
    <row r="742" spans="1:14" ht="75">
      <c r="A742" s="3" t="s">
        <v>3310</v>
      </c>
      <c r="B742" s="3" t="s">
        <v>3311</v>
      </c>
      <c r="C742" s="3" t="s">
        <v>13</v>
      </c>
      <c r="D742" s="3" t="s">
        <v>6211</v>
      </c>
      <c r="E742" s="3" t="s">
        <v>42</v>
      </c>
      <c r="F742" s="3" t="s">
        <v>3</v>
      </c>
      <c r="G742" s="3" t="s">
        <v>1461</v>
      </c>
      <c r="H742" s="3"/>
      <c r="I742" s="3"/>
      <c r="J742" s="3" t="s">
        <v>3312</v>
      </c>
      <c r="K742" s="3"/>
      <c r="L742" s="3" t="s">
        <v>3313</v>
      </c>
      <c r="M742" s="3" t="str">
        <f>HYPERLINK("https://ceds.ed.gov/cedselementdetails.aspx?termid=5361")</f>
        <v>https://ceds.ed.gov/cedselementdetails.aspx?termid=5361</v>
      </c>
      <c r="N742" s="3" t="str">
        <f>HYPERLINK("https://ceds.ed.gov/elementComment.aspx?elementName=Instructional Activity Hours Completed &amp;elementID=5361", "Click here to submit comment")</f>
        <v>Click here to submit comment</v>
      </c>
    </row>
    <row r="743" spans="1:14" ht="45">
      <c r="A743" s="3" t="s">
        <v>3314</v>
      </c>
      <c r="B743" s="3" t="s">
        <v>3315</v>
      </c>
      <c r="C743" s="3" t="s">
        <v>6212</v>
      </c>
      <c r="D743" s="3" t="s">
        <v>1708</v>
      </c>
      <c r="E743" s="3" t="s">
        <v>5976</v>
      </c>
      <c r="F743" s="3"/>
      <c r="G743" s="3"/>
      <c r="H743" s="3"/>
      <c r="I743" s="3"/>
      <c r="J743" s="3" t="s">
        <v>3316</v>
      </c>
      <c r="K743" s="3"/>
      <c r="L743" s="3" t="s">
        <v>3317</v>
      </c>
      <c r="M743" s="3" t="str">
        <f>HYPERLINK("https://ceds.ed.gov/cedselementdetails.aspx?termid=5169")</f>
        <v>https://ceds.ed.gov/cedselementdetails.aspx?termid=5169</v>
      </c>
      <c r="N743" s="3" t="str">
        <f>HYPERLINK("https://ceds.ed.gov/elementComment.aspx?elementName=Instructional Activity Hours Type &amp;elementID=5169", "Click here to submit comment")</f>
        <v>Click here to submit comment</v>
      </c>
    </row>
    <row r="744" spans="1:14" ht="90">
      <c r="A744" s="3" t="s">
        <v>3318</v>
      </c>
      <c r="B744" s="3" t="s">
        <v>3319</v>
      </c>
      <c r="C744" s="3" t="s">
        <v>13</v>
      </c>
      <c r="D744" s="3" t="s">
        <v>2116</v>
      </c>
      <c r="E744" s="3"/>
      <c r="F744" s="3"/>
      <c r="G744" s="3" t="s">
        <v>308</v>
      </c>
      <c r="H744" s="3"/>
      <c r="I744" s="3"/>
      <c r="J744" s="3" t="s">
        <v>3320</v>
      </c>
      <c r="K744" s="3"/>
      <c r="L744" s="3" t="s">
        <v>3321</v>
      </c>
      <c r="M744" s="3" t="str">
        <f>HYPERLINK("https://ceds.ed.gov/cedselementdetails.aspx?termid=5490")</f>
        <v>https://ceds.ed.gov/cedselementdetails.aspx?termid=5490</v>
      </c>
      <c r="N744" s="3" t="str">
        <f>HYPERLINK("https://ceds.ed.gov/elementComment.aspx?elementName=Instructional Minutes &amp;elementID=5490", "Click here to submit comment")</f>
        <v>Click here to submit comment</v>
      </c>
    </row>
    <row r="745" spans="1:14" ht="75">
      <c r="A745" s="3" t="s">
        <v>3322</v>
      </c>
      <c r="B745" s="3" t="s">
        <v>3323</v>
      </c>
      <c r="C745" s="3" t="s">
        <v>13</v>
      </c>
      <c r="D745" s="3" t="s">
        <v>6067</v>
      </c>
      <c r="E745" s="3" t="s">
        <v>6018</v>
      </c>
      <c r="F745" s="3"/>
      <c r="G745" s="3" t="s">
        <v>745</v>
      </c>
      <c r="H745" s="3"/>
      <c r="I745" s="3"/>
      <c r="J745" s="3" t="s">
        <v>3324</v>
      </c>
      <c r="K745" s="3"/>
      <c r="L745" s="3" t="s">
        <v>3325</v>
      </c>
      <c r="M745" s="3" t="str">
        <f>HYPERLINK("https://ceds.ed.gov/cedselementdetails.aspx?termid=5369")</f>
        <v>https://ceds.ed.gov/cedselementdetails.aspx?termid=5369</v>
      </c>
      <c r="N745" s="3" t="str">
        <f>HYPERLINK("https://ceds.ed.gov/elementComment.aspx?elementName=Instructional Recommendation &amp;elementID=5369", "Click here to submit comment")</f>
        <v>Click here to submit comment</v>
      </c>
    </row>
    <row r="746" spans="1:14" ht="90">
      <c r="A746" s="3" t="s">
        <v>3326</v>
      </c>
      <c r="B746" s="3" t="s">
        <v>3327</v>
      </c>
      <c r="C746" s="4" t="s">
        <v>6555</v>
      </c>
      <c r="D746" s="3" t="s">
        <v>35</v>
      </c>
      <c r="E746" s="3" t="s">
        <v>36</v>
      </c>
      <c r="F746" s="3"/>
      <c r="G746" s="3"/>
      <c r="H746" s="3"/>
      <c r="I746" s="3" t="s">
        <v>3328</v>
      </c>
      <c r="J746" s="3" t="s">
        <v>3329</v>
      </c>
      <c r="K746" s="3"/>
      <c r="L746" s="3" t="s">
        <v>3330</v>
      </c>
      <c r="M746" s="3" t="str">
        <f>HYPERLINK("https://ceds.ed.gov/cedselementdetails.aspx?termid=5712")</f>
        <v>https://ceds.ed.gov/cedselementdetails.aspx?termid=5712</v>
      </c>
      <c r="N746" s="3" t="str">
        <f>HYPERLINK("https://ceds.ed.gov/elementComment.aspx?elementName=Instructional Staff Contract Length &amp;elementID=5712", "Click here to submit comment")</f>
        <v>Click here to submit comment</v>
      </c>
    </row>
    <row r="747" spans="1:14" ht="105">
      <c r="A747" s="3" t="s">
        <v>3331</v>
      </c>
      <c r="B747" s="3" t="s">
        <v>3332</v>
      </c>
      <c r="C747" s="4" t="s">
        <v>6556</v>
      </c>
      <c r="D747" s="3" t="s">
        <v>35</v>
      </c>
      <c r="E747" s="3" t="s">
        <v>36</v>
      </c>
      <c r="F747" s="3"/>
      <c r="G747" s="3"/>
      <c r="H747" s="3"/>
      <c r="I747" s="3" t="s">
        <v>1785</v>
      </c>
      <c r="J747" s="3" t="s">
        <v>3333</v>
      </c>
      <c r="K747" s="3"/>
      <c r="L747" s="3" t="s">
        <v>3334</v>
      </c>
      <c r="M747" s="3" t="str">
        <f>HYPERLINK("https://ceds.ed.gov/cedselementdetails.aspx?termid=5716")</f>
        <v>https://ceds.ed.gov/cedselementdetails.aspx?termid=5716</v>
      </c>
      <c r="N747" s="3" t="str">
        <f>HYPERLINK("https://ceds.ed.gov/elementComment.aspx?elementName=Instructional Staff Faculty Tenure Status &amp;elementID=5716", "Click here to submit comment")</f>
        <v>Click here to submit comment</v>
      </c>
    </row>
    <row r="748" spans="1:14" ht="90">
      <c r="A748" s="3" t="s">
        <v>3335</v>
      </c>
      <c r="B748" s="3" t="s">
        <v>3336</v>
      </c>
      <c r="C748" s="3" t="s">
        <v>5963</v>
      </c>
      <c r="D748" s="3" t="s">
        <v>35</v>
      </c>
      <c r="E748" s="3"/>
      <c r="F748" s="3"/>
      <c r="G748" s="3"/>
      <c r="H748" s="3"/>
      <c r="I748" s="3" t="s">
        <v>2630</v>
      </c>
      <c r="J748" s="3" t="s">
        <v>3337</v>
      </c>
      <c r="K748" s="3"/>
      <c r="L748" s="3" t="s">
        <v>3338</v>
      </c>
      <c r="M748" s="3" t="str">
        <f>HYPERLINK("https://ceds.ed.gov/cedselementdetails.aspx?termid=5709")</f>
        <v>https://ceds.ed.gov/cedselementdetails.aspx?termid=5709</v>
      </c>
      <c r="N748" s="3" t="str">
        <f>HYPERLINK("https://ceds.ed.gov/elementComment.aspx?elementName=Instructional Staff Status &amp;elementID=5709", "Click here to submit comment")</f>
        <v>Click here to submit comment</v>
      </c>
    </row>
    <row r="749" spans="1:14" ht="210">
      <c r="A749" s="3" t="s">
        <v>3339</v>
      </c>
      <c r="B749" s="3" t="s">
        <v>3340</v>
      </c>
      <c r="C749" s="4" t="s">
        <v>6455</v>
      </c>
      <c r="D749" s="3" t="s">
        <v>2146</v>
      </c>
      <c r="E749" s="3" t="s">
        <v>2147</v>
      </c>
      <c r="F749" s="3"/>
      <c r="G749" s="3"/>
      <c r="H749" s="3"/>
      <c r="I749" s="3"/>
      <c r="J749" s="3" t="s">
        <v>3341</v>
      </c>
      <c r="K749" s="3"/>
      <c r="L749" s="3" t="s">
        <v>3342</v>
      </c>
      <c r="M749" s="3" t="str">
        <f>HYPERLINK("https://ceds.ed.gov/cedselementdetails.aspx?termid=5334")</f>
        <v>https://ceds.ed.gov/cedselementdetails.aspx?termid=5334</v>
      </c>
      <c r="N749" s="3" t="str">
        <f>HYPERLINK("https://ceds.ed.gov/elementComment.aspx?elementName=Insurance Coverage &amp;elementID=5334", "Click here to submit comment")</f>
        <v>Click here to submit comment</v>
      </c>
    </row>
    <row r="750" spans="1:14" ht="90">
      <c r="A750" s="3" t="s">
        <v>3343</v>
      </c>
      <c r="B750" s="3" t="s">
        <v>3344</v>
      </c>
      <c r="C750" s="4" t="s">
        <v>6557</v>
      </c>
      <c r="D750" s="3" t="s">
        <v>1471</v>
      </c>
      <c r="E750" s="3" t="s">
        <v>218</v>
      </c>
      <c r="F750" s="3"/>
      <c r="G750" s="3"/>
      <c r="H750" s="3"/>
      <c r="I750" s="3"/>
      <c r="J750" s="3" t="s">
        <v>3345</v>
      </c>
      <c r="K750" s="3"/>
      <c r="L750" s="3" t="s">
        <v>3346</v>
      </c>
      <c r="M750" s="3" t="str">
        <f>HYPERLINK("https://ceds.ed.gov/cedselementdetails.aspx?termid=5170")</f>
        <v>https://ceds.ed.gov/cedselementdetails.aspx?termid=5170</v>
      </c>
      <c r="N750" s="3" t="str">
        <f>HYPERLINK("https://ceds.ed.gov/elementComment.aspx?elementName=Integrated Technology Status &amp;elementID=5170", "Click here to submit comment")</f>
        <v>Click here to submit comment</v>
      </c>
    </row>
    <row r="751" spans="1:14" ht="60">
      <c r="A751" s="3" t="s">
        <v>3347</v>
      </c>
      <c r="B751" s="3" t="s">
        <v>3348</v>
      </c>
      <c r="C751" s="3" t="s">
        <v>13</v>
      </c>
      <c r="D751" s="3" t="s">
        <v>6004</v>
      </c>
      <c r="E751" s="3"/>
      <c r="F751" s="3"/>
      <c r="G751" s="3" t="s">
        <v>73</v>
      </c>
      <c r="H751" s="3"/>
      <c r="I751" s="3"/>
      <c r="J751" s="3" t="s">
        <v>3349</v>
      </c>
      <c r="K751" s="3"/>
      <c r="L751" s="3" t="s">
        <v>3350</v>
      </c>
      <c r="M751" s="3" t="str">
        <f>HYPERLINK("https://ceds.ed.gov/cedselementdetails.aspx?termid=6137")</f>
        <v>https://ceds.ed.gov/cedselementdetails.aspx?termid=6137</v>
      </c>
      <c r="N751" s="3" t="str">
        <f>HYPERLINK("https://ceds.ed.gov/elementComment.aspx?elementName=Intended Administration Start Date &amp;elementID=6137", "Click here to submit comment")</f>
        <v>Click here to submit comment</v>
      </c>
    </row>
    <row r="752" spans="1:14" ht="60">
      <c r="A752" s="3" t="s">
        <v>3351</v>
      </c>
      <c r="B752" s="3" t="s">
        <v>3352</v>
      </c>
      <c r="C752" s="4" t="s">
        <v>6558</v>
      </c>
      <c r="D752" s="3" t="s">
        <v>224</v>
      </c>
      <c r="E752" s="3" t="s">
        <v>218</v>
      </c>
      <c r="F752" s="3"/>
      <c r="G752" s="3"/>
      <c r="H752" s="3"/>
      <c r="I752" s="3"/>
      <c r="J752" s="3" t="s">
        <v>3353</v>
      </c>
      <c r="K752" s="3"/>
      <c r="L752" s="3" t="s">
        <v>3354</v>
      </c>
      <c r="M752" s="3" t="str">
        <f>HYPERLINK("https://ceds.ed.gov/cedselementdetails.aspx?termid=5580")</f>
        <v>https://ceds.ed.gov/cedselementdetails.aspx?termid=5580</v>
      </c>
      <c r="N752" s="3" t="str">
        <f>HYPERLINK("https://ceds.ed.gov/elementComment.aspx?elementName=Internet Access &amp;elementID=5580", "Click here to submit comment")</f>
        <v>Click here to submit comment</v>
      </c>
    </row>
    <row r="753" spans="1:14" ht="60">
      <c r="A753" s="3" t="s">
        <v>3355</v>
      </c>
      <c r="B753" s="3" t="s">
        <v>3356</v>
      </c>
      <c r="C753" s="3" t="s">
        <v>13</v>
      </c>
      <c r="D753" s="3" t="s">
        <v>1471</v>
      </c>
      <c r="E753" s="3"/>
      <c r="F753" s="3"/>
      <c r="G753" s="3" t="s">
        <v>308</v>
      </c>
      <c r="H753" s="3"/>
      <c r="I753" s="3"/>
      <c r="J753" s="3" t="s">
        <v>3357</v>
      </c>
      <c r="K753" s="3"/>
      <c r="L753" s="3" t="s">
        <v>3358</v>
      </c>
      <c r="M753" s="3" t="str">
        <f>HYPERLINK("https://ceds.ed.gov/cedselementdetails.aspx?termid=5665")</f>
        <v>https://ceds.ed.gov/cedselementdetails.aspx?termid=5665</v>
      </c>
      <c r="N753" s="3" t="str">
        <f>HYPERLINK("https://ceds.ed.gov/elementComment.aspx?elementName=Interscholastic Sport Participants - Female Only &amp;elementID=5665", "Click here to submit comment")</f>
        <v>Click here to submit comment</v>
      </c>
    </row>
    <row r="754" spans="1:14" ht="60">
      <c r="A754" s="3" t="s">
        <v>3359</v>
      </c>
      <c r="B754" s="3" t="s">
        <v>3360</v>
      </c>
      <c r="C754" s="3" t="s">
        <v>13</v>
      </c>
      <c r="D754" s="3" t="s">
        <v>1471</v>
      </c>
      <c r="E754" s="3"/>
      <c r="F754" s="3"/>
      <c r="G754" s="3" t="s">
        <v>308</v>
      </c>
      <c r="H754" s="3"/>
      <c r="I754" s="3"/>
      <c r="J754" s="3" t="s">
        <v>3361</v>
      </c>
      <c r="K754" s="3"/>
      <c r="L754" s="3" t="s">
        <v>3362</v>
      </c>
      <c r="M754" s="3" t="str">
        <f>HYPERLINK("https://ceds.ed.gov/cedselementdetails.aspx?termid=5664")</f>
        <v>https://ceds.ed.gov/cedselementdetails.aspx?termid=5664</v>
      </c>
      <c r="N754" s="3" t="str">
        <f>HYPERLINK("https://ceds.ed.gov/elementComment.aspx?elementName=Interscholastic Sport Participants - Male Only &amp;elementID=5664", "Click here to submit comment")</f>
        <v>Click here to submit comment</v>
      </c>
    </row>
    <row r="755" spans="1:14" ht="90">
      <c r="A755" s="3" t="s">
        <v>3363</v>
      </c>
      <c r="B755" s="3" t="s">
        <v>3364</v>
      </c>
      <c r="C755" s="3" t="s">
        <v>13</v>
      </c>
      <c r="D755" s="3" t="s">
        <v>1471</v>
      </c>
      <c r="E755" s="3"/>
      <c r="F755" s="3"/>
      <c r="G755" s="3" t="s">
        <v>308</v>
      </c>
      <c r="H755" s="3"/>
      <c r="I755" s="3"/>
      <c r="J755" s="3" t="s">
        <v>3365</v>
      </c>
      <c r="K755" s="3"/>
      <c r="L755" s="3" t="s">
        <v>3366</v>
      </c>
      <c r="M755" s="3" t="str">
        <f>HYPERLINK("https://ceds.ed.gov/cedselementdetails.aspx?termid=5661")</f>
        <v>https://ceds.ed.gov/cedselementdetails.aspx?termid=5661</v>
      </c>
      <c r="N755" s="3" t="str">
        <f>HYPERLINK("https://ceds.ed.gov/elementComment.aspx?elementName=Interscholastic Sports - Female Only &amp;elementID=5661", "Click here to submit comment")</f>
        <v>Click here to submit comment</v>
      </c>
    </row>
    <row r="756" spans="1:14" ht="75">
      <c r="A756" s="3" t="s">
        <v>3367</v>
      </c>
      <c r="B756" s="3" t="s">
        <v>3368</v>
      </c>
      <c r="C756" s="3" t="s">
        <v>13</v>
      </c>
      <c r="D756" s="3" t="s">
        <v>1471</v>
      </c>
      <c r="E756" s="3"/>
      <c r="F756" s="3"/>
      <c r="G756" s="3" t="s">
        <v>308</v>
      </c>
      <c r="H756" s="3"/>
      <c r="I756" s="3"/>
      <c r="J756" s="3" t="s">
        <v>3369</v>
      </c>
      <c r="K756" s="3"/>
      <c r="L756" s="3" t="s">
        <v>3370</v>
      </c>
      <c r="M756" s="3" t="str">
        <f>HYPERLINK("https://ceds.ed.gov/cedselementdetails.aspx?termid=5660")</f>
        <v>https://ceds.ed.gov/cedselementdetails.aspx?termid=5660</v>
      </c>
      <c r="N756" s="3" t="str">
        <f>HYPERLINK("https://ceds.ed.gov/elementComment.aspx?elementName=Interscholastic Sports - Male Only &amp;elementID=5660", "Click here to submit comment")</f>
        <v>Click here to submit comment</v>
      </c>
    </row>
    <row r="757" spans="1:14" ht="105">
      <c r="A757" s="3" t="s">
        <v>3371</v>
      </c>
      <c r="B757" s="3" t="s">
        <v>3372</v>
      </c>
      <c r="C757" s="3" t="s">
        <v>13</v>
      </c>
      <c r="D757" s="3" t="s">
        <v>1471</v>
      </c>
      <c r="E757" s="3"/>
      <c r="F757" s="3"/>
      <c r="G757" s="3" t="s">
        <v>308</v>
      </c>
      <c r="H757" s="3"/>
      <c r="I757" s="3"/>
      <c r="J757" s="3" t="s">
        <v>3373</v>
      </c>
      <c r="K757" s="3"/>
      <c r="L757" s="3" t="s">
        <v>3374</v>
      </c>
      <c r="M757" s="3" t="str">
        <f>HYPERLINK("https://ceds.ed.gov/cedselementdetails.aspx?termid=5663")</f>
        <v>https://ceds.ed.gov/cedselementdetails.aspx?termid=5663</v>
      </c>
      <c r="N757" s="3" t="str">
        <f>HYPERLINK("https://ceds.ed.gov/elementComment.aspx?elementName=Interscholastic Teams - Female Only &amp;elementID=5663", "Click here to submit comment")</f>
        <v>Click here to submit comment</v>
      </c>
    </row>
    <row r="758" spans="1:14" ht="105">
      <c r="A758" s="3" t="s">
        <v>3375</v>
      </c>
      <c r="B758" s="3" t="s">
        <v>3376</v>
      </c>
      <c r="C758" s="3" t="s">
        <v>13</v>
      </c>
      <c r="D758" s="3" t="s">
        <v>1471</v>
      </c>
      <c r="E758" s="3"/>
      <c r="F758" s="3"/>
      <c r="G758" s="3" t="s">
        <v>308</v>
      </c>
      <c r="H758" s="3"/>
      <c r="I758" s="3"/>
      <c r="J758" s="3" t="s">
        <v>3377</v>
      </c>
      <c r="K758" s="3"/>
      <c r="L758" s="3" t="s">
        <v>3378</v>
      </c>
      <c r="M758" s="3" t="str">
        <f>HYPERLINK("https://ceds.ed.gov/cedselementdetails.aspx?termid=5662")</f>
        <v>https://ceds.ed.gov/cedselementdetails.aspx?termid=5662</v>
      </c>
      <c r="N758" s="3" t="str">
        <f>HYPERLINK("https://ceds.ed.gov/elementComment.aspx?elementName=Interscholastic Teams - Male Only &amp;elementID=5662", "Click here to submit comment")</f>
        <v>Click here to submit comment</v>
      </c>
    </row>
    <row r="759" spans="1:14" ht="390">
      <c r="A759" s="3" t="s">
        <v>3379</v>
      </c>
      <c r="B759" s="3" t="s">
        <v>3380</v>
      </c>
      <c r="C759" s="4" t="s">
        <v>6559</v>
      </c>
      <c r="D759" s="3" t="s">
        <v>35</v>
      </c>
      <c r="E759" s="3" t="s">
        <v>36</v>
      </c>
      <c r="F759" s="3"/>
      <c r="G759" s="3"/>
      <c r="H759" s="3"/>
      <c r="I759" s="3" t="s">
        <v>3381</v>
      </c>
      <c r="J759" s="3" t="s">
        <v>3382</v>
      </c>
      <c r="K759" s="3"/>
      <c r="L759" s="3" t="s">
        <v>3383</v>
      </c>
      <c r="M759" s="3" t="str">
        <f>HYPERLINK("https://ceds.ed.gov/cedselementdetails.aspx?termid=5708")</f>
        <v>https://ceds.ed.gov/cedselementdetails.aspx?termid=5708</v>
      </c>
      <c r="N759" s="3" t="str">
        <f>HYPERLINK("https://ceds.ed.gov/elementComment.aspx?elementName=IPEDS Occupational Category &amp;elementID=5708", "Click here to submit comment")</f>
        <v>Click here to submit comment</v>
      </c>
    </row>
    <row r="760" spans="1:14" ht="45">
      <c r="A760" s="3" t="s">
        <v>3384</v>
      </c>
      <c r="B760" s="3" t="s">
        <v>3385</v>
      </c>
      <c r="C760" s="3" t="s">
        <v>5963</v>
      </c>
      <c r="D760" s="3" t="s">
        <v>3012</v>
      </c>
      <c r="E760" s="3"/>
      <c r="F760" s="3" t="s">
        <v>54</v>
      </c>
      <c r="G760" s="3"/>
      <c r="H760" s="3"/>
      <c r="I760" s="3"/>
      <c r="J760" s="3" t="s">
        <v>3386</v>
      </c>
      <c r="K760" s="3"/>
      <c r="L760" s="3" t="s">
        <v>3387</v>
      </c>
      <c r="M760" s="3" t="str">
        <f>HYPERLINK("https://ceds.ed.gov/cedselementdetails.aspx?termid=6353")</f>
        <v>https://ceds.ed.gov/cedselementdetails.aspx?termid=6353</v>
      </c>
      <c r="N760" s="3" t="str">
        <f>HYPERLINK("https://ceds.ed.gov/elementComment.aspx?elementName=Itinerant Provider &amp;elementID=6353", "Click here to submit comment")</f>
        <v>Click here to submit comment</v>
      </c>
    </row>
    <row r="761" spans="1:14" ht="45">
      <c r="A761" s="3" t="s">
        <v>3388</v>
      </c>
      <c r="B761" s="3" t="s">
        <v>3389</v>
      </c>
      <c r="C761" s="3" t="s">
        <v>5963</v>
      </c>
      <c r="D761" s="3" t="s">
        <v>1723</v>
      </c>
      <c r="E761" s="3"/>
      <c r="F761" s="3"/>
      <c r="G761" s="3"/>
      <c r="H761" s="3"/>
      <c r="I761" s="3"/>
      <c r="J761" s="3" t="s">
        <v>3390</v>
      </c>
      <c r="K761" s="3"/>
      <c r="L761" s="3" t="s">
        <v>3391</v>
      </c>
      <c r="M761" s="3" t="str">
        <f>HYPERLINK("https://ceds.ed.gov/cedselementdetails.aspx?termid=5519")</f>
        <v>https://ceds.ed.gov/cedselementdetails.aspx?termid=5519</v>
      </c>
      <c r="N761" s="3" t="str">
        <f>HYPERLINK("https://ceds.ed.gov/elementComment.aspx?elementName=Itinerant Teacher &amp;elementID=5519", "Click here to submit comment")</f>
        <v>Click here to submit comment</v>
      </c>
    </row>
    <row r="762" spans="1:14" ht="75">
      <c r="A762" s="3" t="s">
        <v>3392</v>
      </c>
      <c r="B762" s="3" t="s">
        <v>3393</v>
      </c>
      <c r="C762" s="4" t="s">
        <v>6560</v>
      </c>
      <c r="D762" s="3" t="s">
        <v>3394</v>
      </c>
      <c r="E762" s="3"/>
      <c r="F762" s="3" t="s">
        <v>54</v>
      </c>
      <c r="G762" s="3"/>
      <c r="H762" s="3"/>
      <c r="I762" s="3"/>
      <c r="J762" s="3" t="s">
        <v>3395</v>
      </c>
      <c r="K762" s="3"/>
      <c r="L762" s="3" t="s">
        <v>3396</v>
      </c>
      <c r="M762" s="3" t="str">
        <f>HYPERLINK("https://ceds.ed.gov/cedselementdetails.aspx?termid=6355")</f>
        <v>https://ceds.ed.gov/cedselementdetails.aspx?termid=6355</v>
      </c>
      <c r="N762" s="3" t="str">
        <f>HYPERLINK("https://ceds.ed.gov/elementComment.aspx?elementName=K12 End of Course Requirement &amp;elementID=6355", "Click here to submit comment")</f>
        <v>Click here to submit comment</v>
      </c>
    </row>
    <row r="763" spans="1:14" ht="60">
      <c r="A763" s="3" t="s">
        <v>3397</v>
      </c>
      <c r="B763" s="3" t="s">
        <v>3398</v>
      </c>
      <c r="C763" s="4" t="s">
        <v>6561</v>
      </c>
      <c r="D763" s="3" t="s">
        <v>3399</v>
      </c>
      <c r="E763" s="3" t="s">
        <v>2</v>
      </c>
      <c r="F763" s="3"/>
      <c r="G763" s="3"/>
      <c r="H763" s="3"/>
      <c r="I763" s="3"/>
      <c r="J763" s="3" t="s">
        <v>3400</v>
      </c>
      <c r="K763" s="3"/>
      <c r="L763" s="3" t="s">
        <v>3401</v>
      </c>
      <c r="M763" s="3" t="str">
        <f>HYPERLINK("https://ceds.ed.gov/cedselementdetails.aspx?termid=5482")</f>
        <v>https://ceds.ed.gov/cedselementdetails.aspx?termid=5482</v>
      </c>
      <c r="N763" s="3" t="str">
        <f>HYPERLINK("https://ceds.ed.gov/elementComment.aspx?elementName=Kindergarten Daily Length &amp;elementID=5482", "Click here to submit comment")</f>
        <v>Click here to submit comment</v>
      </c>
    </row>
    <row r="764" spans="1:14" ht="105">
      <c r="A764" s="3" t="s">
        <v>3402</v>
      </c>
      <c r="B764" s="3" t="s">
        <v>3403</v>
      </c>
      <c r="C764" s="4" t="s">
        <v>6562</v>
      </c>
      <c r="D764" s="3" t="s">
        <v>154</v>
      </c>
      <c r="E764" s="3"/>
      <c r="F764" s="3"/>
      <c r="G764" s="3"/>
      <c r="H764" s="3"/>
      <c r="I764" s="3"/>
      <c r="J764" s="3" t="s">
        <v>3404</v>
      </c>
      <c r="K764" s="3"/>
      <c r="L764" s="3" t="s">
        <v>3405</v>
      </c>
      <c r="M764" s="3" t="str">
        <f>HYPERLINK("https://ceds.ed.gov/cedselementdetails.aspx?termid=5690")</f>
        <v>https://ceds.ed.gov/cedselementdetails.aspx?termid=5690</v>
      </c>
      <c r="N764" s="3" t="str">
        <f>HYPERLINK("https://ceds.ed.gov/elementComment.aspx?elementName=Kindergarten Program Participation Type &amp;elementID=5690", "Click here to submit comment")</f>
        <v>Click here to submit comment</v>
      </c>
    </row>
    <row r="765" spans="1:14" ht="210">
      <c r="A765" s="3" t="s">
        <v>3406</v>
      </c>
      <c r="B765" s="3" t="s">
        <v>3407</v>
      </c>
      <c r="C765" s="5" t="s">
        <v>939</v>
      </c>
      <c r="D765" s="3" t="s">
        <v>6213</v>
      </c>
      <c r="E765" s="3" t="s">
        <v>6214</v>
      </c>
      <c r="F765" s="3" t="s">
        <v>66</v>
      </c>
      <c r="G765" s="3"/>
      <c r="H765" s="3" t="s">
        <v>2645</v>
      </c>
      <c r="I765" s="3" t="s">
        <v>3408</v>
      </c>
      <c r="J765" s="3" t="s">
        <v>3409</v>
      </c>
      <c r="K765" s="3"/>
      <c r="L765" s="3" t="s">
        <v>3410</v>
      </c>
      <c r="M765" s="3" t="str">
        <f>HYPERLINK("https://ceds.ed.gov/cedselementdetails.aspx?termid=5317")</f>
        <v>https://ceds.ed.gov/cedselementdetails.aspx?termid=5317</v>
      </c>
      <c r="N765" s="3" t="str">
        <f>HYPERLINK("https://ceds.ed.gov/elementComment.aspx?elementName=Language Code &amp;elementID=5317", "Click here to submit comment")</f>
        <v>Click here to submit comment</v>
      </c>
    </row>
    <row r="766" spans="1:14" ht="45">
      <c r="A766" s="3" t="s">
        <v>3411</v>
      </c>
      <c r="B766" s="3" t="s">
        <v>3412</v>
      </c>
      <c r="C766" s="5" t="s">
        <v>939</v>
      </c>
      <c r="D766" s="3"/>
      <c r="E766" s="3"/>
      <c r="F766" s="3" t="s">
        <v>54</v>
      </c>
      <c r="G766" s="3"/>
      <c r="H766" s="3"/>
      <c r="I766" s="3"/>
      <c r="J766" s="3" t="s">
        <v>3413</v>
      </c>
      <c r="K766" s="3"/>
      <c r="L766" s="3" t="s">
        <v>3414</v>
      </c>
      <c r="M766" s="3" t="str">
        <f>HYPERLINK("https://ceds.ed.gov/cedselementdetails.aspx?termid=6357")</f>
        <v>https://ceds.ed.gov/cedselementdetails.aspx?termid=6357</v>
      </c>
      <c r="N766" s="3" t="str">
        <f>HYPERLINK("https://ceds.ed.gov/elementComment.aspx?elementName=Language of Session &amp;elementID=6357", "Click here to submit comment")</f>
        <v>Click here to submit comment</v>
      </c>
    </row>
    <row r="767" spans="1:14" ht="75">
      <c r="A767" s="3" t="s">
        <v>3415</v>
      </c>
      <c r="B767" s="3" t="s">
        <v>3416</v>
      </c>
      <c r="C767" s="3" t="s">
        <v>5963</v>
      </c>
      <c r="D767" s="3" t="s">
        <v>6215</v>
      </c>
      <c r="E767" s="3"/>
      <c r="F767" s="3"/>
      <c r="G767" s="3"/>
      <c r="H767" s="3"/>
      <c r="I767" s="3"/>
      <c r="J767" s="3" t="s">
        <v>3417</v>
      </c>
      <c r="K767" s="3"/>
      <c r="L767" s="3" t="s">
        <v>3418</v>
      </c>
      <c r="M767" s="3" t="str">
        <f>HYPERLINK("https://ceds.ed.gov/cedselementdetails.aspx?termid=6190")</f>
        <v>https://ceds.ed.gov/cedselementdetails.aspx?termid=6190</v>
      </c>
      <c r="N767" s="3" t="str">
        <f>HYPERLINK("https://ceds.ed.gov/elementComment.aspx?elementName=Language Translation Policy &amp;elementID=6190", "Click here to submit comment")</f>
        <v>Click here to submit comment</v>
      </c>
    </row>
    <row r="768" spans="1:14" ht="135">
      <c r="A768" s="3" t="s">
        <v>3419</v>
      </c>
      <c r="B768" s="3" t="s">
        <v>3420</v>
      </c>
      <c r="C768" s="4" t="s">
        <v>6563</v>
      </c>
      <c r="D768" s="3" t="s">
        <v>6216</v>
      </c>
      <c r="E768" s="3" t="s">
        <v>6214</v>
      </c>
      <c r="F768" s="3"/>
      <c r="G768" s="3"/>
      <c r="H768" s="3"/>
      <c r="I768" s="3"/>
      <c r="J768" s="3" t="s">
        <v>3421</v>
      </c>
      <c r="K768" s="3"/>
      <c r="L768" s="3" t="s">
        <v>3422</v>
      </c>
      <c r="M768" s="3" t="str">
        <f>HYPERLINK("https://ceds.ed.gov/cedselementdetails.aspx?termid=5316")</f>
        <v>https://ceds.ed.gov/cedselementdetails.aspx?termid=5316</v>
      </c>
      <c r="N768" s="3" t="str">
        <f>HYPERLINK("https://ceds.ed.gov/elementComment.aspx?elementName=Language Type &amp;elementID=5316", "Click here to submit comment")</f>
        <v>Click here to submit comment</v>
      </c>
    </row>
    <row r="769" spans="1:14" ht="105">
      <c r="A769" s="3" t="s">
        <v>3423</v>
      </c>
      <c r="B769" s="3" t="s">
        <v>3424</v>
      </c>
      <c r="C769" s="3" t="s">
        <v>13</v>
      </c>
      <c r="D769" s="3" t="s">
        <v>2116</v>
      </c>
      <c r="E769" s="3"/>
      <c r="F769" s="3"/>
      <c r="G769" s="3" t="s">
        <v>73</v>
      </c>
      <c r="H769" s="3"/>
      <c r="I769" s="3"/>
      <c r="J769" s="3" t="s">
        <v>3425</v>
      </c>
      <c r="K769" s="3"/>
      <c r="L769" s="3" t="s">
        <v>3426</v>
      </c>
      <c r="M769" s="3" t="str">
        <f>HYPERLINK("https://ceds.ed.gov/cedselementdetails.aspx?termid=5489")</f>
        <v>https://ceds.ed.gov/cedselementdetails.aspx?termid=5489</v>
      </c>
      <c r="N769" s="3" t="str">
        <f>HYPERLINK("https://ceds.ed.gov/elementComment.aspx?elementName=Last Instruction Date &amp;elementID=5489", "Click here to submit comment")</f>
        <v>Click here to submit comment</v>
      </c>
    </row>
    <row r="770" spans="1:14" ht="409.5">
      <c r="A770" s="3" t="s">
        <v>3427</v>
      </c>
      <c r="B770" s="3" t="s">
        <v>3428</v>
      </c>
      <c r="C770" s="3" t="s">
        <v>13</v>
      </c>
      <c r="D770" s="3" t="s">
        <v>6217</v>
      </c>
      <c r="E770" s="3" t="s">
        <v>6176</v>
      </c>
      <c r="F770" s="3" t="s">
        <v>3</v>
      </c>
      <c r="G770" s="3" t="s">
        <v>1368</v>
      </c>
      <c r="H770" s="3"/>
      <c r="I770" s="3" t="s">
        <v>2778</v>
      </c>
      <c r="J770" s="3" t="s">
        <v>3429</v>
      </c>
      <c r="K770" s="3" t="s">
        <v>3430</v>
      </c>
      <c r="L770" s="3" t="s">
        <v>3431</v>
      </c>
      <c r="M770" s="3" t="str">
        <f>HYPERLINK("https://ceds.ed.gov/cedselementdetails.aspx?termid=5172")</f>
        <v>https://ceds.ed.gov/cedselementdetails.aspx?termid=5172</v>
      </c>
      <c r="N770" s="3" t="str">
        <f>HYPERLINK("https://ceds.ed.gov/elementComment.aspx?elementName=Last or Surname &amp;elementID=5172", "Click here to submit comment")</f>
        <v>Click here to submit comment</v>
      </c>
    </row>
    <row r="771" spans="1:14" ht="30">
      <c r="A771" s="3" t="s">
        <v>3432</v>
      </c>
      <c r="B771" s="3" t="s">
        <v>3433</v>
      </c>
      <c r="C771" s="3" t="s">
        <v>13</v>
      </c>
      <c r="D771" s="3" t="s">
        <v>1479</v>
      </c>
      <c r="E771" s="3" t="s">
        <v>218</v>
      </c>
      <c r="F771" s="3"/>
      <c r="G771" s="3" t="s">
        <v>73</v>
      </c>
      <c r="H771" s="3"/>
      <c r="I771" s="3"/>
      <c r="J771" s="3" t="s">
        <v>3434</v>
      </c>
      <c r="K771" s="3"/>
      <c r="L771" s="3" t="s">
        <v>3435</v>
      </c>
      <c r="M771" s="3" t="str">
        <f>HYPERLINK("https://ceds.ed.gov/cedselementdetails.aspx?termid=5171")</f>
        <v>https://ceds.ed.gov/cedselementdetails.aspx?termid=5171</v>
      </c>
      <c r="N771" s="3" t="str">
        <f>HYPERLINK("https://ceds.ed.gov/elementComment.aspx?elementName=Last Qualifying Move Date &amp;elementID=5171", "Click here to submit comment")</f>
        <v>Click here to submit comment</v>
      </c>
    </row>
    <row r="772" spans="1:14" ht="75">
      <c r="A772" s="3" t="s">
        <v>3436</v>
      </c>
      <c r="B772" s="3" t="s">
        <v>3437</v>
      </c>
      <c r="C772" s="3" t="s">
        <v>13</v>
      </c>
      <c r="D772" s="3" t="s">
        <v>6218</v>
      </c>
      <c r="E772" s="3"/>
      <c r="F772" s="3"/>
      <c r="G772" s="3" t="s">
        <v>1127</v>
      </c>
      <c r="H772" s="3"/>
      <c r="I772" s="3"/>
      <c r="J772" s="3" t="s">
        <v>3438</v>
      </c>
      <c r="K772" s="3"/>
      <c r="L772" s="3" t="s">
        <v>3436</v>
      </c>
      <c r="M772" s="3" t="str">
        <f>HYPERLINK("https://ceds.ed.gov/cedselementdetails.aspx?termid=5599")</f>
        <v>https://ceds.ed.gov/cedselementdetails.aspx?termid=5599</v>
      </c>
      <c r="N772" s="3" t="str">
        <f>HYPERLINK("https://ceds.ed.gov/elementComment.aspx?elementName=Latitude &amp;elementID=5599", "Click here to submit comment")</f>
        <v>Click here to submit comment</v>
      </c>
    </row>
    <row r="773" spans="1:14" ht="45">
      <c r="A773" s="3" t="s">
        <v>3439</v>
      </c>
      <c r="B773" s="3" t="s">
        <v>3440</v>
      </c>
      <c r="C773" s="3" t="s">
        <v>13</v>
      </c>
      <c r="D773" s="3" t="s">
        <v>6219</v>
      </c>
      <c r="E773" s="3"/>
      <c r="F773" s="3"/>
      <c r="G773" s="3" t="s">
        <v>73</v>
      </c>
      <c r="H773" s="3"/>
      <c r="I773" s="3"/>
      <c r="J773" s="3" t="s">
        <v>3441</v>
      </c>
      <c r="K773" s="3"/>
      <c r="L773" s="3" t="s">
        <v>3442</v>
      </c>
      <c r="M773" s="3" t="str">
        <f>HYPERLINK("https://ceds.ed.gov/cedselementdetails.aspx?termid=5938")</f>
        <v>https://ceds.ed.gov/cedselementdetails.aspx?termid=5938</v>
      </c>
      <c r="N773" s="3" t="str">
        <f>HYPERLINK("https://ceds.ed.gov/elementComment.aspx?elementName=Learner Action Date &amp;elementID=5938", "Click here to submit comment")</f>
        <v>Click here to submit comment</v>
      </c>
    </row>
    <row r="774" spans="1:14" ht="45">
      <c r="A774" s="3" t="s">
        <v>3443</v>
      </c>
      <c r="B774" s="3" t="s">
        <v>3444</v>
      </c>
      <c r="C774" s="3" t="s">
        <v>13</v>
      </c>
      <c r="D774" s="3" t="s">
        <v>6219</v>
      </c>
      <c r="E774" s="3"/>
      <c r="F774" s="3"/>
      <c r="G774" s="3" t="s">
        <v>3445</v>
      </c>
      <c r="H774" s="3"/>
      <c r="I774" s="3"/>
      <c r="J774" s="3" t="s">
        <v>3446</v>
      </c>
      <c r="K774" s="3"/>
      <c r="L774" s="3" t="s">
        <v>3447</v>
      </c>
      <c r="M774" s="3" t="str">
        <f>HYPERLINK("https://ceds.ed.gov/cedselementdetails.aspx?termid=5937")</f>
        <v>https://ceds.ed.gov/cedselementdetails.aspx?termid=5937</v>
      </c>
      <c r="N774" s="3" t="str">
        <f>HYPERLINK("https://ceds.ed.gov/elementComment.aspx?elementName=Learner Action Time &amp;elementID=5937", "Click here to submit comment")</f>
        <v>Click here to submit comment</v>
      </c>
    </row>
    <row r="775" spans="1:14" ht="135">
      <c r="A775" s="3" t="s">
        <v>3448</v>
      </c>
      <c r="B775" s="3" t="s">
        <v>3449</v>
      </c>
      <c r="C775" s="4" t="s">
        <v>6564</v>
      </c>
      <c r="D775" s="3" t="s">
        <v>6219</v>
      </c>
      <c r="E775" s="3"/>
      <c r="F775" s="3"/>
      <c r="G775" s="3"/>
      <c r="H775" s="3"/>
      <c r="I775" s="3"/>
      <c r="J775" s="3" t="s">
        <v>3450</v>
      </c>
      <c r="K775" s="3"/>
      <c r="L775" s="3" t="s">
        <v>3451</v>
      </c>
      <c r="M775" s="3" t="str">
        <f>HYPERLINK("https://ceds.ed.gov/cedselementdetails.aspx?termid=5935")</f>
        <v>https://ceds.ed.gov/cedselementdetails.aspx?termid=5935</v>
      </c>
      <c r="N775" s="3" t="str">
        <f>HYPERLINK("https://ceds.ed.gov/elementComment.aspx?elementName=Learner Action Type &amp;elementID=5935", "Click here to submit comment")</f>
        <v>Click here to submit comment</v>
      </c>
    </row>
    <row r="776" spans="1:14" ht="75">
      <c r="A776" s="3" t="s">
        <v>3452</v>
      </c>
      <c r="B776" s="3" t="s">
        <v>3453</v>
      </c>
      <c r="C776" s="3" t="s">
        <v>13</v>
      </c>
      <c r="D776" s="3" t="s">
        <v>6219</v>
      </c>
      <c r="E776" s="3"/>
      <c r="F776" s="3"/>
      <c r="G776" s="3" t="s">
        <v>319</v>
      </c>
      <c r="H776" s="3"/>
      <c r="I776" s="3"/>
      <c r="J776" s="3" t="s">
        <v>3454</v>
      </c>
      <c r="K776" s="3"/>
      <c r="L776" s="3" t="s">
        <v>3455</v>
      </c>
      <c r="M776" s="3" t="str">
        <f>HYPERLINK("https://ceds.ed.gov/cedselementdetails.aspx?termid=5936")</f>
        <v>https://ceds.ed.gov/cedselementdetails.aspx?termid=5936</v>
      </c>
      <c r="N776" s="3" t="str">
        <f>HYPERLINK("https://ceds.ed.gov/elementComment.aspx?elementName=Learner Action Value &amp;elementID=5936", "Click here to submit comment")</f>
        <v>Click here to submit comment</v>
      </c>
    </row>
    <row r="777" spans="1:14" ht="60">
      <c r="A777" s="3" t="s">
        <v>3456</v>
      </c>
      <c r="B777" s="3" t="s">
        <v>3457</v>
      </c>
      <c r="C777" s="4" t="s">
        <v>6373</v>
      </c>
      <c r="D777" s="3" t="s">
        <v>6220</v>
      </c>
      <c r="E777" s="3"/>
      <c r="F777" s="3"/>
      <c r="G777" s="3"/>
      <c r="H777" s="3"/>
      <c r="I777" s="3"/>
      <c r="J777" s="3" t="s">
        <v>3458</v>
      </c>
      <c r="K777" s="3"/>
      <c r="L777" s="3" t="s">
        <v>3459</v>
      </c>
      <c r="M777" s="3" t="str">
        <f>HYPERLINK("https://ceds.ed.gov/cedselementdetails.aspx?termid=5950")</f>
        <v>https://ceds.ed.gov/cedselementdetails.aspx?termid=5950</v>
      </c>
      <c r="N777" s="3" t="str">
        <f>HYPERLINK("https://ceds.ed.gov/elementComment.aspx?elementName=Learner Activity Add To Grade Book Flag &amp;elementID=5950", "Click here to submit comment")</f>
        <v>Click here to submit comment</v>
      </c>
    </row>
    <row r="778" spans="1:14" ht="45">
      <c r="A778" s="3" t="s">
        <v>3460</v>
      </c>
      <c r="B778" s="3" t="s">
        <v>3461</v>
      </c>
      <c r="C778" s="3" t="s">
        <v>13</v>
      </c>
      <c r="D778" s="3" t="s">
        <v>6220</v>
      </c>
      <c r="E778" s="3"/>
      <c r="F778" s="3"/>
      <c r="G778" s="3" t="s">
        <v>73</v>
      </c>
      <c r="H778" s="3"/>
      <c r="I778" s="3"/>
      <c r="J778" s="3" t="s">
        <v>3462</v>
      </c>
      <c r="K778" s="3"/>
      <c r="L778" s="3" t="s">
        <v>3463</v>
      </c>
      <c r="M778" s="3" t="str">
        <f>HYPERLINK("https://ceds.ed.gov/cedselementdetails.aspx?termid=5944")</f>
        <v>https://ceds.ed.gov/cedselementdetails.aspx?termid=5944</v>
      </c>
      <c r="N778" s="3" t="str">
        <f>HYPERLINK("https://ceds.ed.gov/elementComment.aspx?elementName=Learner Activity Creation Date &amp;elementID=5944", "Click here to submit comment")</f>
        <v>Click here to submit comment</v>
      </c>
    </row>
    <row r="779" spans="1:14" ht="45">
      <c r="A779" s="3" t="s">
        <v>3464</v>
      </c>
      <c r="B779" s="3" t="s">
        <v>3465</v>
      </c>
      <c r="C779" s="3" t="s">
        <v>13</v>
      </c>
      <c r="D779" s="3" t="s">
        <v>6220</v>
      </c>
      <c r="E779" s="3"/>
      <c r="F779" s="3"/>
      <c r="G779" s="3" t="s">
        <v>93</v>
      </c>
      <c r="H779" s="3"/>
      <c r="I779" s="3"/>
      <c r="J779" s="3" t="s">
        <v>3466</v>
      </c>
      <c r="K779" s="3"/>
      <c r="L779" s="3" t="s">
        <v>3467</v>
      </c>
      <c r="M779" s="3" t="str">
        <f>HYPERLINK("https://ceds.ed.gov/cedselementdetails.aspx?termid=5941")</f>
        <v>https://ceds.ed.gov/cedselementdetails.aspx?termid=5941</v>
      </c>
      <c r="N779" s="3" t="str">
        <f>HYPERLINK("https://ceds.ed.gov/elementComment.aspx?elementName=Learner Activity Description &amp;elementID=5941", "Click here to submit comment")</f>
        <v>Click here to submit comment</v>
      </c>
    </row>
    <row r="780" spans="1:14" ht="45">
      <c r="A780" s="3" t="s">
        <v>3468</v>
      </c>
      <c r="B780" s="3" t="s">
        <v>3469</v>
      </c>
      <c r="C780" s="3" t="s">
        <v>13</v>
      </c>
      <c r="D780" s="3" t="s">
        <v>6220</v>
      </c>
      <c r="E780" s="3"/>
      <c r="F780" s="3"/>
      <c r="G780" s="3" t="s">
        <v>73</v>
      </c>
      <c r="H780" s="3"/>
      <c r="I780" s="3"/>
      <c r="J780" s="3" t="s">
        <v>3470</v>
      </c>
      <c r="K780" s="3"/>
      <c r="L780" s="3" t="s">
        <v>3471</v>
      </c>
      <c r="M780" s="3" t="str">
        <f>HYPERLINK("https://ceds.ed.gov/cedselementdetails.aspx?termid=5947")</f>
        <v>https://ceds.ed.gov/cedselementdetails.aspx?termid=5947</v>
      </c>
      <c r="N780" s="3" t="str">
        <f>HYPERLINK("https://ceds.ed.gov/elementComment.aspx?elementName=Learner Activity Due Date &amp;elementID=5947", "Click here to submit comment")</f>
        <v>Click here to submit comment</v>
      </c>
    </row>
    <row r="781" spans="1:14" ht="45">
      <c r="A781" s="3" t="s">
        <v>3472</v>
      </c>
      <c r="B781" s="3" t="s">
        <v>3473</v>
      </c>
      <c r="C781" s="3" t="s">
        <v>13</v>
      </c>
      <c r="D781" s="3" t="s">
        <v>6220</v>
      </c>
      <c r="E781" s="3"/>
      <c r="F781" s="3"/>
      <c r="G781" s="3" t="s">
        <v>426</v>
      </c>
      <c r="H781" s="3"/>
      <c r="I781" s="3"/>
      <c r="J781" s="3" t="s">
        <v>3474</v>
      </c>
      <c r="K781" s="3"/>
      <c r="L781" s="3" t="s">
        <v>3475</v>
      </c>
      <c r="M781" s="3" t="str">
        <f>HYPERLINK("https://ceds.ed.gov/cedselementdetails.aspx?termid=5948")</f>
        <v>https://ceds.ed.gov/cedselementdetails.aspx?termid=5948</v>
      </c>
      <c r="N781" s="3" t="str">
        <f>HYPERLINK("https://ceds.ed.gov/elementComment.aspx?elementName=Learner Activity Due Time &amp;elementID=5948", "Click here to submit comment")</f>
        <v>Click here to submit comment</v>
      </c>
    </row>
    <row r="782" spans="1:14" ht="75">
      <c r="A782" s="3" t="s">
        <v>3476</v>
      </c>
      <c r="B782" s="3" t="s">
        <v>3477</v>
      </c>
      <c r="C782" s="5" t="s">
        <v>939</v>
      </c>
      <c r="D782" s="3" t="s">
        <v>6220</v>
      </c>
      <c r="E782" s="3"/>
      <c r="F782" s="3"/>
      <c r="G782" s="3"/>
      <c r="H782" s="3"/>
      <c r="I782" s="3" t="s">
        <v>3478</v>
      </c>
      <c r="J782" s="3" t="s">
        <v>3479</v>
      </c>
      <c r="K782" s="3"/>
      <c r="L782" s="3" t="s">
        <v>3480</v>
      </c>
      <c r="M782" s="3" t="str">
        <f>HYPERLINK("https://ceds.ed.gov/cedselementdetails.aspx?termid=5939")</f>
        <v>https://ceds.ed.gov/cedselementdetails.aspx?termid=5939</v>
      </c>
      <c r="N782" s="3" t="str">
        <f>HYPERLINK("https://ceds.ed.gov/elementComment.aspx?elementName=Learner Activity Language &amp;elementID=5939", "Click here to submit comment")</f>
        <v>Click here to submit comment</v>
      </c>
    </row>
    <row r="783" spans="1:14" ht="45">
      <c r="A783" s="3" t="s">
        <v>3481</v>
      </c>
      <c r="B783" s="3" t="s">
        <v>3482</v>
      </c>
      <c r="C783" s="3" t="s">
        <v>13</v>
      </c>
      <c r="D783" s="3" t="s">
        <v>6220</v>
      </c>
      <c r="E783" s="3"/>
      <c r="F783" s="3"/>
      <c r="G783" s="3" t="s">
        <v>308</v>
      </c>
      <c r="H783" s="3"/>
      <c r="I783" s="3"/>
      <c r="J783" s="3" t="s">
        <v>3483</v>
      </c>
      <c r="K783" s="3"/>
      <c r="L783" s="3" t="s">
        <v>3484</v>
      </c>
      <c r="M783" s="3" t="str">
        <f>HYPERLINK("https://ceds.ed.gov/cedselementdetails.aspx?termid=5949")</f>
        <v>https://ceds.ed.gov/cedselementdetails.aspx?termid=5949</v>
      </c>
      <c r="N783" s="3" t="str">
        <f>HYPERLINK("https://ceds.ed.gov/elementComment.aspx?elementName=Learner Activity Maximum Attempts Allowed &amp;elementID=5949", "Click here to submit comment")</f>
        <v>Click here to submit comment</v>
      </c>
    </row>
    <row r="784" spans="1:14" ht="45">
      <c r="A784" s="3" t="s">
        <v>3485</v>
      </c>
      <c r="B784" s="3" t="s">
        <v>3486</v>
      </c>
      <c r="C784" s="3" t="s">
        <v>13</v>
      </c>
      <c r="D784" s="3" t="s">
        <v>6220</v>
      </c>
      <c r="E784" s="3"/>
      <c r="F784" s="3"/>
      <c r="G784" s="3" t="s">
        <v>308</v>
      </c>
      <c r="H784" s="3"/>
      <c r="I784" s="3" t="s">
        <v>3487</v>
      </c>
      <c r="J784" s="3" t="s">
        <v>3488</v>
      </c>
      <c r="K784" s="3"/>
      <c r="L784" s="3" t="s">
        <v>3489</v>
      </c>
      <c r="M784" s="3" t="str">
        <f>HYPERLINK("https://ceds.ed.gov/cedselementdetails.aspx?termid=5945")</f>
        <v>https://ceds.ed.gov/cedselementdetails.aspx?termid=5945</v>
      </c>
      <c r="N784" s="3" t="str">
        <f>HYPERLINK("https://ceds.ed.gov/elementComment.aspx?elementName=Learner Activity Maximum Time Allowed &amp;elementID=5945", "Click here to submit comment")</f>
        <v>Click here to submit comment</v>
      </c>
    </row>
    <row r="785" spans="1:14" ht="90">
      <c r="A785" s="3" t="s">
        <v>3490</v>
      </c>
      <c r="B785" s="3" t="s">
        <v>3491</v>
      </c>
      <c r="C785" s="3" t="s">
        <v>6221</v>
      </c>
      <c r="D785" s="3" t="s">
        <v>6220</v>
      </c>
      <c r="E785" s="3"/>
      <c r="F785" s="3"/>
      <c r="G785" s="3"/>
      <c r="H785" s="3"/>
      <c r="I785" s="3"/>
      <c r="J785" s="3" t="s">
        <v>3492</v>
      </c>
      <c r="K785" s="3"/>
      <c r="L785" s="3" t="s">
        <v>3493</v>
      </c>
      <c r="M785" s="3" t="str">
        <f>HYPERLINK("https://ceds.ed.gov/cedselementdetails.aspx?termid=5946")</f>
        <v>https://ceds.ed.gov/cedselementdetails.aspx?termid=5946</v>
      </c>
      <c r="N785" s="3" t="str">
        <f>HYPERLINK("https://ceds.ed.gov/elementComment.aspx?elementName=Learner Activity Maximum Time Allowed Unit &amp;elementID=5946", "Click here to submit comment")</f>
        <v>Click here to submit comment</v>
      </c>
    </row>
    <row r="786" spans="1:14" ht="45">
      <c r="A786" s="3" t="s">
        <v>3494</v>
      </c>
      <c r="B786" s="3" t="s">
        <v>3495</v>
      </c>
      <c r="C786" s="3" t="s">
        <v>13</v>
      </c>
      <c r="D786" s="3" t="s">
        <v>6220</v>
      </c>
      <c r="E786" s="3"/>
      <c r="F786" s="3"/>
      <c r="G786" s="3" t="s">
        <v>3496</v>
      </c>
      <c r="H786" s="3"/>
      <c r="I786" s="3"/>
      <c r="J786" s="3" t="s">
        <v>3497</v>
      </c>
      <c r="K786" s="3"/>
      <c r="L786" s="3" t="s">
        <v>3498</v>
      </c>
      <c r="M786" s="3" t="str">
        <f>HYPERLINK("https://ceds.ed.gov/cedselementdetails.aspx?termid=5953")</f>
        <v>https://ceds.ed.gov/cedselementdetails.aspx?termid=5953</v>
      </c>
      <c r="N786" s="3" t="str">
        <f>HYPERLINK("https://ceds.ed.gov/elementComment.aspx?elementName=Learner Activity Possible Points &amp;elementID=5953", "Click here to submit comment")</f>
        <v>Click here to submit comment</v>
      </c>
    </row>
    <row r="787" spans="1:14" ht="120">
      <c r="A787" s="3" t="s">
        <v>3499</v>
      </c>
      <c r="B787" s="3" t="s">
        <v>3500</v>
      </c>
      <c r="C787" s="3" t="s">
        <v>13</v>
      </c>
      <c r="D787" s="3" t="s">
        <v>6220</v>
      </c>
      <c r="E787" s="3"/>
      <c r="F787" s="3"/>
      <c r="G787" s="3" t="s">
        <v>93</v>
      </c>
      <c r="H787" s="3"/>
      <c r="I787" s="3" t="s">
        <v>3501</v>
      </c>
      <c r="J787" s="3" t="s">
        <v>3502</v>
      </c>
      <c r="K787" s="3"/>
      <c r="L787" s="3" t="s">
        <v>3503</v>
      </c>
      <c r="M787" s="3" t="str">
        <f>HYPERLINK("https://ceds.ed.gov/cedselementdetails.aspx?termid=5942")</f>
        <v>https://ceds.ed.gov/cedselementdetails.aspx?termid=5942</v>
      </c>
      <c r="N787" s="3" t="str">
        <f>HYPERLINK("https://ceds.ed.gov/elementComment.aspx?elementName=Learner Activity Prerequisite &amp;elementID=5942", "Click here to submit comment")</f>
        <v>Click here to submit comment</v>
      </c>
    </row>
    <row r="788" spans="1:14" ht="60">
      <c r="A788" s="3" t="s">
        <v>3504</v>
      </c>
      <c r="B788" s="3" t="s">
        <v>3505</v>
      </c>
      <c r="C788" s="3" t="s">
        <v>13</v>
      </c>
      <c r="D788" s="3" t="s">
        <v>6220</v>
      </c>
      <c r="E788" s="3"/>
      <c r="F788" s="3"/>
      <c r="G788" s="3" t="s">
        <v>73</v>
      </c>
      <c r="H788" s="3"/>
      <c r="I788" s="3"/>
      <c r="J788" s="3" t="s">
        <v>3506</v>
      </c>
      <c r="K788" s="3"/>
      <c r="L788" s="3" t="s">
        <v>3507</v>
      </c>
      <c r="M788" s="3" t="str">
        <f>HYPERLINK("https://ceds.ed.gov/cedselementdetails.aspx?termid=5951")</f>
        <v>https://ceds.ed.gov/cedselementdetails.aspx?termid=5951</v>
      </c>
      <c r="N788" s="3" t="str">
        <f>HYPERLINK("https://ceds.ed.gov/elementComment.aspx?elementName=Learner Activity Release Date &amp;elementID=5951", "Click here to submit comment")</f>
        <v>Click here to submit comment</v>
      </c>
    </row>
    <row r="789" spans="1:14" ht="60">
      <c r="A789" s="3" t="s">
        <v>3508</v>
      </c>
      <c r="B789" s="3" t="s">
        <v>3509</v>
      </c>
      <c r="C789" s="3" t="s">
        <v>13</v>
      </c>
      <c r="D789" s="3" t="s">
        <v>6220</v>
      </c>
      <c r="E789" s="3"/>
      <c r="F789" s="3"/>
      <c r="G789" s="3" t="s">
        <v>93</v>
      </c>
      <c r="H789" s="3"/>
      <c r="I789" s="3"/>
      <c r="J789" s="3" t="s">
        <v>3510</v>
      </c>
      <c r="K789" s="3"/>
      <c r="L789" s="3" t="s">
        <v>3511</v>
      </c>
      <c r="M789" s="3" t="str">
        <f>HYPERLINK("https://ceds.ed.gov/cedselementdetails.aspx?termid=5954")</f>
        <v>https://ceds.ed.gov/cedselementdetails.aspx?termid=5954</v>
      </c>
      <c r="N789" s="3" t="str">
        <f>HYPERLINK("https://ceds.ed.gov/elementComment.aspx?elementName=Learner Activity Rubric URL &amp;elementID=5954", "Click here to submit comment")</f>
        <v>Click here to submit comment</v>
      </c>
    </row>
    <row r="790" spans="1:14" ht="45">
      <c r="A790" s="3" t="s">
        <v>3512</v>
      </c>
      <c r="B790" s="3" t="s">
        <v>3513</v>
      </c>
      <c r="C790" s="3" t="s">
        <v>13</v>
      </c>
      <c r="D790" s="3" t="s">
        <v>6220</v>
      </c>
      <c r="E790" s="3"/>
      <c r="F790" s="3"/>
      <c r="G790" s="3" t="s">
        <v>100</v>
      </c>
      <c r="H790" s="3"/>
      <c r="I790" s="3"/>
      <c r="J790" s="3" t="s">
        <v>3514</v>
      </c>
      <c r="K790" s="3"/>
      <c r="L790" s="3" t="s">
        <v>3515</v>
      </c>
      <c r="M790" s="3" t="str">
        <f>HYPERLINK("https://ceds.ed.gov/cedselementdetails.aspx?termid=5940")</f>
        <v>https://ceds.ed.gov/cedselementdetails.aspx?termid=5940</v>
      </c>
      <c r="N790" s="3" t="str">
        <f>HYPERLINK("https://ceds.ed.gov/elementComment.aspx?elementName=Learner Activity Title &amp;elementID=5940", "Click here to submit comment")</f>
        <v>Click here to submit comment</v>
      </c>
    </row>
    <row r="791" spans="1:14" ht="75">
      <c r="A791" s="3" t="s">
        <v>3516</v>
      </c>
      <c r="B791" s="3" t="s">
        <v>3517</v>
      </c>
      <c r="C791" s="3" t="s">
        <v>6222</v>
      </c>
      <c r="D791" s="3" t="s">
        <v>6220</v>
      </c>
      <c r="E791" s="3"/>
      <c r="F791" s="3"/>
      <c r="G791" s="3"/>
      <c r="H791" s="3"/>
      <c r="I791" s="3"/>
      <c r="J791" s="3" t="s">
        <v>3518</v>
      </c>
      <c r="K791" s="3"/>
      <c r="L791" s="3" t="s">
        <v>3519</v>
      </c>
      <c r="M791" s="3" t="str">
        <f>HYPERLINK("https://ceds.ed.gov/cedselementdetails.aspx?termid=5943")</f>
        <v>https://ceds.ed.gov/cedselementdetails.aspx?termid=5943</v>
      </c>
      <c r="N791" s="3" t="str">
        <f>HYPERLINK("https://ceds.ed.gov/elementComment.aspx?elementName=Learner Activity Type &amp;elementID=5943", "Click here to submit comment")</f>
        <v>Click here to submit comment</v>
      </c>
    </row>
    <row r="792" spans="1:14" ht="45">
      <c r="A792" s="3" t="s">
        <v>3520</v>
      </c>
      <c r="B792" s="3" t="s">
        <v>3521</v>
      </c>
      <c r="C792" s="3" t="s">
        <v>13</v>
      </c>
      <c r="D792" s="3" t="s">
        <v>6220</v>
      </c>
      <c r="E792" s="3"/>
      <c r="F792" s="3"/>
      <c r="G792" s="3" t="s">
        <v>740</v>
      </c>
      <c r="H792" s="3"/>
      <c r="I792" s="3"/>
      <c r="J792" s="3" t="s">
        <v>3522</v>
      </c>
      <c r="K792" s="3"/>
      <c r="L792" s="3" t="s">
        <v>3523</v>
      </c>
      <c r="M792" s="3" t="str">
        <f>HYPERLINK("https://ceds.ed.gov/cedselementdetails.aspx?termid=5952")</f>
        <v>https://ceds.ed.gov/cedselementdetails.aspx?termid=5952</v>
      </c>
      <c r="N792" s="3" t="str">
        <f>HYPERLINK("https://ceds.ed.gov/elementComment.aspx?elementName=Learner Activity Weight &amp;elementID=5952", "Click here to submit comment")</f>
        <v>Click here to submit comment</v>
      </c>
    </row>
    <row r="793" spans="1:14" ht="45">
      <c r="A793" s="3" t="s">
        <v>3524</v>
      </c>
      <c r="B793" s="3" t="s">
        <v>3525</v>
      </c>
      <c r="C793" s="3" t="s">
        <v>13</v>
      </c>
      <c r="D793" s="3" t="s">
        <v>6223</v>
      </c>
      <c r="E793" s="3"/>
      <c r="F793" s="3"/>
      <c r="G793" s="3" t="s">
        <v>93</v>
      </c>
      <c r="H793" s="3"/>
      <c r="I793" s="3"/>
      <c r="J793" s="3" t="s">
        <v>3526</v>
      </c>
      <c r="K793" s="3"/>
      <c r="L793" s="3" t="s">
        <v>3527</v>
      </c>
      <c r="M793" s="3" t="str">
        <f>HYPERLINK("https://ceds.ed.gov/cedselementdetails.aspx?termid=5903")</f>
        <v>https://ceds.ed.gov/cedselementdetails.aspx?termid=5903</v>
      </c>
      <c r="N793" s="3" t="str">
        <f>HYPERLINK("https://ceds.ed.gov/elementComment.aspx?elementName=Learning Goal Description &amp;elementID=5903", "Click here to submit comment")</f>
        <v>Click here to submit comment</v>
      </c>
    </row>
    <row r="794" spans="1:14" ht="45">
      <c r="A794" s="3" t="s">
        <v>3528</v>
      </c>
      <c r="B794" s="3" t="s">
        <v>3529</v>
      </c>
      <c r="C794" s="3" t="s">
        <v>13</v>
      </c>
      <c r="D794" s="3" t="s">
        <v>6224</v>
      </c>
      <c r="E794" s="3"/>
      <c r="F794" s="3"/>
      <c r="G794" s="3" t="s">
        <v>73</v>
      </c>
      <c r="H794" s="3"/>
      <c r="I794" s="3"/>
      <c r="J794" s="3" t="s">
        <v>3530</v>
      </c>
      <c r="K794" s="3"/>
      <c r="L794" s="3" t="s">
        <v>3531</v>
      </c>
      <c r="M794" s="3" t="str">
        <f>HYPERLINK("https://ceds.ed.gov/cedselementdetails.aspx?termid=6170")</f>
        <v>https://ceds.ed.gov/cedselementdetails.aspx?termid=6170</v>
      </c>
      <c r="N794" s="3" t="str">
        <f>HYPERLINK("https://ceds.ed.gov/elementComment.aspx?elementName=Learning Goal End Date &amp;elementID=6170", "Click here to submit comment")</f>
        <v>Click here to submit comment</v>
      </c>
    </row>
    <row r="795" spans="1:14" ht="45">
      <c r="A795" s="3" t="s">
        <v>3532</v>
      </c>
      <c r="B795" s="3" t="s">
        <v>3533</v>
      </c>
      <c r="C795" s="3" t="s">
        <v>13</v>
      </c>
      <c r="D795" s="3" t="s">
        <v>6224</v>
      </c>
      <c r="E795" s="3"/>
      <c r="F795" s="3"/>
      <c r="G795" s="3" t="s">
        <v>73</v>
      </c>
      <c r="H795" s="3"/>
      <c r="I795" s="3"/>
      <c r="J795" s="3" t="s">
        <v>3534</v>
      </c>
      <c r="K795" s="3"/>
      <c r="L795" s="3" t="s">
        <v>3535</v>
      </c>
      <c r="M795" s="3" t="str">
        <f>HYPERLINK("https://ceds.ed.gov/cedselementdetails.aspx?termid=6169")</f>
        <v>https://ceds.ed.gov/cedselementdetails.aspx?termid=6169</v>
      </c>
      <c r="N795" s="3" t="str">
        <f>HYPERLINK("https://ceds.ed.gov/elementComment.aspx?elementName=Learning Goal Start Date &amp;elementID=6169", "Click here to submit comment")</f>
        <v>Click here to submit comment</v>
      </c>
    </row>
    <row r="796" spans="1:14" ht="135">
      <c r="A796" s="3" t="s">
        <v>3536</v>
      </c>
      <c r="B796" s="3" t="s">
        <v>3537</v>
      </c>
      <c r="C796" s="3" t="s">
        <v>13</v>
      </c>
      <c r="D796" s="3" t="s">
        <v>6223</v>
      </c>
      <c r="E796" s="3"/>
      <c r="F796" s="3"/>
      <c r="G796" s="3" t="s">
        <v>93</v>
      </c>
      <c r="H796" s="3"/>
      <c r="I796" s="3"/>
      <c r="J796" s="3" t="s">
        <v>3538</v>
      </c>
      <c r="K796" s="3"/>
      <c r="L796" s="3" t="s">
        <v>3539</v>
      </c>
      <c r="M796" s="3" t="str">
        <f>HYPERLINK("https://ceds.ed.gov/cedselementdetails.aspx?termid=5902")</f>
        <v>https://ceds.ed.gov/cedselementdetails.aspx?termid=5902</v>
      </c>
      <c r="N796" s="3" t="str">
        <f>HYPERLINK("https://ceds.ed.gov/elementComment.aspx?elementName=Learning Goal Success Criteria &amp;elementID=5902", "Click here to submit comment")</f>
        <v>Click here to submit comment</v>
      </c>
    </row>
    <row r="797" spans="1:14" ht="180">
      <c r="A797" s="3" t="s">
        <v>3540</v>
      </c>
      <c r="B797" s="3" t="s">
        <v>3541</v>
      </c>
      <c r="C797" s="3" t="s">
        <v>6225</v>
      </c>
      <c r="D797" s="3" t="s">
        <v>6226</v>
      </c>
      <c r="E797" s="3"/>
      <c r="F797" s="3" t="s">
        <v>54</v>
      </c>
      <c r="G797" s="3"/>
      <c r="H797" s="3"/>
      <c r="I797" s="3" t="s">
        <v>3542</v>
      </c>
      <c r="J797" s="3" t="s">
        <v>3543</v>
      </c>
      <c r="K797" s="3"/>
      <c r="L797" s="3" t="s">
        <v>3544</v>
      </c>
      <c r="M797" s="3" t="str">
        <f>HYPERLINK("https://ceds.ed.gov/cedselementdetails.aspx?termid=6358")</f>
        <v>https://ceds.ed.gov/cedselementdetails.aspx?termid=6358</v>
      </c>
      <c r="N797" s="3" t="str">
        <f>HYPERLINK("https://ceds.ed.gov/elementComment.aspx?elementName=Learning Resource Access API Type &amp;elementID=6358", "Click here to submit comment")</f>
        <v>Click here to submit comment</v>
      </c>
    </row>
    <row r="798" spans="1:14" ht="90">
      <c r="A798" s="3" t="s">
        <v>3545</v>
      </c>
      <c r="B798" s="3" t="s">
        <v>3546</v>
      </c>
      <c r="C798" s="3" t="s">
        <v>6227</v>
      </c>
      <c r="D798" s="3" t="s">
        <v>6226</v>
      </c>
      <c r="E798" s="3"/>
      <c r="F798" s="3" t="s">
        <v>54</v>
      </c>
      <c r="G798" s="3"/>
      <c r="H798" s="3"/>
      <c r="I798" s="3"/>
      <c r="J798" s="3" t="s">
        <v>3547</v>
      </c>
      <c r="K798" s="3"/>
      <c r="L798" s="3" t="s">
        <v>3548</v>
      </c>
      <c r="M798" s="3" t="str">
        <f>HYPERLINK("https://ceds.ed.gov/cedselementdetails.aspx?termid=6359")</f>
        <v>https://ceds.ed.gov/cedselementdetails.aspx?termid=6359</v>
      </c>
      <c r="N798" s="3" t="str">
        <f>HYPERLINK("https://ceds.ed.gov/elementComment.aspx?elementName=Learning Resource Access Hazard Type &amp;elementID=6359", "Click here to submit comment")</f>
        <v>Click here to submit comment</v>
      </c>
    </row>
    <row r="799" spans="1:14" ht="105">
      <c r="A799" s="3" t="s">
        <v>3549</v>
      </c>
      <c r="B799" s="3" t="s">
        <v>3550</v>
      </c>
      <c r="C799" s="3" t="s">
        <v>6228</v>
      </c>
      <c r="D799" s="3" t="s">
        <v>6226</v>
      </c>
      <c r="E799" s="3"/>
      <c r="F799" s="3" t="s">
        <v>54</v>
      </c>
      <c r="G799" s="3"/>
      <c r="H799" s="3"/>
      <c r="I799" s="3" t="s">
        <v>3551</v>
      </c>
      <c r="J799" s="3" t="s">
        <v>3552</v>
      </c>
      <c r="K799" s="3"/>
      <c r="L799" s="3" t="s">
        <v>3553</v>
      </c>
      <c r="M799" s="3" t="str">
        <f>HYPERLINK("https://ceds.ed.gov/cedselementdetails.aspx?termid=6360")</f>
        <v>https://ceds.ed.gov/cedselementdetails.aspx?termid=6360</v>
      </c>
      <c r="N799" s="3" t="str">
        <f>HYPERLINK("https://ceds.ed.gov/elementComment.aspx?elementName=Learning Resource Access Mode Type &amp;elementID=6360", "Click here to submit comment")</f>
        <v>Click here to submit comment</v>
      </c>
    </row>
    <row r="800" spans="1:14" ht="90">
      <c r="A800" s="3" t="s">
        <v>3554</v>
      </c>
      <c r="B800" s="3" t="s">
        <v>3555</v>
      </c>
      <c r="C800" s="3" t="s">
        <v>13</v>
      </c>
      <c r="D800" s="3" t="s">
        <v>6226</v>
      </c>
      <c r="E800" s="3"/>
      <c r="F800" s="3" t="s">
        <v>54</v>
      </c>
      <c r="G800" s="3" t="s">
        <v>93</v>
      </c>
      <c r="H800" s="3"/>
      <c r="I800" s="3"/>
      <c r="J800" s="3" t="s">
        <v>3556</v>
      </c>
      <c r="K800" s="3"/>
      <c r="L800" s="3" t="s">
        <v>3557</v>
      </c>
      <c r="M800" s="3" t="str">
        <f>HYPERLINK("https://ceds.ed.gov/cedselementdetails.aspx?termid=6361")</f>
        <v>https://ceds.ed.gov/cedselementdetails.aspx?termid=6361</v>
      </c>
      <c r="N800" s="3" t="str">
        <f>HYPERLINK("https://ceds.ed.gov/elementComment.aspx?elementName=Learning Resource Adaptation URL &amp;elementID=6361", "Click here to submit comment")</f>
        <v>Click here to submit comment</v>
      </c>
    </row>
    <row r="801" spans="1:14" ht="90">
      <c r="A801" s="3" t="s">
        <v>3558</v>
      </c>
      <c r="B801" s="3" t="s">
        <v>3559</v>
      </c>
      <c r="C801" s="3" t="s">
        <v>13</v>
      </c>
      <c r="D801" s="3" t="s">
        <v>6226</v>
      </c>
      <c r="E801" s="3"/>
      <c r="F801" s="3" t="s">
        <v>54</v>
      </c>
      <c r="G801" s="3" t="s">
        <v>93</v>
      </c>
      <c r="H801" s="3"/>
      <c r="I801" s="3"/>
      <c r="J801" s="3" t="s">
        <v>3560</v>
      </c>
      <c r="K801" s="3"/>
      <c r="L801" s="3" t="s">
        <v>3561</v>
      </c>
      <c r="M801" s="3" t="str">
        <f>HYPERLINK("https://ceds.ed.gov/cedselementdetails.aspx?termid=6367")</f>
        <v>https://ceds.ed.gov/cedselementdetails.aspx?termid=6367</v>
      </c>
      <c r="N801" s="3" t="str">
        <f>HYPERLINK("https://ceds.ed.gov/elementComment.aspx?elementName=Learning Resource Adapted From URL &amp;elementID=6367", "Click here to submit comment")</f>
        <v>Click here to submit comment</v>
      </c>
    </row>
    <row r="802" spans="1:14" ht="90">
      <c r="A802" s="3" t="s">
        <v>3562</v>
      </c>
      <c r="B802" s="3" t="s">
        <v>3563</v>
      </c>
      <c r="C802" s="3" t="s">
        <v>5963</v>
      </c>
      <c r="D802" s="3" t="s">
        <v>6226</v>
      </c>
      <c r="E802" s="3"/>
      <c r="F802" s="3" t="s">
        <v>54</v>
      </c>
      <c r="G802" s="3"/>
      <c r="H802" s="3"/>
      <c r="I802" s="3" t="s">
        <v>3564</v>
      </c>
      <c r="J802" s="3" t="s">
        <v>3565</v>
      </c>
      <c r="K802" s="3"/>
      <c r="L802" s="3" t="s">
        <v>3566</v>
      </c>
      <c r="M802" s="3" t="str">
        <f>HYPERLINK("https://ceds.ed.gov/cedselementdetails.aspx?termid=6362")</f>
        <v>https://ceds.ed.gov/cedselementdetails.aspx?termid=6362</v>
      </c>
      <c r="N802" s="3" t="str">
        <f>HYPERLINK("https://ceds.ed.gov/elementComment.aspx?elementName=Learning Resource Assistive Technologies Compatible Indicator &amp;elementID=6362", "Click here to submit comment")</f>
        <v>Click here to submit comment</v>
      </c>
    </row>
    <row r="803" spans="1:14" ht="90">
      <c r="A803" s="3" t="s">
        <v>3567</v>
      </c>
      <c r="B803" s="3" t="s">
        <v>3568</v>
      </c>
      <c r="C803" s="3" t="s">
        <v>13</v>
      </c>
      <c r="D803" s="3" t="s">
        <v>6226</v>
      </c>
      <c r="E803" s="3"/>
      <c r="F803" s="3" t="s">
        <v>66</v>
      </c>
      <c r="G803" s="3" t="s">
        <v>93</v>
      </c>
      <c r="H803" s="3" t="s">
        <v>3569</v>
      </c>
      <c r="I803" s="3" t="s">
        <v>3570</v>
      </c>
      <c r="J803" s="3" t="s">
        <v>3571</v>
      </c>
      <c r="K803" s="3"/>
      <c r="L803" s="3" t="s">
        <v>3572</v>
      </c>
      <c r="M803" s="3" t="str">
        <f>HYPERLINK("https://ceds.ed.gov/cedselementdetails.aspx?termid=5923")</f>
        <v>https://ceds.ed.gov/cedselementdetails.aspx?termid=5923</v>
      </c>
      <c r="N803" s="3" t="str">
        <f>HYPERLINK("https://ceds.ed.gov/elementComment.aspx?elementName=Learning Resource Based On URL &amp;elementID=5923", "Click here to submit comment")</f>
        <v>Click here to submit comment</v>
      </c>
    </row>
    <row r="804" spans="1:14" ht="135">
      <c r="A804" s="3" t="s">
        <v>3573</v>
      </c>
      <c r="B804" s="3" t="s">
        <v>3574</v>
      </c>
      <c r="C804" s="3" t="s">
        <v>6229</v>
      </c>
      <c r="D804" s="3" t="s">
        <v>6226</v>
      </c>
      <c r="E804" s="3"/>
      <c r="F804" s="3" t="s">
        <v>54</v>
      </c>
      <c r="G804" s="3"/>
      <c r="H804" s="3"/>
      <c r="I804" s="3"/>
      <c r="J804" s="3" t="s">
        <v>3575</v>
      </c>
      <c r="K804" s="3"/>
      <c r="L804" s="3" t="s">
        <v>3576</v>
      </c>
      <c r="M804" s="3" t="str">
        <f>HYPERLINK("https://ceds.ed.gov/cedselementdetails.aspx?termid=6363")</f>
        <v>https://ceds.ed.gov/cedselementdetails.aspx?termid=6363</v>
      </c>
      <c r="N804" s="3" t="str">
        <f>HYPERLINK("https://ceds.ed.gov/elementComment.aspx?elementName=Learning Resource Book Format Type &amp;elementID=6363", "Click here to submit comment")</f>
        <v>Click here to submit comment</v>
      </c>
    </row>
    <row r="805" spans="1:14" ht="120">
      <c r="A805" s="3" t="s">
        <v>3577</v>
      </c>
      <c r="B805" s="3" t="s">
        <v>3578</v>
      </c>
      <c r="C805" s="3" t="s">
        <v>6230</v>
      </c>
      <c r="D805" s="3" t="s">
        <v>6231</v>
      </c>
      <c r="E805" s="3"/>
      <c r="F805" s="3" t="s">
        <v>66</v>
      </c>
      <c r="G805" s="3"/>
      <c r="H805" s="3" t="s">
        <v>2645</v>
      </c>
      <c r="I805" s="3" t="s">
        <v>3579</v>
      </c>
      <c r="J805" s="3" t="s">
        <v>3580</v>
      </c>
      <c r="K805" s="3"/>
      <c r="L805" s="3" t="s">
        <v>3581</v>
      </c>
      <c r="M805" s="3" t="str">
        <f>HYPERLINK("https://ceds.ed.gov/cedselementdetails.aspx?termid=5879")</f>
        <v>https://ceds.ed.gov/cedselementdetails.aspx?termid=5879</v>
      </c>
      <c r="N805" s="3" t="str">
        <f>HYPERLINK("https://ceds.ed.gov/elementComment.aspx?elementName=Learning Resource Competency Alignment Type &amp;elementID=5879", "Click here to submit comment")</f>
        <v>Click here to submit comment</v>
      </c>
    </row>
    <row r="806" spans="1:14" ht="90">
      <c r="A806" s="3" t="s">
        <v>3582</v>
      </c>
      <c r="B806" s="3" t="s">
        <v>3583</v>
      </c>
      <c r="C806" s="3" t="s">
        <v>13</v>
      </c>
      <c r="D806" s="3" t="s">
        <v>6226</v>
      </c>
      <c r="E806" s="3"/>
      <c r="F806" s="3"/>
      <c r="G806" s="3" t="s">
        <v>93</v>
      </c>
      <c r="H806" s="3"/>
      <c r="I806" s="3"/>
      <c r="J806" s="3" t="s">
        <v>3584</v>
      </c>
      <c r="K806" s="3"/>
      <c r="L806" s="3" t="s">
        <v>3585</v>
      </c>
      <c r="M806" s="3" t="str">
        <f>HYPERLINK("https://ceds.ed.gov/cedselementdetails.aspx?termid=6159")</f>
        <v>https://ceds.ed.gov/cedselementdetails.aspx?termid=6159</v>
      </c>
      <c r="N806" s="3" t="str">
        <f>HYPERLINK("https://ceds.ed.gov/elementComment.aspx?elementName=Learning Resource Concept Keyword &amp;elementID=6159", "Click here to submit comment")</f>
        <v>Click here to submit comment</v>
      </c>
    </row>
    <row r="807" spans="1:14" ht="90">
      <c r="A807" s="3" t="s">
        <v>3586</v>
      </c>
      <c r="B807" s="3" t="s">
        <v>3587</v>
      </c>
      <c r="C807" s="3" t="s">
        <v>6232</v>
      </c>
      <c r="D807" s="3" t="s">
        <v>6226</v>
      </c>
      <c r="E807" s="3"/>
      <c r="F807" s="3" t="s">
        <v>54</v>
      </c>
      <c r="G807" s="3"/>
      <c r="H807" s="3"/>
      <c r="I807" s="3"/>
      <c r="J807" s="3" t="s">
        <v>3588</v>
      </c>
      <c r="K807" s="3"/>
      <c r="L807" s="3" t="s">
        <v>3589</v>
      </c>
      <c r="M807" s="3" t="str">
        <f>HYPERLINK("https://ceds.ed.gov/cedselementdetails.aspx?termid=6364")</f>
        <v>https://ceds.ed.gov/cedselementdetails.aspx?termid=6364</v>
      </c>
      <c r="N807" s="3" t="str">
        <f>HYPERLINK("https://ceds.ed.gov/elementComment.aspx?elementName=Learning Resource Control Flexibility Type &amp;elementID=6364", "Click here to submit comment")</f>
        <v>Click here to submit comment</v>
      </c>
    </row>
    <row r="808" spans="1:14" ht="90">
      <c r="A808" s="3" t="s">
        <v>3590</v>
      </c>
      <c r="B808" s="3" t="s">
        <v>3591</v>
      </c>
      <c r="C808" s="3" t="s">
        <v>13</v>
      </c>
      <c r="D808" s="3" t="s">
        <v>6226</v>
      </c>
      <c r="E808" s="3"/>
      <c r="F808" s="3"/>
      <c r="G808" s="3" t="s">
        <v>106</v>
      </c>
      <c r="H808" s="3"/>
      <c r="I808" s="3"/>
      <c r="J808" s="3" t="s">
        <v>3592</v>
      </c>
      <c r="K808" s="3"/>
      <c r="L808" s="3" t="s">
        <v>3593</v>
      </c>
      <c r="M808" s="3" t="str">
        <f>HYPERLINK("https://ceds.ed.gov/cedselementdetails.aspx?termid=6157")</f>
        <v>https://ceds.ed.gov/cedselementdetails.aspx?termid=6157</v>
      </c>
      <c r="N808" s="3" t="str">
        <f>HYPERLINK("https://ceds.ed.gov/elementComment.aspx?elementName=Learning Resource Copyright Holder Name &amp;elementID=6157", "Click here to submit comment")</f>
        <v>Click here to submit comment</v>
      </c>
    </row>
    <row r="809" spans="1:14" ht="90">
      <c r="A809" s="3" t="s">
        <v>3594</v>
      </c>
      <c r="B809" s="3" t="s">
        <v>3595</v>
      </c>
      <c r="C809" s="3" t="s">
        <v>13</v>
      </c>
      <c r="D809" s="3" t="s">
        <v>6226</v>
      </c>
      <c r="E809" s="3"/>
      <c r="F809" s="3"/>
      <c r="G809" s="3" t="s">
        <v>1736</v>
      </c>
      <c r="H809" s="3"/>
      <c r="I809" s="3"/>
      <c r="J809" s="3" t="s">
        <v>3596</v>
      </c>
      <c r="K809" s="3"/>
      <c r="L809" s="3" t="s">
        <v>3597</v>
      </c>
      <c r="M809" s="3" t="str">
        <f>HYPERLINK("https://ceds.ed.gov/cedselementdetails.aspx?termid=6158")</f>
        <v>https://ceds.ed.gov/cedselementdetails.aspx?termid=6158</v>
      </c>
      <c r="N809" s="3" t="str">
        <f>HYPERLINK("https://ceds.ed.gov/elementComment.aspx?elementName=Learning Resource Copyright Year &amp;elementID=6158", "Click here to submit comment")</f>
        <v>Click here to submit comment</v>
      </c>
    </row>
    <row r="810" spans="1:14" ht="90">
      <c r="A810" s="3" t="s">
        <v>3598</v>
      </c>
      <c r="B810" s="3" t="s">
        <v>3599</v>
      </c>
      <c r="C810" s="3" t="s">
        <v>13</v>
      </c>
      <c r="D810" s="3" t="s">
        <v>6226</v>
      </c>
      <c r="E810" s="3"/>
      <c r="F810" s="3"/>
      <c r="G810" s="3" t="s">
        <v>106</v>
      </c>
      <c r="H810" s="3"/>
      <c r="I810" s="3"/>
      <c r="J810" s="3" t="s">
        <v>3600</v>
      </c>
      <c r="K810" s="3"/>
      <c r="L810" s="3" t="s">
        <v>3601</v>
      </c>
      <c r="M810" s="3" t="str">
        <f>HYPERLINK("https://ceds.ed.gov/cedselementdetails.aspx?termid=5918")</f>
        <v>https://ceds.ed.gov/cedselementdetails.aspx?termid=5918</v>
      </c>
      <c r="N810" s="3" t="str">
        <f>HYPERLINK("https://ceds.ed.gov/elementComment.aspx?elementName=Learning Resource Creator &amp;elementID=5918", "Click here to submit comment")</f>
        <v>Click here to submit comment</v>
      </c>
    </row>
    <row r="811" spans="1:14" ht="90">
      <c r="A811" s="3" t="s">
        <v>3602</v>
      </c>
      <c r="B811" s="3" t="s">
        <v>3603</v>
      </c>
      <c r="C811" s="3" t="s">
        <v>13</v>
      </c>
      <c r="D811" s="3" t="s">
        <v>6226</v>
      </c>
      <c r="E811" s="3"/>
      <c r="F811" s="3"/>
      <c r="G811" s="3" t="s">
        <v>73</v>
      </c>
      <c r="H811" s="3"/>
      <c r="I811" s="3"/>
      <c r="J811" s="3" t="s">
        <v>3604</v>
      </c>
      <c r="K811" s="3"/>
      <c r="L811" s="3" t="s">
        <v>3605</v>
      </c>
      <c r="M811" s="3" t="str">
        <f>HYPERLINK("https://ceds.ed.gov/cedselementdetails.aspx?termid=5916")</f>
        <v>https://ceds.ed.gov/cedselementdetails.aspx?termid=5916</v>
      </c>
      <c r="N811" s="3" t="str">
        <f>HYPERLINK("https://ceds.ed.gov/elementComment.aspx?elementName=Learning Resource Date Created &amp;elementID=5916", "Click here to submit comment")</f>
        <v>Click here to submit comment</v>
      </c>
    </row>
    <row r="812" spans="1:14" ht="90">
      <c r="A812" s="3" t="s">
        <v>3606</v>
      </c>
      <c r="B812" s="3" t="s">
        <v>3607</v>
      </c>
      <c r="C812" s="3" t="s">
        <v>13</v>
      </c>
      <c r="D812" s="3" t="s">
        <v>6226</v>
      </c>
      <c r="E812" s="3"/>
      <c r="F812" s="3"/>
      <c r="G812" s="3" t="s">
        <v>93</v>
      </c>
      <c r="H812" s="3"/>
      <c r="I812" s="3"/>
      <c r="J812" s="3" t="s">
        <v>3608</v>
      </c>
      <c r="K812" s="3"/>
      <c r="L812" s="3" t="s">
        <v>3609</v>
      </c>
      <c r="M812" s="3" t="str">
        <f>HYPERLINK("https://ceds.ed.gov/cedselementdetails.aspx?termid=6156")</f>
        <v>https://ceds.ed.gov/cedselementdetails.aspx?termid=6156</v>
      </c>
      <c r="N812" s="3" t="str">
        <f>HYPERLINK("https://ceds.ed.gov/elementComment.aspx?elementName=Learning Resource Description &amp;elementID=6156", "Click here to submit comment")</f>
        <v>Click here to submit comment</v>
      </c>
    </row>
    <row r="813" spans="1:14" ht="105">
      <c r="A813" s="3" t="s">
        <v>3610</v>
      </c>
      <c r="B813" s="3" t="s">
        <v>3611</v>
      </c>
      <c r="C813" s="3" t="s">
        <v>3612</v>
      </c>
      <c r="D813" s="3" t="s">
        <v>6226</v>
      </c>
      <c r="E813" s="3"/>
      <c r="F813" s="3" t="s">
        <v>54</v>
      </c>
      <c r="G813" s="3"/>
      <c r="H813" s="3"/>
      <c r="I813" s="3"/>
      <c r="J813" s="3" t="s">
        <v>3613</v>
      </c>
      <c r="K813" s="3"/>
      <c r="L813" s="3" t="s">
        <v>3614</v>
      </c>
      <c r="M813" s="3" t="str">
        <f>HYPERLINK("https://ceds.ed.gov/cedselementdetails.aspx?termid=6365")</f>
        <v>https://ceds.ed.gov/cedselementdetails.aspx?termid=6365</v>
      </c>
      <c r="N813" s="3" t="str">
        <f>HYPERLINK("https://ceds.ed.gov/elementComment.aspx?elementName=Learning Resource Digital Media Sub Type &amp;elementID=6365", "Click here to submit comment")</f>
        <v>Click here to submit comment</v>
      </c>
    </row>
    <row r="814" spans="1:14" ht="150">
      <c r="A814" s="3" t="s">
        <v>3615</v>
      </c>
      <c r="B814" s="3" t="s">
        <v>3616</v>
      </c>
      <c r="C814" s="3" t="s">
        <v>6233</v>
      </c>
      <c r="D814" s="3" t="s">
        <v>6226</v>
      </c>
      <c r="E814" s="3"/>
      <c r="F814" s="3" t="s">
        <v>54</v>
      </c>
      <c r="G814" s="3"/>
      <c r="H814" s="3"/>
      <c r="I814" s="3"/>
      <c r="J814" s="3" t="s">
        <v>3617</v>
      </c>
      <c r="K814" s="3"/>
      <c r="L814" s="3" t="s">
        <v>3618</v>
      </c>
      <c r="M814" s="3" t="str">
        <f>HYPERLINK("https://ceds.ed.gov/cedselementdetails.aspx?termid=6366")</f>
        <v>https://ceds.ed.gov/cedselementdetails.aspx?termid=6366</v>
      </c>
      <c r="N814" s="3" t="str">
        <f>HYPERLINK("https://ceds.ed.gov/elementComment.aspx?elementName=Learning Resource Digital Media Type &amp;elementID=6366", "Click here to submit comment")</f>
        <v>Click here to submit comment</v>
      </c>
    </row>
    <row r="815" spans="1:14" ht="409.5">
      <c r="A815" s="3" t="s">
        <v>3619</v>
      </c>
      <c r="B815" s="3" t="s">
        <v>3620</v>
      </c>
      <c r="C815" s="13" t="s">
        <v>6921</v>
      </c>
      <c r="D815" s="3" t="s">
        <v>6234</v>
      </c>
      <c r="E815" s="3"/>
      <c r="F815" s="3" t="s">
        <v>66</v>
      </c>
      <c r="G815" s="3"/>
      <c r="H815" s="3" t="s">
        <v>3621</v>
      </c>
      <c r="I815" s="3"/>
      <c r="J815" s="3" t="s">
        <v>3622</v>
      </c>
      <c r="K815" s="3"/>
      <c r="L815" s="3" t="s">
        <v>3623</v>
      </c>
      <c r="M815" s="3" t="str">
        <f>HYPERLINK("https://ceds.ed.gov/cedselementdetails.aspx?termid=6212")</f>
        <v>https://ceds.ed.gov/cedselementdetails.aspx?termid=6212</v>
      </c>
      <c r="N815" s="3" t="str">
        <f>HYPERLINK("https://ceds.ed.gov/elementComment.aspx?elementName=Learning Resource Education Level  &amp;elementID=6212", "Click here to submit comment")</f>
        <v>Click here to submit comment</v>
      </c>
    </row>
    <row r="816" spans="1:14" ht="105">
      <c r="A816" s="3" t="s">
        <v>3624</v>
      </c>
      <c r="B816" s="3" t="s">
        <v>3625</v>
      </c>
      <c r="C816" s="4" t="s">
        <v>6565</v>
      </c>
      <c r="D816" s="3" t="s">
        <v>6226</v>
      </c>
      <c r="E816" s="3"/>
      <c r="F816" s="3" t="s">
        <v>66</v>
      </c>
      <c r="G816" s="3"/>
      <c r="H816" s="3" t="s">
        <v>3626</v>
      </c>
      <c r="I816" s="3"/>
      <c r="J816" s="3" t="s">
        <v>3627</v>
      </c>
      <c r="K816" s="3"/>
      <c r="L816" s="3" t="s">
        <v>3628</v>
      </c>
      <c r="M816" s="3" t="str">
        <f>HYPERLINK("https://ceds.ed.gov/cedselementdetails.aspx?termid=6005")</f>
        <v>https://ceds.ed.gov/cedselementdetails.aspx?termid=6005</v>
      </c>
      <c r="N816" s="3" t="str">
        <f>HYPERLINK("https://ceds.ed.gov/elementComment.aspx?elementName=Learning Resource Educational Use &amp;elementID=6005", "Click here to submit comment")</f>
        <v>Click here to submit comment</v>
      </c>
    </row>
    <row r="817" spans="1:14" ht="150">
      <c r="A817" s="3" t="s">
        <v>3629</v>
      </c>
      <c r="B817" s="3" t="s">
        <v>3630</v>
      </c>
      <c r="C817" s="3" t="s">
        <v>6235</v>
      </c>
      <c r="D817" s="3" t="s">
        <v>6226</v>
      </c>
      <c r="E817" s="3"/>
      <c r="F817" s="3"/>
      <c r="G817" s="3"/>
      <c r="H817" s="3"/>
      <c r="I817" s="3"/>
      <c r="J817" s="3" t="s">
        <v>3631</v>
      </c>
      <c r="K817" s="3"/>
      <c r="L817" s="3" t="s">
        <v>3632</v>
      </c>
      <c r="M817" s="3" t="str">
        <f>HYPERLINK("https://ceds.ed.gov/cedselementdetails.aspx?termid=5924")</f>
        <v>https://ceds.ed.gov/cedselementdetails.aspx?termid=5924</v>
      </c>
      <c r="N817" s="3" t="str">
        <f>HYPERLINK("https://ceds.ed.gov/elementComment.aspx?elementName=Learning Resource Intended End User Role &amp;elementID=5924", "Click here to submit comment")</f>
        <v>Click here to submit comment</v>
      </c>
    </row>
    <row r="818" spans="1:14" ht="90">
      <c r="A818" s="3" t="s">
        <v>3633</v>
      </c>
      <c r="B818" s="3" t="s">
        <v>3634</v>
      </c>
      <c r="C818" s="3" t="s">
        <v>6236</v>
      </c>
      <c r="D818" s="3" t="s">
        <v>6226</v>
      </c>
      <c r="E818" s="3"/>
      <c r="F818" s="3"/>
      <c r="G818" s="3"/>
      <c r="H818" s="3"/>
      <c r="I818" s="3"/>
      <c r="J818" s="3" t="s">
        <v>3635</v>
      </c>
      <c r="K818" s="3"/>
      <c r="L818" s="3" t="s">
        <v>3636</v>
      </c>
      <c r="M818" s="3" t="str">
        <f>HYPERLINK("https://ceds.ed.gov/cedselementdetails.aspx?termid=5928")</f>
        <v>https://ceds.ed.gov/cedselementdetails.aspx?termid=5928</v>
      </c>
      <c r="N818" s="3" t="str">
        <f>HYPERLINK("https://ceds.ed.gov/elementComment.aspx?elementName=Learning Resource Interactivity Type &amp;elementID=5928", "Click here to submit comment")</f>
        <v>Click here to submit comment</v>
      </c>
    </row>
    <row r="819" spans="1:14" ht="150">
      <c r="A819" s="3" t="s">
        <v>3637</v>
      </c>
      <c r="B819" s="3" t="s">
        <v>3638</v>
      </c>
      <c r="C819" s="5" t="s">
        <v>939</v>
      </c>
      <c r="D819" s="3" t="s">
        <v>6226</v>
      </c>
      <c r="E819" s="3"/>
      <c r="F819" s="3" t="s">
        <v>66</v>
      </c>
      <c r="G819" s="3"/>
      <c r="H819" s="3" t="s">
        <v>3639</v>
      </c>
      <c r="I819" s="3" t="s">
        <v>3640</v>
      </c>
      <c r="J819" s="3" t="s">
        <v>3641</v>
      </c>
      <c r="K819" s="3"/>
      <c r="L819" s="3" t="s">
        <v>3642</v>
      </c>
      <c r="M819" s="3" t="str">
        <f>HYPERLINK("https://ceds.ed.gov/cedselementdetails.aspx?termid=5920")</f>
        <v>https://ceds.ed.gov/cedselementdetails.aspx?termid=5920</v>
      </c>
      <c r="N819" s="3" t="str">
        <f>HYPERLINK("https://ceds.ed.gov/elementComment.aspx?elementName=Learning Resource Language &amp;elementID=5920", "Click here to submit comment")</f>
        <v>Click here to submit comment</v>
      </c>
    </row>
    <row r="820" spans="1:14" ht="315">
      <c r="A820" s="3" t="s">
        <v>3643</v>
      </c>
      <c r="B820" s="3" t="s">
        <v>3644</v>
      </c>
      <c r="C820" s="3" t="s">
        <v>6237</v>
      </c>
      <c r="D820" s="3" t="s">
        <v>6226</v>
      </c>
      <c r="E820" s="3"/>
      <c r="F820" s="3" t="s">
        <v>54</v>
      </c>
      <c r="G820" s="3"/>
      <c r="H820" s="3"/>
      <c r="I820" s="3" t="s">
        <v>3645</v>
      </c>
      <c r="J820" s="3" t="s">
        <v>3646</v>
      </c>
      <c r="K820" s="3"/>
      <c r="L820" s="3" t="s">
        <v>3647</v>
      </c>
      <c r="M820" s="3" t="str">
        <f>HYPERLINK("https://ceds.ed.gov/cedselementdetails.aspx?termid=6368")</f>
        <v>https://ceds.ed.gov/cedselementdetails.aspx?termid=6368</v>
      </c>
      <c r="N820" s="3" t="str">
        <f>HYPERLINK("https://ceds.ed.gov/elementComment.aspx?elementName=Learning Resource Media Feature Type &amp;elementID=6368", "Click here to submit comment")</f>
        <v>Click here to submit comment</v>
      </c>
    </row>
    <row r="821" spans="1:14" ht="90">
      <c r="A821" s="3" t="s">
        <v>3653</v>
      </c>
      <c r="B821" s="3" t="s">
        <v>3654</v>
      </c>
      <c r="C821" s="3" t="s">
        <v>13</v>
      </c>
      <c r="D821" s="3" t="s">
        <v>6238</v>
      </c>
      <c r="E821" s="3"/>
      <c r="F821" s="3" t="s">
        <v>54</v>
      </c>
      <c r="G821" s="3" t="s">
        <v>575</v>
      </c>
      <c r="H821" s="3"/>
      <c r="I821" s="3"/>
      <c r="J821" s="3" t="s">
        <v>3655</v>
      </c>
      <c r="K821" s="3"/>
      <c r="L821" s="3" t="s">
        <v>3656</v>
      </c>
      <c r="M821" s="3" t="str">
        <f>HYPERLINK("https://ceds.ed.gov/cedselementdetails.aspx?termid=6369")</f>
        <v>https://ceds.ed.gov/cedselementdetails.aspx?termid=6369</v>
      </c>
      <c r="N821" s="3" t="str">
        <f>HYPERLINK("https://ceds.ed.gov/elementComment.aspx?elementName=Learning Resource Peer Rating Sample Size &amp;elementID=6369", "Click here to submit comment")</f>
        <v>Click here to submit comment</v>
      </c>
    </row>
    <row r="822" spans="1:14" ht="90">
      <c r="A822" s="3" t="s">
        <v>3657</v>
      </c>
      <c r="B822" s="3" t="s">
        <v>3658</v>
      </c>
      <c r="C822" s="3" t="s">
        <v>13</v>
      </c>
      <c r="D822" s="3" t="s">
        <v>6238</v>
      </c>
      <c r="E822" s="3"/>
      <c r="F822" s="3"/>
      <c r="G822" s="3" t="s">
        <v>957</v>
      </c>
      <c r="H822" s="3"/>
      <c r="I822" s="3"/>
      <c r="J822" s="3" t="s">
        <v>3659</v>
      </c>
      <c r="K822" s="3"/>
      <c r="L822" s="3" t="s">
        <v>3660</v>
      </c>
      <c r="M822" s="3" t="str">
        <f>HYPERLINK("https://ceds.ed.gov/cedselementdetails.aspx?termid=6161")</f>
        <v>https://ceds.ed.gov/cedselementdetails.aspx?termid=6161</v>
      </c>
      <c r="N822" s="3" t="str">
        <f>HYPERLINK("https://ceds.ed.gov/elementComment.aspx?elementName=Learning Resource Peer Rating Value &amp;elementID=6161", "Click here to submit comment")</f>
        <v>Click here to submit comment</v>
      </c>
    </row>
    <row r="823" spans="1:14" ht="409.5">
      <c r="A823" s="3" t="s">
        <v>3661</v>
      </c>
      <c r="B823" s="3" t="s">
        <v>3662</v>
      </c>
      <c r="C823" s="4" t="s">
        <v>6566</v>
      </c>
      <c r="D823" s="3" t="s">
        <v>6226</v>
      </c>
      <c r="E823" s="3"/>
      <c r="F823" s="3" t="s">
        <v>54</v>
      </c>
      <c r="G823" s="3"/>
      <c r="H823" s="3"/>
      <c r="I823" s="3"/>
      <c r="J823" s="3" t="s">
        <v>3663</v>
      </c>
      <c r="K823" s="3"/>
      <c r="L823" s="3" t="s">
        <v>3664</v>
      </c>
      <c r="M823" s="3" t="str">
        <f>HYPERLINK("https://ceds.ed.gov/cedselementdetails.aspx?termid=6370")</f>
        <v>https://ceds.ed.gov/cedselementdetails.aspx?termid=6370</v>
      </c>
      <c r="N823" s="3" t="str">
        <f>HYPERLINK("https://ceds.ed.gov/elementComment.aspx?elementName=Learning Resource Physical Media Type &amp;elementID=6370", "Click here to submit comment")</f>
        <v>Click here to submit comment</v>
      </c>
    </row>
    <row r="824" spans="1:14" ht="150">
      <c r="A824" s="3" t="s">
        <v>3665</v>
      </c>
      <c r="B824" s="3" t="s">
        <v>3666</v>
      </c>
      <c r="C824" s="3" t="s">
        <v>13</v>
      </c>
      <c r="D824" s="3" t="s">
        <v>6239</v>
      </c>
      <c r="E824" s="3"/>
      <c r="F824" s="3"/>
      <c r="G824" s="3" t="s">
        <v>73</v>
      </c>
      <c r="H824" s="3"/>
      <c r="I824" s="3"/>
      <c r="J824" s="3" t="s">
        <v>3667</v>
      </c>
      <c r="K824" s="3"/>
      <c r="L824" s="3" t="s">
        <v>3668</v>
      </c>
      <c r="M824" s="3" t="str">
        <f>HYPERLINK("https://ceds.ed.gov/cedselementdetails.aspx?termid=6135")</f>
        <v>https://ceds.ed.gov/cedselementdetails.aspx?termid=6135</v>
      </c>
      <c r="N824" s="3" t="str">
        <f>HYPERLINK("https://ceds.ed.gov/elementComment.aspx?elementName=Learning Resource Published Date &amp;elementID=6135", "Click here to submit comment")</f>
        <v>Click here to submit comment</v>
      </c>
    </row>
    <row r="825" spans="1:14" ht="90">
      <c r="A825" s="3" t="s">
        <v>3669</v>
      </c>
      <c r="B825" s="3" t="s">
        <v>3670</v>
      </c>
      <c r="C825" s="3" t="s">
        <v>13</v>
      </c>
      <c r="D825" s="3" t="s">
        <v>6226</v>
      </c>
      <c r="E825" s="3"/>
      <c r="F825" s="3"/>
      <c r="G825" s="3" t="s">
        <v>106</v>
      </c>
      <c r="H825" s="3"/>
      <c r="I825" s="3"/>
      <c r="J825" s="3" t="s">
        <v>3671</v>
      </c>
      <c r="K825" s="3"/>
      <c r="L825" s="3" t="s">
        <v>3672</v>
      </c>
      <c r="M825" s="3" t="str">
        <f>HYPERLINK("https://ceds.ed.gov/cedselementdetails.aspx?termid=5919")</f>
        <v>https://ceds.ed.gov/cedselementdetails.aspx?termid=5919</v>
      </c>
      <c r="N825" s="3" t="str">
        <f>HYPERLINK("https://ceds.ed.gov/elementComment.aspx?elementName=Learning Resource Publisher Name &amp;elementID=5919", "Click here to submit comment")</f>
        <v>Click here to submit comment</v>
      </c>
    </row>
    <row r="826" spans="1:14" ht="90">
      <c r="A826" s="3" t="s">
        <v>3673</v>
      </c>
      <c r="B826" s="3" t="s">
        <v>3674</v>
      </c>
      <c r="C826" s="3" t="s">
        <v>13</v>
      </c>
      <c r="D826" s="3" t="s">
        <v>6226</v>
      </c>
      <c r="E826" s="3"/>
      <c r="F826" s="3"/>
      <c r="G826" s="3" t="s">
        <v>100</v>
      </c>
      <c r="H826" s="3"/>
      <c r="I826" s="3" t="s">
        <v>3675</v>
      </c>
      <c r="J826" s="3" t="s">
        <v>3676</v>
      </c>
      <c r="K826" s="3"/>
      <c r="L826" s="3" t="s">
        <v>3677</v>
      </c>
      <c r="M826" s="3" t="str">
        <f>HYPERLINK("https://ceds.ed.gov/cedselementdetails.aspx?termid=5914")</f>
        <v>https://ceds.ed.gov/cedselementdetails.aspx?termid=5914</v>
      </c>
      <c r="N826" s="3" t="str">
        <f>HYPERLINK("https://ceds.ed.gov/elementComment.aspx?elementName=Learning Resource Subject Code &amp;elementID=5914", "Click here to submit comment")</f>
        <v>Click here to submit comment</v>
      </c>
    </row>
    <row r="827" spans="1:14" ht="90">
      <c r="A827" s="3" t="s">
        <v>3678</v>
      </c>
      <c r="B827" s="3" t="s">
        <v>3679</v>
      </c>
      <c r="C827" s="3" t="s">
        <v>13</v>
      </c>
      <c r="D827" s="3" t="s">
        <v>6226</v>
      </c>
      <c r="E827" s="3"/>
      <c r="F827" s="3"/>
      <c r="G827" s="3" t="s">
        <v>100</v>
      </c>
      <c r="H827" s="3"/>
      <c r="I827" s="3" t="s">
        <v>3680</v>
      </c>
      <c r="J827" s="3" t="s">
        <v>3681</v>
      </c>
      <c r="K827" s="3"/>
      <c r="L827" s="3" t="s">
        <v>3682</v>
      </c>
      <c r="M827" s="3" t="str">
        <f>HYPERLINK("https://ceds.ed.gov/cedselementdetails.aspx?termid=5915")</f>
        <v>https://ceds.ed.gov/cedselementdetails.aspx?termid=5915</v>
      </c>
      <c r="N827" s="3" t="str">
        <f>HYPERLINK("https://ceds.ed.gov/elementComment.aspx?elementName=Learning Resource Subject Code System &amp;elementID=5915", "Click here to submit comment")</f>
        <v>Click here to submit comment</v>
      </c>
    </row>
    <row r="828" spans="1:14" ht="90">
      <c r="A828" s="3" t="s">
        <v>3683</v>
      </c>
      <c r="B828" s="3" t="s">
        <v>3684</v>
      </c>
      <c r="C828" s="3" t="s">
        <v>13</v>
      </c>
      <c r="D828" s="3" t="s">
        <v>6226</v>
      </c>
      <c r="E828" s="3"/>
      <c r="F828" s="3"/>
      <c r="G828" s="3" t="s">
        <v>100</v>
      </c>
      <c r="H828" s="3"/>
      <c r="I828" s="3"/>
      <c r="J828" s="3" t="s">
        <v>3685</v>
      </c>
      <c r="K828" s="3"/>
      <c r="L828" s="3" t="s">
        <v>3686</v>
      </c>
      <c r="M828" s="3" t="str">
        <f>HYPERLINK("https://ceds.ed.gov/cedselementdetails.aspx?termid=5913")</f>
        <v>https://ceds.ed.gov/cedselementdetails.aspx?termid=5913</v>
      </c>
      <c r="N828" s="3" t="str">
        <f>HYPERLINK("https://ceds.ed.gov/elementComment.aspx?elementName=Learning Resource Subject Name &amp;elementID=5913", "Click here to submit comment")</f>
        <v>Click here to submit comment</v>
      </c>
    </row>
    <row r="829" spans="1:14" ht="90">
      <c r="A829" s="3" t="s">
        <v>3687</v>
      </c>
      <c r="B829" s="3" t="s">
        <v>3688</v>
      </c>
      <c r="C829" s="3" t="s">
        <v>13</v>
      </c>
      <c r="D829" s="3" t="s">
        <v>6226</v>
      </c>
      <c r="E829" s="3"/>
      <c r="F829" s="3"/>
      <c r="G829" s="3" t="s">
        <v>100</v>
      </c>
      <c r="H829" s="3"/>
      <c r="I829" s="3"/>
      <c r="J829" s="3" t="s">
        <v>3689</v>
      </c>
      <c r="K829" s="3"/>
      <c r="L829" s="3" t="s">
        <v>3690</v>
      </c>
      <c r="M829" s="3" t="str">
        <f>HYPERLINK("https://ceds.ed.gov/cedselementdetails.aspx?termid=5931")</f>
        <v>https://ceds.ed.gov/cedselementdetails.aspx?termid=5931</v>
      </c>
      <c r="N829" s="3" t="str">
        <f>HYPERLINK("https://ceds.ed.gov/elementComment.aspx?elementName=Learning Resource Text Complexity System &amp;elementID=5931", "Click here to submit comment")</f>
        <v>Click here to submit comment</v>
      </c>
    </row>
    <row r="830" spans="1:14" ht="90">
      <c r="A830" s="3" t="s">
        <v>3691</v>
      </c>
      <c r="B830" s="3" t="s">
        <v>3692</v>
      </c>
      <c r="C830" s="3" t="s">
        <v>13</v>
      </c>
      <c r="D830" s="3" t="s">
        <v>6226</v>
      </c>
      <c r="E830" s="3"/>
      <c r="F830" s="3"/>
      <c r="G830" s="3" t="s">
        <v>100</v>
      </c>
      <c r="H830" s="3"/>
      <c r="I830" s="3"/>
      <c r="J830" s="3" t="s">
        <v>3693</v>
      </c>
      <c r="K830" s="3"/>
      <c r="L830" s="3" t="s">
        <v>3694</v>
      </c>
      <c r="M830" s="3" t="str">
        <f>HYPERLINK("https://ceds.ed.gov/cedselementdetails.aspx?termid=5930")</f>
        <v>https://ceds.ed.gov/cedselementdetails.aspx?termid=5930</v>
      </c>
      <c r="N830" s="3" t="str">
        <f>HYPERLINK("https://ceds.ed.gov/elementComment.aspx?elementName=Learning Resource Text Complexity Value &amp;elementID=5930", "Click here to submit comment")</f>
        <v>Click here to submit comment</v>
      </c>
    </row>
    <row r="831" spans="1:14" ht="90">
      <c r="A831" s="3" t="s">
        <v>3695</v>
      </c>
      <c r="B831" s="3" t="s">
        <v>3696</v>
      </c>
      <c r="C831" s="3" t="s">
        <v>13</v>
      </c>
      <c r="D831" s="3" t="s">
        <v>6226</v>
      </c>
      <c r="E831" s="3"/>
      <c r="F831" s="3" t="s">
        <v>66</v>
      </c>
      <c r="G831" s="3" t="s">
        <v>3697</v>
      </c>
      <c r="H831" s="3" t="s">
        <v>3698</v>
      </c>
      <c r="I831" s="3"/>
      <c r="J831" s="3" t="s">
        <v>3699</v>
      </c>
      <c r="K831" s="3"/>
      <c r="L831" s="3" t="s">
        <v>3700</v>
      </c>
      <c r="M831" s="3" t="str">
        <f>HYPERLINK("https://ceds.ed.gov/cedselementdetails.aspx?termid=5925")</f>
        <v>https://ceds.ed.gov/cedselementdetails.aspx?termid=5925</v>
      </c>
      <c r="N831" s="3" t="str">
        <f>HYPERLINK("https://ceds.ed.gov/elementComment.aspx?elementName=Learning Resource Time Required &amp;elementID=5925", "Click here to submit comment")</f>
        <v>Click here to submit comment</v>
      </c>
    </row>
    <row r="832" spans="1:14" ht="90">
      <c r="A832" s="3" t="s">
        <v>3701</v>
      </c>
      <c r="B832" s="3" t="s">
        <v>3702</v>
      </c>
      <c r="C832" s="3" t="s">
        <v>13</v>
      </c>
      <c r="D832" s="3" t="s">
        <v>6226</v>
      </c>
      <c r="E832" s="3"/>
      <c r="F832" s="3"/>
      <c r="G832" s="3" t="s">
        <v>100</v>
      </c>
      <c r="H832" s="3"/>
      <c r="I832" s="3"/>
      <c r="J832" s="3" t="s">
        <v>3703</v>
      </c>
      <c r="K832" s="3"/>
      <c r="L832" s="3" t="s">
        <v>3704</v>
      </c>
      <c r="M832" s="3" t="str">
        <f>HYPERLINK("https://ceds.ed.gov/cedselementdetails.aspx?termid=5912")</f>
        <v>https://ceds.ed.gov/cedselementdetails.aspx?termid=5912</v>
      </c>
      <c r="N832" s="3" t="str">
        <f>HYPERLINK("https://ceds.ed.gov/elementComment.aspx?elementName=Learning Resource Title &amp;elementID=5912", "Click here to submit comment")</f>
        <v>Click here to submit comment</v>
      </c>
    </row>
    <row r="833" spans="1:14" ht="360">
      <c r="A833" s="3" t="s">
        <v>3705</v>
      </c>
      <c r="B833" s="3" t="s">
        <v>3706</v>
      </c>
      <c r="C833" s="4" t="s">
        <v>6567</v>
      </c>
      <c r="D833" s="3" t="s">
        <v>6226</v>
      </c>
      <c r="E833" s="3"/>
      <c r="F833" s="3" t="s">
        <v>66</v>
      </c>
      <c r="G833" s="3"/>
      <c r="H833" s="3" t="s">
        <v>3621</v>
      </c>
      <c r="I833" s="3" t="s">
        <v>3707</v>
      </c>
      <c r="J833" s="3" t="s">
        <v>3708</v>
      </c>
      <c r="K833" s="3"/>
      <c r="L833" s="3" t="s">
        <v>3709</v>
      </c>
      <c r="M833" s="3" t="str">
        <f>HYPERLINK("https://ceds.ed.gov/cedselementdetails.aspx?termid=5929")</f>
        <v>https://ceds.ed.gov/cedselementdetails.aspx?termid=5929</v>
      </c>
      <c r="N833" s="3" t="str">
        <f>HYPERLINK("https://ceds.ed.gov/elementComment.aspx?elementName=Learning Resource Type &amp;elementID=5929", "Click here to submit comment")</f>
        <v>Click here to submit comment</v>
      </c>
    </row>
    <row r="834" spans="1:14" ht="90">
      <c r="A834" s="3" t="s">
        <v>3710</v>
      </c>
      <c r="B834" s="3" t="s">
        <v>3711</v>
      </c>
      <c r="C834" s="3" t="s">
        <v>13</v>
      </c>
      <c r="D834" s="3" t="s">
        <v>6226</v>
      </c>
      <c r="E834" s="3"/>
      <c r="F834" s="3"/>
      <c r="G834" s="3" t="s">
        <v>308</v>
      </c>
      <c r="H834" s="3"/>
      <c r="I834" s="3"/>
      <c r="J834" s="3" t="s">
        <v>3712</v>
      </c>
      <c r="K834" s="3"/>
      <c r="L834" s="3" t="s">
        <v>3713</v>
      </c>
      <c r="M834" s="3" t="str">
        <f>HYPERLINK("https://ceds.ed.gov/cedselementdetails.aspx?termid=5927")</f>
        <v>https://ceds.ed.gov/cedselementdetails.aspx?termid=5927</v>
      </c>
      <c r="N834" s="3" t="str">
        <f>HYPERLINK("https://ceds.ed.gov/elementComment.aspx?elementName=Learning Resource Typical Age Range Maximum &amp;elementID=5927", "Click here to submit comment")</f>
        <v>Click here to submit comment</v>
      </c>
    </row>
    <row r="835" spans="1:14" ht="90">
      <c r="A835" s="3" t="s">
        <v>3714</v>
      </c>
      <c r="B835" s="3" t="s">
        <v>3715</v>
      </c>
      <c r="C835" s="3" t="s">
        <v>13</v>
      </c>
      <c r="D835" s="3" t="s">
        <v>6226</v>
      </c>
      <c r="E835" s="3"/>
      <c r="F835" s="3"/>
      <c r="G835" s="3" t="s">
        <v>308</v>
      </c>
      <c r="H835" s="3"/>
      <c r="I835" s="3"/>
      <c r="J835" s="3" t="s">
        <v>3716</v>
      </c>
      <c r="K835" s="3"/>
      <c r="L835" s="3" t="s">
        <v>3717</v>
      </c>
      <c r="M835" s="3" t="str">
        <f>HYPERLINK("https://ceds.ed.gov/cedselementdetails.aspx?termid=5926")</f>
        <v>https://ceds.ed.gov/cedselementdetails.aspx?termid=5926</v>
      </c>
      <c r="N835" s="3" t="str">
        <f>HYPERLINK("https://ceds.ed.gov/elementComment.aspx?elementName=Learning Resource Typical Age Range Minimum &amp;elementID=5926", "Click here to submit comment")</f>
        <v>Click here to submit comment</v>
      </c>
    </row>
    <row r="836" spans="1:14" ht="90">
      <c r="A836" s="3" t="s">
        <v>3718</v>
      </c>
      <c r="B836" s="3" t="s">
        <v>3719</v>
      </c>
      <c r="C836" s="3" t="s">
        <v>13</v>
      </c>
      <c r="D836" s="3" t="s">
        <v>6226</v>
      </c>
      <c r="E836" s="3"/>
      <c r="F836" s="3"/>
      <c r="G836" s="3" t="s">
        <v>93</v>
      </c>
      <c r="H836" s="3"/>
      <c r="I836" s="3"/>
      <c r="J836" s="3" t="s">
        <v>3720</v>
      </c>
      <c r="K836" s="3"/>
      <c r="L836" s="3" t="s">
        <v>3721</v>
      </c>
      <c r="M836" s="3" t="str">
        <f>HYPERLINK("https://ceds.ed.gov/cedselementdetails.aspx?termid=5911")</f>
        <v>https://ceds.ed.gov/cedselementdetails.aspx?termid=5911</v>
      </c>
      <c r="N836" s="3" t="str">
        <f>HYPERLINK("https://ceds.ed.gov/elementComment.aspx?elementName=Learning Resource URL &amp;elementID=5911", "Click here to submit comment")</f>
        <v>Click here to submit comment</v>
      </c>
    </row>
    <row r="837" spans="1:14" ht="90">
      <c r="A837" s="3" t="s">
        <v>3722</v>
      </c>
      <c r="B837" s="3" t="s">
        <v>3723</v>
      </c>
      <c r="C837" s="3" t="s">
        <v>13</v>
      </c>
      <c r="D837" s="3" t="s">
        <v>6226</v>
      </c>
      <c r="E837" s="3"/>
      <c r="F837" s="3"/>
      <c r="G837" s="3" t="s">
        <v>93</v>
      </c>
      <c r="H837" s="3"/>
      <c r="I837" s="3" t="s">
        <v>3724</v>
      </c>
      <c r="J837" s="3" t="s">
        <v>3725</v>
      </c>
      <c r="K837" s="3"/>
      <c r="L837" s="3" t="s">
        <v>3726</v>
      </c>
      <c r="M837" s="3" t="str">
        <f>HYPERLINK("https://ceds.ed.gov/cedselementdetails.aspx?termid=5922")</f>
        <v>https://ceds.ed.gov/cedselementdetails.aspx?termid=5922</v>
      </c>
      <c r="N837" s="3" t="str">
        <f>HYPERLINK("https://ceds.ed.gov/elementComment.aspx?elementName=Learning Resource Use Rights URL &amp;elementID=5922", "Click here to submit comment")</f>
        <v>Click here to submit comment</v>
      </c>
    </row>
    <row r="838" spans="1:14" ht="90">
      <c r="A838" s="3" t="s">
        <v>3727</v>
      </c>
      <c r="B838" s="3" t="s">
        <v>3728</v>
      </c>
      <c r="C838" s="3" t="s">
        <v>13</v>
      </c>
      <c r="D838" s="3" t="s">
        <v>6226</v>
      </c>
      <c r="E838" s="3"/>
      <c r="F838" s="3" t="s">
        <v>66</v>
      </c>
      <c r="G838" s="3" t="s">
        <v>100</v>
      </c>
      <c r="H838" s="3" t="s">
        <v>1820</v>
      </c>
      <c r="I838" s="3"/>
      <c r="J838" s="3" t="s">
        <v>3729</v>
      </c>
      <c r="K838" s="3"/>
      <c r="L838" s="3" t="s">
        <v>3730</v>
      </c>
      <c r="M838" s="3" t="str">
        <f>HYPERLINK("https://ceds.ed.gov/cedselementdetails.aspx?termid=6182")</f>
        <v>https://ceds.ed.gov/cedselementdetails.aspx?termid=6182</v>
      </c>
      <c r="N838" s="3" t="str">
        <f>HYPERLINK("https://ceds.ed.gov/elementComment.aspx?elementName=Learning Resource Version &amp;elementID=6182", "Click here to submit comment")</f>
        <v>Click here to submit comment</v>
      </c>
    </row>
    <row r="839" spans="1:14" ht="120">
      <c r="A839" s="3" t="s">
        <v>3731</v>
      </c>
      <c r="B839" s="3" t="s">
        <v>3732</v>
      </c>
      <c r="C839" s="3" t="s">
        <v>13</v>
      </c>
      <c r="D839" s="3" t="s">
        <v>6240</v>
      </c>
      <c r="E839" s="3"/>
      <c r="F839" s="3"/>
      <c r="G839" s="3" t="s">
        <v>1440</v>
      </c>
      <c r="H839" s="3"/>
      <c r="I839" s="3"/>
      <c r="J839" s="3" t="s">
        <v>3733</v>
      </c>
      <c r="K839" s="3"/>
      <c r="L839" s="3" t="s">
        <v>3734</v>
      </c>
      <c r="M839" s="3" t="str">
        <f>HYPERLINK("https://ceds.ed.gov/cedselementdetails.aspx?termid=5673")</f>
        <v>https://ceds.ed.gov/cedselementdetails.aspx?termid=5673</v>
      </c>
      <c r="N839" s="3" t="str">
        <f>HYPERLINK("https://ceds.ed.gov/elementComment.aspx?elementName=Learning Standard Document Creator &amp;elementID=5673", "Click here to submit comment")</f>
        <v>Click here to submit comment</v>
      </c>
    </row>
    <row r="840" spans="1:14" ht="120">
      <c r="A840" s="3" t="s">
        <v>3735</v>
      </c>
      <c r="B840" s="3" t="s">
        <v>3736</v>
      </c>
      <c r="C840" s="3" t="s">
        <v>13</v>
      </c>
      <c r="D840" s="3" t="s">
        <v>6240</v>
      </c>
      <c r="E840" s="3"/>
      <c r="F840" s="3"/>
      <c r="G840" s="3" t="s">
        <v>93</v>
      </c>
      <c r="H840" s="3"/>
      <c r="I840" s="3"/>
      <c r="J840" s="3" t="s">
        <v>3737</v>
      </c>
      <c r="K840" s="3"/>
      <c r="L840" s="3" t="s">
        <v>3738</v>
      </c>
      <c r="M840" s="3" t="str">
        <f>HYPERLINK("https://ceds.ed.gov/cedselementdetails.aspx?termid=5674")</f>
        <v>https://ceds.ed.gov/cedselementdetails.aspx?termid=5674</v>
      </c>
      <c r="N840" s="3" t="str">
        <f>HYPERLINK("https://ceds.ed.gov/elementComment.aspx?elementName=Learning Standard Document Description &amp;elementID=5674", "Click here to submit comment")</f>
        <v>Click here to submit comment</v>
      </c>
    </row>
    <row r="841" spans="1:14" ht="120">
      <c r="A841" s="3" t="s">
        <v>3739</v>
      </c>
      <c r="B841" s="3" t="s">
        <v>3740</v>
      </c>
      <c r="C841" s="3" t="s">
        <v>13</v>
      </c>
      <c r="D841" s="3" t="s">
        <v>6240</v>
      </c>
      <c r="E841" s="3" t="s">
        <v>493</v>
      </c>
      <c r="F841" s="3"/>
      <c r="G841" s="3" t="s">
        <v>93</v>
      </c>
      <c r="H841" s="3"/>
      <c r="I841" s="3"/>
      <c r="J841" s="3" t="s">
        <v>3741</v>
      </c>
      <c r="K841" s="3"/>
      <c r="L841" s="3" t="s">
        <v>3742</v>
      </c>
      <c r="M841" s="3" t="str">
        <f>HYPERLINK("https://ceds.ed.gov/cedselementdetails.aspx?termid=5670")</f>
        <v>https://ceds.ed.gov/cedselementdetails.aspx?termid=5670</v>
      </c>
      <c r="N841" s="3" t="str">
        <f>HYPERLINK("https://ceds.ed.gov/elementComment.aspx?elementName=Learning Standard Document Identifier URI &amp;elementID=5670", "Click here to submit comment")</f>
        <v>Click here to submit comment</v>
      </c>
    </row>
    <row r="842" spans="1:14" ht="120">
      <c r="A842" s="3" t="s">
        <v>3743</v>
      </c>
      <c r="B842" s="3" t="s">
        <v>3744</v>
      </c>
      <c r="C842" s="3" t="s">
        <v>13</v>
      </c>
      <c r="D842" s="3" t="s">
        <v>6240</v>
      </c>
      <c r="E842" s="3"/>
      <c r="F842" s="3"/>
      <c r="G842" s="3" t="s">
        <v>1440</v>
      </c>
      <c r="H842" s="3"/>
      <c r="I842" s="3"/>
      <c r="J842" s="3" t="s">
        <v>3745</v>
      </c>
      <c r="K842" s="3"/>
      <c r="L842" s="3" t="s">
        <v>3746</v>
      </c>
      <c r="M842" s="3" t="str">
        <f>HYPERLINK("https://ceds.ed.gov/cedselementdetails.aspx?termid=5676")</f>
        <v>https://ceds.ed.gov/cedselementdetails.aspx?termid=5676</v>
      </c>
      <c r="N842" s="3" t="str">
        <f>HYPERLINK("https://ceds.ed.gov/elementComment.aspx?elementName=Learning Standard Document Jurisdiction &amp;elementID=5676", "Click here to submit comment")</f>
        <v>Click here to submit comment</v>
      </c>
    </row>
    <row r="843" spans="1:14" ht="75">
      <c r="A843" s="3" t="s">
        <v>3747</v>
      </c>
      <c r="B843" s="3" t="s">
        <v>3748</v>
      </c>
      <c r="C843" s="5" t="s">
        <v>939</v>
      </c>
      <c r="D843" s="3" t="s">
        <v>6241</v>
      </c>
      <c r="E843" s="3"/>
      <c r="F843" s="3"/>
      <c r="G843" s="3"/>
      <c r="H843" s="3"/>
      <c r="I843" s="3" t="s">
        <v>3478</v>
      </c>
      <c r="J843" s="3" t="s">
        <v>3749</v>
      </c>
      <c r="K843" s="3"/>
      <c r="L843" s="3" t="s">
        <v>3750</v>
      </c>
      <c r="M843" s="3" t="str">
        <f>HYPERLINK("https://ceds.ed.gov/cedselementdetails.aspx?termid=5880")</f>
        <v>https://ceds.ed.gov/cedselementdetails.aspx?termid=5880</v>
      </c>
      <c r="N843" s="3" t="str">
        <f>HYPERLINK("https://ceds.ed.gov/elementComment.aspx?elementName=Learning Standard Document Language &amp;elementID=5880", "Click here to submit comment")</f>
        <v>Click here to submit comment</v>
      </c>
    </row>
    <row r="844" spans="1:14" ht="75">
      <c r="A844" s="3" t="s">
        <v>3751</v>
      </c>
      <c r="B844" s="3" t="s">
        <v>3752</v>
      </c>
      <c r="C844" s="3" t="s">
        <v>13</v>
      </c>
      <c r="D844" s="3" t="s">
        <v>6241</v>
      </c>
      <c r="E844" s="3"/>
      <c r="F844" s="3"/>
      <c r="G844" s="3" t="s">
        <v>93</v>
      </c>
      <c r="H844" s="3"/>
      <c r="I844" s="3"/>
      <c r="J844" s="3" t="s">
        <v>3753</v>
      </c>
      <c r="K844" s="3"/>
      <c r="L844" s="3" t="s">
        <v>3754</v>
      </c>
      <c r="M844" s="3" t="str">
        <f>HYPERLINK("https://ceds.ed.gov/cedselementdetails.aspx?termid=5882")</f>
        <v>https://ceds.ed.gov/cedselementdetails.aspx?termid=5882</v>
      </c>
      <c r="N844" s="3" t="str">
        <f>HYPERLINK("https://ceds.ed.gov/elementComment.aspx?elementName=Learning Standard Document License &amp;elementID=5882", "Click here to submit comment")</f>
        <v>Click here to submit comment</v>
      </c>
    </row>
    <row r="845" spans="1:14" ht="120">
      <c r="A845" s="3" t="s">
        <v>3755</v>
      </c>
      <c r="B845" s="3" t="s">
        <v>3756</v>
      </c>
      <c r="C845" s="3" t="s">
        <v>6242</v>
      </c>
      <c r="D845" s="3" t="s">
        <v>6240</v>
      </c>
      <c r="E845" s="3"/>
      <c r="F845" s="3"/>
      <c r="G845" s="3"/>
      <c r="H845" s="3"/>
      <c r="I845" s="3"/>
      <c r="J845" s="3" t="s">
        <v>3757</v>
      </c>
      <c r="K845" s="3"/>
      <c r="L845" s="3" t="s">
        <v>3758</v>
      </c>
      <c r="M845" s="3" t="str">
        <f>HYPERLINK("https://ceds.ed.gov/cedselementdetails.aspx?termid=5675")</f>
        <v>https://ceds.ed.gov/cedselementdetails.aspx?termid=5675</v>
      </c>
      <c r="N845" s="3" t="str">
        <f>HYPERLINK("https://ceds.ed.gov/elementComment.aspx?elementName=Learning Standard Document Publication Status &amp;elementID=5675", "Click here to submit comment")</f>
        <v>Click here to submit comment</v>
      </c>
    </row>
    <row r="846" spans="1:14" ht="75">
      <c r="A846" s="3" t="s">
        <v>3759</v>
      </c>
      <c r="B846" s="3" t="s">
        <v>3760</v>
      </c>
      <c r="C846" s="3" t="s">
        <v>13</v>
      </c>
      <c r="D846" s="3" t="s">
        <v>6241</v>
      </c>
      <c r="E846" s="3"/>
      <c r="F846" s="3"/>
      <c r="G846" s="3" t="s">
        <v>100</v>
      </c>
      <c r="H846" s="3"/>
      <c r="I846" s="3"/>
      <c r="J846" s="3" t="s">
        <v>3761</v>
      </c>
      <c r="K846" s="3"/>
      <c r="L846" s="3" t="s">
        <v>3762</v>
      </c>
      <c r="M846" s="3" t="str">
        <f>HYPERLINK("https://ceds.ed.gov/cedselementdetails.aspx?termid=5884")</f>
        <v>https://ceds.ed.gov/cedselementdetails.aspx?termid=5884</v>
      </c>
      <c r="N846" s="3" t="str">
        <f>HYPERLINK("https://ceds.ed.gov/elementComment.aspx?elementName=Learning Standard Document Publisher &amp;elementID=5884", "Click here to submit comment")</f>
        <v>Click here to submit comment</v>
      </c>
    </row>
    <row r="847" spans="1:14" ht="75">
      <c r="A847" s="3" t="s">
        <v>3763</v>
      </c>
      <c r="B847" s="3" t="s">
        <v>3764</v>
      </c>
      <c r="C847" s="3" t="s">
        <v>13</v>
      </c>
      <c r="D847" s="3" t="s">
        <v>6241</v>
      </c>
      <c r="E847" s="3"/>
      <c r="F847" s="3"/>
      <c r="G847" s="3" t="s">
        <v>93</v>
      </c>
      <c r="H847" s="3"/>
      <c r="I847" s="3"/>
      <c r="J847" s="3" t="s">
        <v>3765</v>
      </c>
      <c r="K847" s="3"/>
      <c r="L847" s="3" t="s">
        <v>3766</v>
      </c>
      <c r="M847" s="3" t="str">
        <f>HYPERLINK("https://ceds.ed.gov/cedselementdetails.aspx?termid=5885")</f>
        <v>https://ceds.ed.gov/cedselementdetails.aspx?termid=5885</v>
      </c>
      <c r="N847" s="3" t="str">
        <f>HYPERLINK("https://ceds.ed.gov/elementComment.aspx?elementName=Learning Standard Document Rights &amp;elementID=5885", "Click here to submit comment")</f>
        <v>Click here to submit comment</v>
      </c>
    </row>
    <row r="848" spans="1:14" ht="75">
      <c r="A848" s="3" t="s">
        <v>3767</v>
      </c>
      <c r="B848" s="3" t="s">
        <v>3768</v>
      </c>
      <c r="C848" s="3" t="s">
        <v>13</v>
      </c>
      <c r="D848" s="3" t="s">
        <v>6241</v>
      </c>
      <c r="E848" s="3"/>
      <c r="F848" s="3"/>
      <c r="G848" s="3" t="s">
        <v>100</v>
      </c>
      <c r="H848" s="3"/>
      <c r="I848" s="3"/>
      <c r="J848" s="3" t="s">
        <v>3769</v>
      </c>
      <c r="K848" s="3"/>
      <c r="L848" s="3" t="s">
        <v>3770</v>
      </c>
      <c r="M848" s="3" t="str">
        <f>HYPERLINK("https://ceds.ed.gov/cedselementdetails.aspx?termid=5886")</f>
        <v>https://ceds.ed.gov/cedselementdetails.aspx?termid=5886</v>
      </c>
      <c r="N848" s="3" t="str">
        <f>HYPERLINK("https://ceds.ed.gov/elementComment.aspx?elementName=Learning Standard Document Rights Holder &amp;elementID=5886", "Click here to submit comment")</f>
        <v>Click here to submit comment</v>
      </c>
    </row>
    <row r="849" spans="1:14" ht="120">
      <c r="A849" s="3" t="s">
        <v>3771</v>
      </c>
      <c r="B849" s="3" t="s">
        <v>3772</v>
      </c>
      <c r="C849" s="3" t="s">
        <v>13</v>
      </c>
      <c r="D849" s="3" t="s">
        <v>6240</v>
      </c>
      <c r="E849" s="3" t="s">
        <v>493</v>
      </c>
      <c r="F849" s="3"/>
      <c r="G849" s="3" t="s">
        <v>100</v>
      </c>
      <c r="H849" s="3"/>
      <c r="I849" s="3"/>
      <c r="J849" s="3" t="s">
        <v>3773</v>
      </c>
      <c r="K849" s="3"/>
      <c r="L849" s="3" t="s">
        <v>3774</v>
      </c>
      <c r="M849" s="3" t="str">
        <f>HYPERLINK("https://ceds.ed.gov/cedselementdetails.aspx?termid=5679")</f>
        <v>https://ceds.ed.gov/cedselementdetails.aspx?termid=5679</v>
      </c>
      <c r="N849" s="3" t="str">
        <f>HYPERLINK("https://ceds.ed.gov/elementComment.aspx?elementName=Learning Standard Document Subject &amp;elementID=5679", "Click here to submit comment")</f>
        <v>Click here to submit comment</v>
      </c>
    </row>
    <row r="850" spans="1:14" ht="120">
      <c r="A850" s="3" t="s">
        <v>3775</v>
      </c>
      <c r="B850" s="3" t="s">
        <v>3776</v>
      </c>
      <c r="C850" s="3" t="s">
        <v>13</v>
      </c>
      <c r="D850" s="3" t="s">
        <v>6240</v>
      </c>
      <c r="E850" s="3" t="s">
        <v>493</v>
      </c>
      <c r="F850" s="3"/>
      <c r="G850" s="3" t="s">
        <v>1440</v>
      </c>
      <c r="H850" s="3"/>
      <c r="I850" s="3"/>
      <c r="J850" s="3" t="s">
        <v>3777</v>
      </c>
      <c r="K850" s="3"/>
      <c r="L850" s="3" t="s">
        <v>3778</v>
      </c>
      <c r="M850" s="3" t="str">
        <f>HYPERLINK("https://ceds.ed.gov/cedselementdetails.aspx?termid=5671")</f>
        <v>https://ceds.ed.gov/cedselementdetails.aspx?termid=5671</v>
      </c>
      <c r="N850" s="3" t="str">
        <f>HYPERLINK("https://ceds.ed.gov/elementComment.aspx?elementName=Learning Standard Document Title &amp;elementID=5671", "Click here to submit comment")</f>
        <v>Click here to submit comment</v>
      </c>
    </row>
    <row r="851" spans="1:14" ht="120">
      <c r="A851" s="3" t="s">
        <v>3779</v>
      </c>
      <c r="B851" s="3" t="s">
        <v>3780</v>
      </c>
      <c r="C851" s="3" t="s">
        <v>13</v>
      </c>
      <c r="D851" s="3" t="s">
        <v>6240</v>
      </c>
      <c r="E851" s="3"/>
      <c r="F851" s="3"/>
      <c r="G851" s="3" t="s">
        <v>73</v>
      </c>
      <c r="H851" s="3"/>
      <c r="I851" s="3"/>
      <c r="J851" s="3" t="s">
        <v>3781</v>
      </c>
      <c r="K851" s="3"/>
      <c r="L851" s="3" t="s">
        <v>3782</v>
      </c>
      <c r="M851" s="3" t="str">
        <f>HYPERLINK("https://ceds.ed.gov/cedselementdetails.aspx?termid=5678")</f>
        <v>https://ceds.ed.gov/cedselementdetails.aspx?termid=5678</v>
      </c>
      <c r="N851" s="3" t="str">
        <f>HYPERLINK("https://ceds.ed.gov/elementComment.aspx?elementName=Learning Standard Document Valid End Date &amp;elementID=5678", "Click here to submit comment")</f>
        <v>Click here to submit comment</v>
      </c>
    </row>
    <row r="852" spans="1:14" ht="120">
      <c r="A852" s="3" t="s">
        <v>3783</v>
      </c>
      <c r="B852" s="3" t="s">
        <v>3784</v>
      </c>
      <c r="C852" s="3" t="s">
        <v>13</v>
      </c>
      <c r="D852" s="3" t="s">
        <v>6240</v>
      </c>
      <c r="E852" s="3"/>
      <c r="F852" s="3"/>
      <c r="G852" s="3" t="s">
        <v>73</v>
      </c>
      <c r="H852" s="3"/>
      <c r="I852" s="3"/>
      <c r="J852" s="3" t="s">
        <v>3785</v>
      </c>
      <c r="K852" s="3"/>
      <c r="L852" s="3" t="s">
        <v>3786</v>
      </c>
      <c r="M852" s="3" t="str">
        <f>HYPERLINK("https://ceds.ed.gov/cedselementdetails.aspx?termid=5677")</f>
        <v>https://ceds.ed.gov/cedselementdetails.aspx?termid=5677</v>
      </c>
      <c r="N852" s="3" t="str">
        <f>HYPERLINK("https://ceds.ed.gov/elementComment.aspx?elementName=Learning Standard Document Valid Start Date &amp;elementID=5677", "Click here to submit comment")</f>
        <v>Click here to submit comment</v>
      </c>
    </row>
    <row r="853" spans="1:14" ht="120">
      <c r="A853" s="3" t="s">
        <v>3787</v>
      </c>
      <c r="B853" s="3" t="s">
        <v>3788</v>
      </c>
      <c r="C853" s="3" t="s">
        <v>13</v>
      </c>
      <c r="D853" s="3" t="s">
        <v>6240</v>
      </c>
      <c r="E853" s="3" t="s">
        <v>493</v>
      </c>
      <c r="F853" s="3"/>
      <c r="G853" s="3" t="s">
        <v>100</v>
      </c>
      <c r="H853" s="3"/>
      <c r="I853" s="3"/>
      <c r="J853" s="3" t="s">
        <v>3789</v>
      </c>
      <c r="K853" s="3"/>
      <c r="L853" s="3" t="s">
        <v>3790</v>
      </c>
      <c r="M853" s="3" t="str">
        <f>HYPERLINK("https://ceds.ed.gov/cedselementdetails.aspx?termid=5672")</f>
        <v>https://ceds.ed.gov/cedselementdetails.aspx?termid=5672</v>
      </c>
      <c r="N853" s="3" t="str">
        <f>HYPERLINK("https://ceds.ed.gov/elementComment.aspx?elementName=Learning Standard Document Version &amp;elementID=5672", "Click here to submit comment")</f>
        <v>Click here to submit comment</v>
      </c>
    </row>
    <row r="854" spans="1:14" ht="45">
      <c r="A854" s="3" t="s">
        <v>3791</v>
      </c>
      <c r="B854" s="3" t="s">
        <v>3792</v>
      </c>
      <c r="C854" s="3" t="s">
        <v>13</v>
      </c>
      <c r="D854" s="3" t="s">
        <v>3793</v>
      </c>
      <c r="E854" s="3"/>
      <c r="F854" s="3" t="s">
        <v>54</v>
      </c>
      <c r="G854" s="3" t="s">
        <v>93</v>
      </c>
      <c r="H854" s="3"/>
      <c r="I854" s="3"/>
      <c r="J854" s="3" t="s">
        <v>3794</v>
      </c>
      <c r="K854" s="3"/>
      <c r="L854" s="3" t="s">
        <v>3795</v>
      </c>
      <c r="M854" s="3" t="str">
        <f>HYPERLINK("https://ceds.ed.gov/cedselementdetails.aspx?termid=6371")</f>
        <v>https://ceds.ed.gov/cedselementdetails.aspx?termid=6371</v>
      </c>
      <c r="N854" s="3" t="str">
        <f>HYPERLINK("https://ceds.ed.gov/elementComment.aspx?elementName=Learning Standard Item Association Connection Citation &amp;elementID=6371", "Click here to submit comment")</f>
        <v>Click here to submit comment</v>
      </c>
    </row>
    <row r="855" spans="1:14" ht="60">
      <c r="A855" s="3" t="s">
        <v>3796</v>
      </c>
      <c r="B855" s="3" t="s">
        <v>3797</v>
      </c>
      <c r="C855" s="3" t="s">
        <v>13</v>
      </c>
      <c r="D855" s="3" t="s">
        <v>3793</v>
      </c>
      <c r="E855" s="3"/>
      <c r="F855" s="3" t="s">
        <v>54</v>
      </c>
      <c r="G855" s="3" t="s">
        <v>100</v>
      </c>
      <c r="H855" s="3"/>
      <c r="I855" s="3"/>
      <c r="J855" s="3" t="s">
        <v>3798</v>
      </c>
      <c r="K855" s="3"/>
      <c r="L855" s="3" t="s">
        <v>3799</v>
      </c>
      <c r="M855" s="3" t="str">
        <f>HYPERLINK("https://ceds.ed.gov/cedselementdetails.aspx?termid=6372")</f>
        <v>https://ceds.ed.gov/cedselementdetails.aspx?termid=6372</v>
      </c>
      <c r="N855" s="3" t="str">
        <f>HYPERLINK("https://ceds.ed.gov/elementComment.aspx?elementName=Learning Standard Item Association Destination Node Name &amp;elementID=6372", "Click here to submit comment")</f>
        <v>Click here to submit comment</v>
      </c>
    </row>
    <row r="856" spans="1:14" ht="45">
      <c r="A856" s="3" t="s">
        <v>3800</v>
      </c>
      <c r="B856" s="3" t="s">
        <v>3801</v>
      </c>
      <c r="C856" s="3" t="s">
        <v>13</v>
      </c>
      <c r="D856" s="3" t="s">
        <v>3793</v>
      </c>
      <c r="E856" s="3"/>
      <c r="F856" s="3" t="s">
        <v>54</v>
      </c>
      <c r="G856" s="3" t="s">
        <v>93</v>
      </c>
      <c r="H856" s="3"/>
      <c r="I856" s="3"/>
      <c r="J856" s="3" t="s">
        <v>3802</v>
      </c>
      <c r="K856" s="3"/>
      <c r="L856" s="3" t="s">
        <v>3803</v>
      </c>
      <c r="M856" s="3" t="str">
        <f>HYPERLINK("https://ceds.ed.gov/cedselementdetails.aspx?termid=6373")</f>
        <v>https://ceds.ed.gov/cedselementdetails.aspx?termid=6373</v>
      </c>
      <c r="N856" s="3" t="str">
        <f>HYPERLINK("https://ceds.ed.gov/elementComment.aspx?elementName=Learning Standard Item Association Destination Node URI &amp;elementID=6373", "Click here to submit comment")</f>
        <v>Click here to submit comment</v>
      </c>
    </row>
    <row r="857" spans="1:14" ht="150">
      <c r="A857" s="3" t="s">
        <v>3804</v>
      </c>
      <c r="B857" s="3" t="s">
        <v>3805</v>
      </c>
      <c r="C857" s="3" t="s">
        <v>13</v>
      </c>
      <c r="D857" s="3" t="s">
        <v>6243</v>
      </c>
      <c r="E857" s="3"/>
      <c r="F857" s="3" t="s">
        <v>3</v>
      </c>
      <c r="G857" s="3" t="s">
        <v>93</v>
      </c>
      <c r="H857" s="3"/>
      <c r="I857" s="3"/>
      <c r="J857" s="3" t="s">
        <v>3806</v>
      </c>
      <c r="K857" s="3"/>
      <c r="L857" s="3" t="s">
        <v>3807</v>
      </c>
      <c r="M857" s="3" t="str">
        <f>HYPERLINK("https://ceds.ed.gov/cedselementdetails.aspx?termid=5871")</f>
        <v>https://ceds.ed.gov/cedselementdetails.aspx?termid=5871</v>
      </c>
      <c r="N857" s="3" t="str">
        <f>HYPERLINK("https://ceds.ed.gov/elementComment.aspx?elementName=Learning Standard Item Association Identifier &amp;elementID=5871", "Click here to submit comment")</f>
        <v>Click here to submit comment</v>
      </c>
    </row>
    <row r="858" spans="1:14" ht="45">
      <c r="A858" s="3" t="s">
        <v>3808</v>
      </c>
      <c r="B858" s="3" t="s">
        <v>3809</v>
      </c>
      <c r="C858" s="3" t="s">
        <v>13</v>
      </c>
      <c r="D858" s="3" t="s">
        <v>3793</v>
      </c>
      <c r="E858" s="3"/>
      <c r="F858" s="3" t="s">
        <v>54</v>
      </c>
      <c r="G858" s="3" t="s">
        <v>100</v>
      </c>
      <c r="H858" s="3"/>
      <c r="I858" s="3"/>
      <c r="J858" s="3" t="s">
        <v>3810</v>
      </c>
      <c r="K858" s="3"/>
      <c r="L858" s="3" t="s">
        <v>3811</v>
      </c>
      <c r="M858" s="3" t="str">
        <f>HYPERLINK("https://ceds.ed.gov/cedselementdetails.aspx?termid=6374")</f>
        <v>https://ceds.ed.gov/cedselementdetails.aspx?termid=6374</v>
      </c>
      <c r="N858" s="3" t="str">
        <f>HYPERLINK("https://ceds.ed.gov/elementComment.aspx?elementName=Learning Standard Item Association Origin Node Name &amp;elementID=6374", "Click here to submit comment")</f>
        <v>Click here to submit comment</v>
      </c>
    </row>
    <row r="859" spans="1:14" ht="45">
      <c r="A859" s="3" t="s">
        <v>3812</v>
      </c>
      <c r="B859" s="3" t="s">
        <v>3813</v>
      </c>
      <c r="C859" s="3" t="s">
        <v>13</v>
      </c>
      <c r="D859" s="3" t="s">
        <v>3793</v>
      </c>
      <c r="E859" s="3"/>
      <c r="F859" s="3" t="s">
        <v>54</v>
      </c>
      <c r="G859" s="3" t="s">
        <v>93</v>
      </c>
      <c r="H859" s="3"/>
      <c r="I859" s="3"/>
      <c r="J859" s="3" t="s">
        <v>3814</v>
      </c>
      <c r="K859" s="3"/>
      <c r="L859" s="3" t="s">
        <v>3815</v>
      </c>
      <c r="M859" s="3" t="str">
        <f>HYPERLINK("https://ceds.ed.gov/cedselementdetails.aspx?termid=6375")</f>
        <v>https://ceds.ed.gov/cedselementdetails.aspx?termid=6375</v>
      </c>
      <c r="N859" s="3" t="str">
        <f>HYPERLINK("https://ceds.ed.gov/elementComment.aspx?elementName=Learning Standard Item Association Origin Node URI &amp;elementID=6375", "Click here to submit comment")</f>
        <v>Click here to submit comment</v>
      </c>
    </row>
    <row r="860" spans="1:14" ht="225" customHeight="1">
      <c r="A860" s="14" t="s">
        <v>3816</v>
      </c>
      <c r="B860" s="14" t="s">
        <v>3817</v>
      </c>
      <c r="C860" s="15" t="s">
        <v>6568</v>
      </c>
      <c r="D860" s="14" t="s">
        <v>6244</v>
      </c>
      <c r="E860" s="14"/>
      <c r="F860" s="14" t="s">
        <v>66</v>
      </c>
      <c r="G860" s="14"/>
      <c r="H860" s="14" t="s">
        <v>848</v>
      </c>
      <c r="I860" s="3" t="s">
        <v>3818</v>
      </c>
      <c r="J860" s="14" t="s">
        <v>3820</v>
      </c>
      <c r="K860" s="14"/>
      <c r="L860" s="14" t="s">
        <v>3821</v>
      </c>
      <c r="M860" s="14" t="str">
        <f>HYPERLINK("https://ceds.ed.gov/cedselementdetails.aspx?termid=5869")</f>
        <v>https://ceds.ed.gov/cedselementdetails.aspx?termid=5869</v>
      </c>
      <c r="N860" s="14" t="str">
        <f>HYPERLINK("https://ceds.ed.gov/elementComment.aspx?elementName=Learning Standard Item Association Type &amp;elementID=5869", "Click here to submit comment")</f>
        <v>Click here to submit comment</v>
      </c>
    </row>
    <row r="861" spans="1:14" ht="135">
      <c r="A861" s="14"/>
      <c r="B861" s="14"/>
      <c r="C861" s="14"/>
      <c r="D861" s="14"/>
      <c r="E861" s="14"/>
      <c r="F861" s="14"/>
      <c r="G861" s="14"/>
      <c r="H861" s="14"/>
      <c r="I861" s="3" t="s">
        <v>3819</v>
      </c>
      <c r="J861" s="14"/>
      <c r="K861" s="14"/>
      <c r="L861" s="14"/>
      <c r="M861" s="14"/>
      <c r="N861" s="14"/>
    </row>
    <row r="862" spans="1:14" ht="135">
      <c r="A862" s="3" t="s">
        <v>3822</v>
      </c>
      <c r="B862" s="3" t="s">
        <v>3823</v>
      </c>
      <c r="C862" s="3" t="s">
        <v>13</v>
      </c>
      <c r="D862" s="3" t="s">
        <v>3793</v>
      </c>
      <c r="E862" s="3"/>
      <c r="F862" s="3" t="s">
        <v>54</v>
      </c>
      <c r="G862" s="3" t="s">
        <v>3824</v>
      </c>
      <c r="H862" s="3"/>
      <c r="I862" s="3" t="s">
        <v>3825</v>
      </c>
      <c r="J862" s="3" t="s">
        <v>3826</v>
      </c>
      <c r="K862" s="3"/>
      <c r="L862" s="3" t="s">
        <v>3827</v>
      </c>
      <c r="M862" s="3" t="str">
        <f>HYPERLINK("https://ceds.ed.gov/cedselementdetails.aspx?termid=6376")</f>
        <v>https://ceds.ed.gov/cedselementdetails.aspx?termid=6376</v>
      </c>
      <c r="N862" s="3" t="str">
        <f>HYPERLINK("https://ceds.ed.gov/elementComment.aspx?elementName=Learning Standard Item Association Weight &amp;elementID=6376", "Click here to submit comment")</f>
        <v>Click here to submit comment</v>
      </c>
    </row>
    <row r="863" spans="1:14" ht="75">
      <c r="A863" s="3" t="s">
        <v>3828</v>
      </c>
      <c r="B863" s="3" t="s">
        <v>3829</v>
      </c>
      <c r="C863" s="3" t="s">
        <v>6245</v>
      </c>
      <c r="D863" s="3" t="s">
        <v>6246</v>
      </c>
      <c r="E863" s="3"/>
      <c r="F863" s="3"/>
      <c r="G863" s="3"/>
      <c r="H863" s="3"/>
      <c r="I863" s="3"/>
      <c r="J863" s="3" t="s">
        <v>3830</v>
      </c>
      <c r="K863" s="3"/>
      <c r="L863" s="3" t="s">
        <v>3831</v>
      </c>
      <c r="M863" s="3" t="str">
        <f>HYPERLINK("https://ceds.ed.gov/cedselementdetails.aspx?termid=5875")</f>
        <v>https://ceds.ed.gov/cedselementdetails.aspx?termid=5875</v>
      </c>
      <c r="N863" s="3" t="str">
        <f>HYPERLINK("https://ceds.ed.gov/elementComment.aspx?elementName=Learning Standard Item Blooms Taxonomy Domain &amp;elementID=5875", "Click here to submit comment")</f>
        <v>Click here to submit comment</v>
      </c>
    </row>
    <row r="864" spans="1:14" ht="120">
      <c r="A864" s="3" t="s">
        <v>3832</v>
      </c>
      <c r="B864" s="3" t="s">
        <v>3833</v>
      </c>
      <c r="C864" s="3" t="s">
        <v>13</v>
      </c>
      <c r="D864" s="3" t="s">
        <v>6247</v>
      </c>
      <c r="E864" s="3"/>
      <c r="F864" s="3"/>
      <c r="G864" s="3" t="s">
        <v>100</v>
      </c>
      <c r="H864" s="3"/>
      <c r="I864" s="3" t="s">
        <v>3834</v>
      </c>
      <c r="J864" s="3" t="s">
        <v>3835</v>
      </c>
      <c r="K864" s="3" t="s">
        <v>3836</v>
      </c>
      <c r="L864" s="3" t="s">
        <v>3837</v>
      </c>
      <c r="M864" s="3" t="str">
        <f>HYPERLINK("https://ceds.ed.gov/cedselementdetails.aspx?termid=5669")</f>
        <v>https://ceds.ed.gov/cedselementdetails.aspx?termid=5669</v>
      </c>
      <c r="N864" s="3" t="str">
        <f>HYPERLINK("https://ceds.ed.gov/elementComment.aspx?elementName=Learning Standard Item Code &amp;elementID=5669", "Click here to submit comment")</f>
        <v>Click here to submit comment</v>
      </c>
    </row>
    <row r="865" spans="1:14" ht="75">
      <c r="A865" s="3" t="s">
        <v>3838</v>
      </c>
      <c r="B865" s="3" t="s">
        <v>3839</v>
      </c>
      <c r="C865" s="3" t="s">
        <v>13</v>
      </c>
      <c r="D865" s="3" t="s">
        <v>6246</v>
      </c>
      <c r="E865" s="3"/>
      <c r="F865" s="3"/>
      <c r="G865" s="3" t="s">
        <v>93</v>
      </c>
      <c r="H865" s="3"/>
      <c r="I865" s="3"/>
      <c r="J865" s="3" t="s">
        <v>3840</v>
      </c>
      <c r="K865" s="3"/>
      <c r="L865" s="3" t="s">
        <v>3841</v>
      </c>
      <c r="M865" s="3" t="str">
        <f>HYPERLINK("https://ceds.ed.gov/cedselementdetails.aspx?termid=5887")</f>
        <v>https://ceds.ed.gov/cedselementdetails.aspx?termid=5887</v>
      </c>
      <c r="N865" s="3" t="str">
        <f>HYPERLINK("https://ceds.ed.gov/elementComment.aspx?elementName=Learning Standard Item Concept Keyword &amp;elementID=5887", "Click here to submit comment")</f>
        <v>Click here to submit comment</v>
      </c>
    </row>
    <row r="866" spans="1:14" ht="75">
      <c r="A866" s="3" t="s">
        <v>3842</v>
      </c>
      <c r="B866" s="3" t="s">
        <v>3843</v>
      </c>
      <c r="C866" s="3" t="s">
        <v>13</v>
      </c>
      <c r="D866" s="3" t="s">
        <v>6246</v>
      </c>
      <c r="E866" s="3"/>
      <c r="F866" s="3"/>
      <c r="G866" s="3" t="s">
        <v>100</v>
      </c>
      <c r="H866" s="3"/>
      <c r="I866" s="3"/>
      <c r="J866" s="3" t="s">
        <v>3844</v>
      </c>
      <c r="K866" s="3"/>
      <c r="L866" s="3" t="s">
        <v>3845</v>
      </c>
      <c r="M866" s="3" t="str">
        <f>HYPERLINK("https://ceds.ed.gov/cedselementdetails.aspx?termid=5888")</f>
        <v>https://ceds.ed.gov/cedselementdetails.aspx?termid=5888</v>
      </c>
      <c r="N866" s="3" t="str">
        <f>HYPERLINK("https://ceds.ed.gov/elementComment.aspx?elementName=Learning Standard Item Concept Term &amp;elementID=5888", "Click here to submit comment")</f>
        <v>Click here to submit comment</v>
      </c>
    </row>
    <row r="867" spans="1:14" ht="240">
      <c r="A867" s="3" t="s">
        <v>3846</v>
      </c>
      <c r="B867" s="3" t="s">
        <v>3847</v>
      </c>
      <c r="C867" s="3" t="s">
        <v>5963</v>
      </c>
      <c r="D867" s="3" t="s">
        <v>6247</v>
      </c>
      <c r="E867" s="3"/>
      <c r="F867" s="3" t="s">
        <v>54</v>
      </c>
      <c r="G867" s="3"/>
      <c r="H867" s="3"/>
      <c r="I867" s="3" t="s">
        <v>3848</v>
      </c>
      <c r="J867" s="3" t="s">
        <v>3849</v>
      </c>
      <c r="K867" s="3"/>
      <c r="L867" s="3" t="s">
        <v>3850</v>
      </c>
      <c r="M867" s="3" t="str">
        <f>HYPERLINK("https://ceds.ed.gov/cedselementdetails.aspx?termid=6499")</f>
        <v>https://ceds.ed.gov/cedselementdetails.aspx?termid=6499</v>
      </c>
      <c r="N867" s="3" t="str">
        <f>HYPERLINK("https://ceds.ed.gov/elementComment.aspx?elementName=Learning Standard Item Current Version Indicator &amp;elementID=6499", "Click here to submit comment")</f>
        <v>Click here to submit comment</v>
      </c>
    </row>
    <row r="868" spans="1:14" ht="409.5">
      <c r="A868" s="3" t="s">
        <v>3851</v>
      </c>
      <c r="B868" s="3" t="s">
        <v>3852</v>
      </c>
      <c r="C868" s="4" t="s">
        <v>6400</v>
      </c>
      <c r="D868" s="3" t="s">
        <v>6246</v>
      </c>
      <c r="E868" s="3"/>
      <c r="F868" s="3"/>
      <c r="G868" s="3"/>
      <c r="H868" s="3"/>
      <c r="I868" s="3" t="s">
        <v>3853</v>
      </c>
      <c r="J868" s="3" t="s">
        <v>3854</v>
      </c>
      <c r="K868" s="3"/>
      <c r="L868" s="3" t="s">
        <v>3855</v>
      </c>
      <c r="M868" s="3" t="str">
        <f>HYPERLINK("https://ceds.ed.gov/cedselementdetails.aspx?termid=5701")</f>
        <v>https://ceds.ed.gov/cedselementdetails.aspx?termid=5701</v>
      </c>
      <c r="N868" s="3" t="str">
        <f>HYPERLINK("https://ceds.ed.gov/elementComment.aspx?elementName=Learning Standard Item Education Level &amp;elementID=5701", "Click here to submit comment")</f>
        <v>Click here to submit comment</v>
      </c>
    </row>
    <row r="869" spans="1:14" ht="120">
      <c r="A869" s="3" t="s">
        <v>3856</v>
      </c>
      <c r="B869" s="3" t="s">
        <v>3857</v>
      </c>
      <c r="C869" s="3" t="s">
        <v>13</v>
      </c>
      <c r="D869" s="3" t="s">
        <v>6247</v>
      </c>
      <c r="E869" s="3" t="s">
        <v>493</v>
      </c>
      <c r="F869" s="3"/>
      <c r="G869" s="3" t="s">
        <v>3858</v>
      </c>
      <c r="H869" s="3"/>
      <c r="I869" s="3"/>
      <c r="J869" s="3" t="s">
        <v>3859</v>
      </c>
      <c r="K869" s="3" t="s">
        <v>3860</v>
      </c>
      <c r="L869" s="3" t="s">
        <v>3861</v>
      </c>
      <c r="M869" s="3" t="str">
        <f>HYPERLINK("https://ceds.ed.gov/cedselementdetails.aspx?termid=5666")</f>
        <v>https://ceds.ed.gov/cedselementdetails.aspx?termid=5666</v>
      </c>
      <c r="N869" s="3" t="str">
        <f>HYPERLINK("https://ceds.ed.gov/elementComment.aspx?elementName=Learning Standard Item Identifier &amp;elementID=5666", "Click here to submit comment")</f>
        <v>Click here to submit comment</v>
      </c>
    </row>
    <row r="870" spans="1:14" ht="75">
      <c r="A870" s="3" t="s">
        <v>3862</v>
      </c>
      <c r="B870" s="3" t="s">
        <v>3863</v>
      </c>
      <c r="C870" s="5" t="s">
        <v>939</v>
      </c>
      <c r="D870" s="3" t="s">
        <v>6246</v>
      </c>
      <c r="E870" s="3"/>
      <c r="F870" s="3"/>
      <c r="G870" s="3"/>
      <c r="H870" s="3"/>
      <c r="I870" s="3" t="s">
        <v>3478</v>
      </c>
      <c r="J870" s="3" t="s">
        <v>3864</v>
      </c>
      <c r="K870" s="3"/>
      <c r="L870" s="3" t="s">
        <v>3865</v>
      </c>
      <c r="M870" s="3" t="str">
        <f>HYPERLINK("https://ceds.ed.gov/cedselementdetails.aspx?termid=5881")</f>
        <v>https://ceds.ed.gov/cedselementdetails.aspx?termid=5881</v>
      </c>
      <c r="N870" s="3" t="str">
        <f>HYPERLINK("https://ceds.ed.gov/elementComment.aspx?elementName=Learning Standard Item Language &amp;elementID=5881", "Click here to submit comment")</f>
        <v>Click here to submit comment</v>
      </c>
    </row>
    <row r="871" spans="1:14" ht="75">
      <c r="A871" s="3" t="s">
        <v>3866</v>
      </c>
      <c r="B871" s="3" t="s">
        <v>3867</v>
      </c>
      <c r="C871" s="3" t="s">
        <v>13</v>
      </c>
      <c r="D871" s="3" t="s">
        <v>6246</v>
      </c>
      <c r="E871" s="3"/>
      <c r="F871" s="3"/>
      <c r="G871" s="3" t="s">
        <v>93</v>
      </c>
      <c r="H871" s="3"/>
      <c r="I871" s="3"/>
      <c r="J871" s="3" t="s">
        <v>3868</v>
      </c>
      <c r="K871" s="3"/>
      <c r="L871" s="3" t="s">
        <v>3869</v>
      </c>
      <c r="M871" s="3" t="str">
        <f>HYPERLINK("https://ceds.ed.gov/cedselementdetails.aspx?termid=5883")</f>
        <v>https://ceds.ed.gov/cedselementdetails.aspx?termid=5883</v>
      </c>
      <c r="N871" s="3" t="str">
        <f>HYPERLINK("https://ceds.ed.gov/elementComment.aspx?elementName=Learning Standard Item License &amp;elementID=5883", "Click here to submit comment")</f>
        <v>Click here to submit comment</v>
      </c>
    </row>
    <row r="872" spans="1:14" ht="150">
      <c r="A872" s="3" t="s">
        <v>3870</v>
      </c>
      <c r="B872" s="3" t="s">
        <v>3871</v>
      </c>
      <c r="C872" s="4" t="s">
        <v>6569</v>
      </c>
      <c r="D872" s="3" t="s">
        <v>6246</v>
      </c>
      <c r="E872" s="3"/>
      <c r="F872" s="3"/>
      <c r="G872" s="3"/>
      <c r="H872" s="3"/>
      <c r="I872" s="3"/>
      <c r="J872" s="3" t="s">
        <v>3872</v>
      </c>
      <c r="K872" s="3"/>
      <c r="L872" s="3" t="s">
        <v>3873</v>
      </c>
      <c r="M872" s="3" t="str">
        <f>HYPERLINK("https://ceds.ed.gov/cedselementdetails.aspx?termid=5876")</f>
        <v>https://ceds.ed.gov/cedselementdetails.aspx?termid=5876</v>
      </c>
      <c r="N872" s="3" t="str">
        <f>HYPERLINK("https://ceds.ed.gov/elementComment.aspx?elementName=Learning Standard Item Multiple Intelligence &amp;elementID=5876", "Click here to submit comment")</f>
        <v>Click here to submit comment</v>
      </c>
    </row>
    <row r="873" spans="1:14" ht="105">
      <c r="A873" s="3" t="s">
        <v>3874</v>
      </c>
      <c r="B873" s="3" t="s">
        <v>3875</v>
      </c>
      <c r="C873" s="3" t="s">
        <v>6248</v>
      </c>
      <c r="D873" s="3" t="s">
        <v>3876</v>
      </c>
      <c r="E873" s="3"/>
      <c r="F873" s="3" t="s">
        <v>54</v>
      </c>
      <c r="G873" s="3"/>
      <c r="H873" s="3"/>
      <c r="I873" s="3"/>
      <c r="J873" s="3" t="s">
        <v>3877</v>
      </c>
      <c r="K873" s="3"/>
      <c r="L873" s="3" t="s">
        <v>3878</v>
      </c>
      <c r="M873" s="3" t="str">
        <f>HYPERLINK("https://ceds.ed.gov/cedselementdetails.aspx?termid=6377")</f>
        <v>https://ceds.ed.gov/cedselementdetails.aspx?termid=6377</v>
      </c>
      <c r="N873" s="3" t="str">
        <f>HYPERLINK("https://ceds.ed.gov/elementComment.aspx?elementName=Learning Standard Item Node Accessibility Profile &amp;elementID=6377", "Click here to submit comment")</f>
        <v>Click here to submit comment</v>
      </c>
    </row>
    <row r="874" spans="1:14" ht="45">
      <c r="A874" s="3" t="s">
        <v>3879</v>
      </c>
      <c r="B874" s="3" t="s">
        <v>3880</v>
      </c>
      <c r="C874" s="3" t="s">
        <v>13</v>
      </c>
      <c r="D874" s="3" t="s">
        <v>3876</v>
      </c>
      <c r="E874" s="3"/>
      <c r="F874" s="3" t="s">
        <v>54</v>
      </c>
      <c r="G874" s="3" t="s">
        <v>100</v>
      </c>
      <c r="H874" s="3"/>
      <c r="I874" s="3"/>
      <c r="J874" s="3" t="s">
        <v>3881</v>
      </c>
      <c r="K874" s="3"/>
      <c r="L874" s="3" t="s">
        <v>3882</v>
      </c>
      <c r="M874" s="3" t="str">
        <f>HYPERLINK("https://ceds.ed.gov/cedselementdetails.aspx?termid=6378")</f>
        <v>https://ceds.ed.gov/cedselementdetails.aspx?termid=6378</v>
      </c>
      <c r="N874" s="3" t="str">
        <f>HYPERLINK("https://ceds.ed.gov/elementComment.aspx?elementName=Learning Standard Item Node Name &amp;elementID=6378", "Click here to submit comment")</f>
        <v>Click here to submit comment</v>
      </c>
    </row>
    <row r="875" spans="1:14" ht="75">
      <c r="A875" s="3" t="s">
        <v>3883</v>
      </c>
      <c r="B875" s="3" t="s">
        <v>3884</v>
      </c>
      <c r="C875" s="3" t="s">
        <v>13</v>
      </c>
      <c r="D875" s="3" t="s">
        <v>6246</v>
      </c>
      <c r="E875" s="3"/>
      <c r="F875" s="3"/>
      <c r="G875" s="3" t="s">
        <v>319</v>
      </c>
      <c r="H875" s="3"/>
      <c r="I875" s="3"/>
      <c r="J875" s="3" t="s">
        <v>3885</v>
      </c>
      <c r="K875" s="3"/>
      <c r="L875" s="3" t="s">
        <v>3886</v>
      </c>
      <c r="M875" s="3" t="str">
        <f>HYPERLINK("https://ceds.ed.gov/cedselementdetails.aspx?termid=6215")</f>
        <v>https://ceds.ed.gov/cedselementdetails.aspx?termid=6215</v>
      </c>
      <c r="N875" s="3" t="str">
        <f>HYPERLINK("https://ceds.ed.gov/elementComment.aspx?elementName=Learning Standard Item Notes &amp;elementID=6215", "Click here to submit comment")</f>
        <v>Click here to submit comment</v>
      </c>
    </row>
    <row r="876" spans="1:14" ht="75">
      <c r="A876" s="3" t="s">
        <v>3887</v>
      </c>
      <c r="B876" s="3" t="s">
        <v>3888</v>
      </c>
      <c r="C876" s="3" t="s">
        <v>13</v>
      </c>
      <c r="D876" s="3" t="s">
        <v>6246</v>
      </c>
      <c r="E876" s="3"/>
      <c r="F876" s="3"/>
      <c r="G876" s="3" t="s">
        <v>100</v>
      </c>
      <c r="H876" s="3"/>
      <c r="I876" s="3"/>
      <c r="J876" s="3" t="s">
        <v>3889</v>
      </c>
      <c r="K876" s="3"/>
      <c r="L876" s="3" t="s">
        <v>3890</v>
      </c>
      <c r="M876" s="3" t="str">
        <f>HYPERLINK("https://ceds.ed.gov/cedselementdetails.aspx?termid=5873")</f>
        <v>https://ceds.ed.gov/cedselementdetails.aspx?termid=5873</v>
      </c>
      <c r="N876" s="3" t="str">
        <f>HYPERLINK("https://ceds.ed.gov/elementComment.aspx?elementName=Learning Standard Item Parent Code &amp;elementID=5873", "Click here to submit comment")</f>
        <v>Click here to submit comment</v>
      </c>
    </row>
    <row r="877" spans="1:14" ht="135">
      <c r="A877" s="3" t="s">
        <v>3891</v>
      </c>
      <c r="B877" s="3" t="s">
        <v>3892</v>
      </c>
      <c r="C877" s="3" t="s">
        <v>13</v>
      </c>
      <c r="D877" s="3" t="s">
        <v>6246</v>
      </c>
      <c r="E877" s="3"/>
      <c r="F877" s="3"/>
      <c r="G877" s="3" t="s">
        <v>3858</v>
      </c>
      <c r="H877" s="3"/>
      <c r="I877" s="3"/>
      <c r="J877" s="3" t="s">
        <v>3893</v>
      </c>
      <c r="K877" s="3"/>
      <c r="L877" s="3" t="s">
        <v>3894</v>
      </c>
      <c r="M877" s="3" t="str">
        <f>HYPERLINK("https://ceds.ed.gov/cedselementdetails.aspx?termid=5872")</f>
        <v>https://ceds.ed.gov/cedselementdetails.aspx?termid=5872</v>
      </c>
      <c r="N877" s="3" t="str">
        <f>HYPERLINK("https://ceds.ed.gov/elementComment.aspx?elementName=Learning Standard Item Parent Identifier &amp;elementID=5872", "Click here to submit comment")</f>
        <v>Click here to submit comment</v>
      </c>
    </row>
    <row r="878" spans="1:14" ht="75">
      <c r="A878" s="3" t="s">
        <v>3895</v>
      </c>
      <c r="B878" s="3" t="s">
        <v>3896</v>
      </c>
      <c r="C878" s="3" t="s">
        <v>13</v>
      </c>
      <c r="D878" s="3" t="s">
        <v>6246</v>
      </c>
      <c r="E878" s="3"/>
      <c r="F878" s="3"/>
      <c r="G878" s="3" t="s">
        <v>93</v>
      </c>
      <c r="H878" s="3"/>
      <c r="I878" s="3"/>
      <c r="J878" s="3" t="s">
        <v>3897</v>
      </c>
      <c r="K878" s="3"/>
      <c r="L878" s="3" t="s">
        <v>3898</v>
      </c>
      <c r="M878" s="3" t="str">
        <f>HYPERLINK("https://ceds.ed.gov/cedselementdetails.aspx?termid=6078")</f>
        <v>https://ceds.ed.gov/cedselementdetails.aspx?termid=6078</v>
      </c>
      <c r="N878" s="3" t="str">
        <f>HYPERLINK("https://ceds.ed.gov/elementComment.aspx?elementName=Learning Standard Item Parent URL &amp;elementID=6078", "Click here to submit comment")</f>
        <v>Click here to submit comment</v>
      </c>
    </row>
    <row r="879" spans="1:14" ht="150">
      <c r="A879" s="3" t="s">
        <v>3899</v>
      </c>
      <c r="B879" s="3" t="s">
        <v>3900</v>
      </c>
      <c r="C879" s="3" t="s">
        <v>13</v>
      </c>
      <c r="D879" s="3" t="s">
        <v>6247</v>
      </c>
      <c r="E879" s="3" t="s">
        <v>493</v>
      </c>
      <c r="F879" s="3"/>
      <c r="G879" s="3" t="s">
        <v>3858</v>
      </c>
      <c r="H879" s="3"/>
      <c r="I879" s="3" t="s">
        <v>3901</v>
      </c>
      <c r="J879" s="3" t="s">
        <v>3902</v>
      </c>
      <c r="K879" s="3"/>
      <c r="L879" s="3" t="s">
        <v>3903</v>
      </c>
      <c r="M879" s="3" t="str">
        <f>HYPERLINK("https://ceds.ed.gov/cedselementdetails.aspx?termid=5691")</f>
        <v>https://ceds.ed.gov/cedselementdetails.aspx?termid=5691</v>
      </c>
      <c r="N879" s="3" t="str">
        <f>HYPERLINK("https://ceds.ed.gov/elementComment.aspx?elementName=Learning Standard Item Prerequisite Identifier &amp;elementID=5691", "Click here to submit comment")</f>
        <v>Click here to submit comment</v>
      </c>
    </row>
    <row r="880" spans="1:14" ht="240">
      <c r="A880" s="3" t="s">
        <v>3904</v>
      </c>
      <c r="B880" s="3" t="s">
        <v>3905</v>
      </c>
      <c r="C880" s="3" t="s">
        <v>13</v>
      </c>
      <c r="D880" s="3" t="s">
        <v>6247</v>
      </c>
      <c r="E880" s="3"/>
      <c r="F880" s="3" t="s">
        <v>54</v>
      </c>
      <c r="G880" s="3" t="s">
        <v>3906</v>
      </c>
      <c r="H880" s="3"/>
      <c r="I880" s="3" t="s">
        <v>3848</v>
      </c>
      <c r="J880" s="3" t="s">
        <v>3907</v>
      </c>
      <c r="K880" s="3"/>
      <c r="L880" s="3" t="s">
        <v>3908</v>
      </c>
      <c r="M880" s="3" t="str">
        <f>HYPERLINK("https://ceds.ed.gov/cedselementdetails.aspx?termid=6498")</f>
        <v>https://ceds.ed.gov/cedselementdetails.aspx?termid=6498</v>
      </c>
      <c r="N880" s="3" t="str">
        <f>HYPERLINK("https://ceds.ed.gov/elementComment.aspx?elementName=Learning Standard Item Previous Version Identifier &amp;elementID=6498", "Click here to submit comment")</f>
        <v>Click here to submit comment</v>
      </c>
    </row>
    <row r="881" spans="1:14" ht="225">
      <c r="A881" s="3" t="s">
        <v>3909</v>
      </c>
      <c r="B881" s="3" t="s">
        <v>3910</v>
      </c>
      <c r="C881" s="3" t="s">
        <v>13</v>
      </c>
      <c r="D881" s="3" t="s">
        <v>6247</v>
      </c>
      <c r="E881" s="3" t="s">
        <v>493</v>
      </c>
      <c r="F881" s="3"/>
      <c r="G881" s="3" t="s">
        <v>319</v>
      </c>
      <c r="H881" s="3"/>
      <c r="I881" s="3" t="s">
        <v>3911</v>
      </c>
      <c r="J881" s="3" t="s">
        <v>3912</v>
      </c>
      <c r="K881" s="3" t="s">
        <v>3913</v>
      </c>
      <c r="L881" s="3" t="s">
        <v>3914</v>
      </c>
      <c r="M881" s="3" t="str">
        <f>HYPERLINK("https://ceds.ed.gov/cedselementdetails.aspx?termid=5667")</f>
        <v>https://ceds.ed.gov/cedselementdetails.aspx?termid=5667</v>
      </c>
      <c r="N881" s="3" t="str">
        <f>HYPERLINK("https://ceds.ed.gov/elementComment.aspx?elementName=Learning Standard Item Statement &amp;elementID=5667", "Click here to submit comment")</f>
        <v>Click here to submit comment</v>
      </c>
    </row>
    <row r="882" spans="1:14" ht="105">
      <c r="A882" s="3" t="s">
        <v>3915</v>
      </c>
      <c r="B882" s="3" t="s">
        <v>3916</v>
      </c>
      <c r="C882" s="4" t="s">
        <v>6570</v>
      </c>
      <c r="D882" s="3" t="s">
        <v>3876</v>
      </c>
      <c r="E882" s="3"/>
      <c r="F882" s="3" t="s">
        <v>54</v>
      </c>
      <c r="G882" s="3"/>
      <c r="H882" s="3"/>
      <c r="I882" s="3"/>
      <c r="J882" s="3" t="s">
        <v>3917</v>
      </c>
      <c r="K882" s="3"/>
      <c r="L882" s="3" t="s">
        <v>3918</v>
      </c>
      <c r="M882" s="3" t="str">
        <f>HYPERLINK("https://ceds.ed.gov/cedselementdetails.aspx?termid=6380")</f>
        <v>https://ceds.ed.gov/cedselementdetails.aspx?termid=6380</v>
      </c>
      <c r="N882" s="3" t="str">
        <f>HYPERLINK("https://ceds.ed.gov/elementComment.aspx?elementName=Learning Standard Item Testability Type &amp;elementID=6380", "Click here to submit comment")</f>
        <v>Click here to submit comment</v>
      </c>
    </row>
    <row r="883" spans="1:14" ht="120">
      <c r="A883" s="3" t="s">
        <v>3919</v>
      </c>
      <c r="B883" s="3" t="s">
        <v>3920</v>
      </c>
      <c r="C883" s="3" t="s">
        <v>13</v>
      </c>
      <c r="D883" s="3" t="s">
        <v>6249</v>
      </c>
      <c r="E883" s="3"/>
      <c r="F883" s="3"/>
      <c r="G883" s="3" t="s">
        <v>545</v>
      </c>
      <c r="H883" s="3"/>
      <c r="I883" s="3"/>
      <c r="J883" s="3" t="s">
        <v>3921</v>
      </c>
      <c r="K883" s="3"/>
      <c r="L883" s="3" t="s">
        <v>3922</v>
      </c>
      <c r="M883" s="3" t="str">
        <f>HYPERLINK("https://ceds.ed.gov/cedselementdetails.aspx?termid=6115")</f>
        <v>https://ceds.ed.gov/cedselementdetails.aspx?termid=6115</v>
      </c>
      <c r="N883" s="3" t="str">
        <f>HYPERLINK("https://ceds.ed.gov/elementComment.aspx?elementName=Learning Standard Item Text Complexity Maximum Value &amp;elementID=6115", "Click here to submit comment")</f>
        <v>Click here to submit comment</v>
      </c>
    </row>
    <row r="884" spans="1:14" ht="120">
      <c r="A884" s="3" t="s">
        <v>3923</v>
      </c>
      <c r="B884" s="3" t="s">
        <v>3924</v>
      </c>
      <c r="C884" s="3" t="s">
        <v>13</v>
      </c>
      <c r="D884" s="3" t="s">
        <v>6249</v>
      </c>
      <c r="E884" s="3"/>
      <c r="F884" s="3"/>
      <c r="G884" s="3" t="s">
        <v>545</v>
      </c>
      <c r="H884" s="3"/>
      <c r="I884" s="3"/>
      <c r="J884" s="3" t="s">
        <v>3925</v>
      </c>
      <c r="K884" s="3"/>
      <c r="L884" s="3" t="s">
        <v>3926</v>
      </c>
      <c r="M884" s="3" t="str">
        <f>HYPERLINK("https://ceds.ed.gov/cedselementdetails.aspx?termid=6114")</f>
        <v>https://ceds.ed.gov/cedselementdetails.aspx?termid=6114</v>
      </c>
      <c r="N884" s="3" t="str">
        <f>HYPERLINK("https://ceds.ed.gov/elementComment.aspx?elementName=Learning Standard Item Text Complexity Minimum Value &amp;elementID=6114", "Click here to submit comment")</f>
        <v>Click here to submit comment</v>
      </c>
    </row>
    <row r="885" spans="1:14" ht="75">
      <c r="A885" s="3" t="s">
        <v>3927</v>
      </c>
      <c r="B885" s="3" t="s">
        <v>3928</v>
      </c>
      <c r="C885" s="3" t="s">
        <v>13</v>
      </c>
      <c r="D885" s="3" t="s">
        <v>6246</v>
      </c>
      <c r="E885" s="3"/>
      <c r="F885" s="3"/>
      <c r="G885" s="3" t="s">
        <v>100</v>
      </c>
      <c r="H885" s="3"/>
      <c r="I885" s="3"/>
      <c r="J885" s="3" t="s">
        <v>3929</v>
      </c>
      <c r="K885" s="3"/>
      <c r="L885" s="3" t="s">
        <v>3930</v>
      </c>
      <c r="M885" s="3" t="str">
        <f>HYPERLINK("https://ceds.ed.gov/cedselementdetails.aspx?termid=5910")</f>
        <v>https://ceds.ed.gov/cedselementdetails.aspx?termid=5910</v>
      </c>
      <c r="N885" s="3" t="str">
        <f>HYPERLINK("https://ceds.ed.gov/elementComment.aspx?elementName=Learning Standard Item Text Complexity System &amp;elementID=5910", "Click here to submit comment")</f>
        <v>Click here to submit comment</v>
      </c>
    </row>
    <row r="886" spans="1:14" ht="120">
      <c r="A886" s="3" t="s">
        <v>3931</v>
      </c>
      <c r="B886" s="3" t="s">
        <v>3932</v>
      </c>
      <c r="C886" s="3" t="s">
        <v>13</v>
      </c>
      <c r="D886" s="3" t="s">
        <v>6247</v>
      </c>
      <c r="E886" s="3" t="s">
        <v>493</v>
      </c>
      <c r="F886" s="3"/>
      <c r="G886" s="3" t="s">
        <v>106</v>
      </c>
      <c r="H886" s="3"/>
      <c r="I886" s="3"/>
      <c r="J886" s="3" t="s">
        <v>3933</v>
      </c>
      <c r="K886" s="3" t="s">
        <v>3934</v>
      </c>
      <c r="L886" s="3" t="s">
        <v>3935</v>
      </c>
      <c r="M886" s="3" t="str">
        <f>HYPERLINK("https://ceds.ed.gov/cedselementdetails.aspx?termid=5668")</f>
        <v>https://ceds.ed.gov/cedselementdetails.aspx?termid=5668</v>
      </c>
      <c r="N886" s="3" t="str">
        <f>HYPERLINK("https://ceds.ed.gov/elementComment.aspx?elementName=Learning Standard Item Type &amp;elementID=5668", "Click here to submit comment")</f>
        <v>Click here to submit comment</v>
      </c>
    </row>
    <row r="887" spans="1:14" ht="75">
      <c r="A887" s="3" t="s">
        <v>3936</v>
      </c>
      <c r="B887" s="3" t="s">
        <v>3937</v>
      </c>
      <c r="C887" s="3" t="s">
        <v>13</v>
      </c>
      <c r="D887" s="3" t="s">
        <v>6246</v>
      </c>
      <c r="E887" s="3"/>
      <c r="F887" s="3"/>
      <c r="G887" s="3" t="s">
        <v>1127</v>
      </c>
      <c r="H887" s="3"/>
      <c r="I887" s="3" t="s">
        <v>3938</v>
      </c>
      <c r="J887" s="3" t="s">
        <v>3939</v>
      </c>
      <c r="K887" s="3"/>
      <c r="L887" s="3" t="s">
        <v>3940</v>
      </c>
      <c r="M887" s="3" t="str">
        <f>HYPERLINK("https://ceds.ed.gov/cedselementdetails.aspx?termid=5870")</f>
        <v>https://ceds.ed.gov/cedselementdetails.aspx?termid=5870</v>
      </c>
      <c r="N887" s="3" t="str">
        <f>HYPERLINK("https://ceds.ed.gov/elementComment.aspx?elementName=Learning Standard Item Typical Age Range &amp;elementID=5870", "Click here to submit comment")</f>
        <v>Click here to submit comment</v>
      </c>
    </row>
    <row r="888" spans="1:14" ht="75">
      <c r="A888" s="3" t="s">
        <v>3941</v>
      </c>
      <c r="B888" s="3" t="s">
        <v>3942</v>
      </c>
      <c r="C888" s="3" t="s">
        <v>13</v>
      </c>
      <c r="D888" s="3" t="s">
        <v>6246</v>
      </c>
      <c r="E888" s="3"/>
      <c r="F888" s="3"/>
      <c r="G888" s="3" t="s">
        <v>93</v>
      </c>
      <c r="H888" s="3"/>
      <c r="I888" s="3"/>
      <c r="J888" s="3" t="s">
        <v>3943</v>
      </c>
      <c r="K888" s="3"/>
      <c r="L888" s="3" t="s">
        <v>3944</v>
      </c>
      <c r="M888" s="3" t="str">
        <f>HYPERLINK("https://ceds.ed.gov/cedselementdetails.aspx?termid=5874")</f>
        <v>https://ceds.ed.gov/cedselementdetails.aspx?termid=5874</v>
      </c>
      <c r="N888" s="3" t="str">
        <f>HYPERLINK("https://ceds.ed.gov/elementComment.aspx?elementName=Learning Standard Item URL &amp;elementID=5874", "Click here to submit comment")</f>
        <v>Click here to submit comment</v>
      </c>
    </row>
    <row r="889" spans="1:14" ht="120">
      <c r="A889" s="3" t="s">
        <v>3945</v>
      </c>
      <c r="B889" s="3" t="s">
        <v>3946</v>
      </c>
      <c r="C889" s="3" t="s">
        <v>13</v>
      </c>
      <c r="D889" s="3" t="s">
        <v>6240</v>
      </c>
      <c r="E889" s="3"/>
      <c r="F889" s="3" t="s">
        <v>54</v>
      </c>
      <c r="G889" s="3" t="s">
        <v>73</v>
      </c>
      <c r="H889" s="3"/>
      <c r="I889" s="3" t="s">
        <v>3947</v>
      </c>
      <c r="J889" s="3" t="s">
        <v>3948</v>
      </c>
      <c r="K889" s="3"/>
      <c r="L889" s="3" t="s">
        <v>3949</v>
      </c>
      <c r="M889" s="3" t="str">
        <f>HYPERLINK("https://ceds.ed.gov/cedselementdetails.aspx?termid=6483")</f>
        <v>https://ceds.ed.gov/cedselementdetails.aspx?termid=6483</v>
      </c>
      <c r="N889" s="3" t="str">
        <f>HYPERLINK("https://ceds.ed.gov/elementComment.aspx?elementName=Learning Standard Item Valid End Date &amp;elementID=6483", "Click here to submit comment")</f>
        <v>Click here to submit comment</v>
      </c>
    </row>
    <row r="890" spans="1:14" ht="120">
      <c r="A890" s="3" t="s">
        <v>3950</v>
      </c>
      <c r="B890" s="3" t="s">
        <v>3951</v>
      </c>
      <c r="C890" s="3" t="s">
        <v>13</v>
      </c>
      <c r="D890" s="3" t="s">
        <v>6240</v>
      </c>
      <c r="E890" s="3"/>
      <c r="F890" s="3" t="s">
        <v>54</v>
      </c>
      <c r="G890" s="3" t="s">
        <v>73</v>
      </c>
      <c r="H890" s="3"/>
      <c r="I890" s="3"/>
      <c r="J890" s="3" t="s">
        <v>3952</v>
      </c>
      <c r="K890" s="3"/>
      <c r="L890" s="3" t="s">
        <v>3953</v>
      </c>
      <c r="M890" s="3" t="str">
        <f>HYPERLINK("https://ceds.ed.gov/cedselementdetails.aspx?termid=6484")</f>
        <v>https://ceds.ed.gov/cedselementdetails.aspx?termid=6484</v>
      </c>
      <c r="N890" s="3" t="str">
        <f>HYPERLINK("https://ceds.ed.gov/elementComment.aspx?elementName=Learning Standard Item Valid Start Date &amp;elementID=6484", "Click here to submit comment")</f>
        <v>Click here to submit comment</v>
      </c>
    </row>
    <row r="891" spans="1:14" ht="75">
      <c r="A891" s="3" t="s">
        <v>3954</v>
      </c>
      <c r="B891" s="3" t="s">
        <v>3955</v>
      </c>
      <c r="C891" s="3" t="s">
        <v>13</v>
      </c>
      <c r="D891" s="3" t="s">
        <v>6246</v>
      </c>
      <c r="E891" s="3"/>
      <c r="F891" s="3"/>
      <c r="G891" s="3" t="s">
        <v>319</v>
      </c>
      <c r="H891" s="3"/>
      <c r="I891" s="3"/>
      <c r="J891" s="3" t="s">
        <v>3956</v>
      </c>
      <c r="K891" s="3"/>
      <c r="L891" s="3" t="s">
        <v>3957</v>
      </c>
      <c r="M891" s="3" t="str">
        <f>HYPERLINK("https://ceds.ed.gov/cedselementdetails.aspx?termid=6216")</f>
        <v>https://ceds.ed.gov/cedselementdetails.aspx?termid=6216</v>
      </c>
      <c r="N891" s="3" t="str">
        <f>HYPERLINK("https://ceds.ed.gov/elementComment.aspx?elementName=Learning Standard Item Version &amp;elementID=6216", "Click here to submit comment")</f>
        <v>Click here to submit comment</v>
      </c>
    </row>
    <row r="892" spans="1:14" ht="345">
      <c r="A892" s="3" t="s">
        <v>3958</v>
      </c>
      <c r="B892" s="3" t="s">
        <v>3959</v>
      </c>
      <c r="C892" s="4" t="s">
        <v>6571</v>
      </c>
      <c r="D892" s="3" t="s">
        <v>3960</v>
      </c>
      <c r="E892" s="3"/>
      <c r="F892" s="3" t="s">
        <v>66</v>
      </c>
      <c r="G892" s="3"/>
      <c r="H892" s="3" t="s">
        <v>2309</v>
      </c>
      <c r="I892" s="3"/>
      <c r="J892" s="3" t="s">
        <v>3961</v>
      </c>
      <c r="K892" s="3"/>
      <c r="L892" s="3" t="s">
        <v>3962</v>
      </c>
      <c r="M892" s="3" t="str">
        <f>HYPERLINK("https://ceds.ed.gov/cedselementdetails.aspx?termid=5617")</f>
        <v>https://ceds.ed.gov/cedselementdetails.aspx?termid=5617</v>
      </c>
      <c r="N892" s="3" t="str">
        <f>HYPERLINK("https://ceds.ed.gov/elementComment.aspx?elementName=Leave Event Type &amp;elementID=5617", "Click here to submit comment")</f>
        <v>Click here to submit comment</v>
      </c>
    </row>
    <row r="893" spans="1:14" ht="90">
      <c r="A893" s="3" t="s">
        <v>3963</v>
      </c>
      <c r="B893" s="3" t="s">
        <v>3964</v>
      </c>
      <c r="C893" s="4" t="s">
        <v>6572</v>
      </c>
      <c r="D893" s="3" t="s">
        <v>6250</v>
      </c>
      <c r="E893" s="3" t="s">
        <v>6093</v>
      </c>
      <c r="F893" s="3"/>
      <c r="G893" s="3"/>
      <c r="H893" s="3"/>
      <c r="I893" s="3"/>
      <c r="J893" s="3" t="s">
        <v>3965</v>
      </c>
      <c r="K893" s="3"/>
      <c r="L893" s="3" t="s">
        <v>3966</v>
      </c>
      <c r="M893" s="3" t="str">
        <f>HYPERLINK("https://ceds.ed.gov/cedselementdetails.aspx?termid=5178")</f>
        <v>https://ceds.ed.gov/cedselementdetails.aspx?termid=5178</v>
      </c>
      <c r="N893" s="3" t="str">
        <f>HYPERLINK("https://ceds.ed.gov/elementComment.aspx?elementName=Level of Institution &amp;elementID=5178", "Click here to submit comment")</f>
        <v>Click here to submit comment</v>
      </c>
    </row>
    <row r="894" spans="1:14" ht="105">
      <c r="A894" s="3" t="s">
        <v>3967</v>
      </c>
      <c r="B894" s="3" t="s">
        <v>3968</v>
      </c>
      <c r="C894" s="4" t="s">
        <v>6573</v>
      </c>
      <c r="D894" s="3" t="s">
        <v>388</v>
      </c>
      <c r="E894" s="3" t="s">
        <v>6154</v>
      </c>
      <c r="F894" s="3"/>
      <c r="G894" s="3"/>
      <c r="H894" s="3"/>
      <c r="I894" s="3"/>
      <c r="J894" s="3" t="s">
        <v>3969</v>
      </c>
      <c r="K894" s="3"/>
      <c r="L894" s="3" t="s">
        <v>3970</v>
      </c>
      <c r="M894" s="3" t="str">
        <f>HYPERLINK("https://ceds.ed.gov/cedselementdetails.aspx?termid=5340")</f>
        <v>https://ceds.ed.gov/cedselementdetails.aspx?termid=5340</v>
      </c>
      <c r="N894" s="3" t="str">
        <f>HYPERLINK("https://ceds.ed.gov/elementComment.aspx?elementName=Level of Specialization in Early Learning &amp;elementID=5340", "Click here to submit comment")</f>
        <v>Click here to submit comment</v>
      </c>
    </row>
    <row r="895" spans="1:14" ht="60">
      <c r="A895" s="3" t="s">
        <v>3971</v>
      </c>
      <c r="B895" s="3" t="s">
        <v>3972</v>
      </c>
      <c r="C895" s="4" t="s">
        <v>6371</v>
      </c>
      <c r="D895" s="3" t="s">
        <v>1774</v>
      </c>
      <c r="E895" s="3" t="s">
        <v>6104</v>
      </c>
      <c r="F895" s="3"/>
      <c r="G895" s="3"/>
      <c r="H895" s="3"/>
      <c r="I895" s="3"/>
      <c r="J895" s="3" t="s">
        <v>3973</v>
      </c>
      <c r="K895" s="3"/>
      <c r="L895" s="3" t="s">
        <v>3974</v>
      </c>
      <c r="M895" s="3" t="str">
        <f>HYPERLINK("https://ceds.ed.gov/cedselementdetails.aspx?termid=5349")</f>
        <v>https://ceds.ed.gov/cedselementdetails.aspx?termid=5349</v>
      </c>
      <c r="N895" s="3" t="str">
        <f>HYPERLINK("https://ceds.ed.gov/elementComment.aspx?elementName=License Exempt &amp;elementID=5349", "Click here to submit comment")</f>
        <v>Click here to submit comment</v>
      </c>
    </row>
    <row r="896" spans="1:14" ht="165">
      <c r="A896" s="3" t="s">
        <v>3975</v>
      </c>
      <c r="B896" s="3" t="s">
        <v>3976</v>
      </c>
      <c r="C896" s="4" t="s">
        <v>6574</v>
      </c>
      <c r="D896" s="3" t="s">
        <v>1536</v>
      </c>
      <c r="E896" s="3" t="s">
        <v>24</v>
      </c>
      <c r="F896" s="3"/>
      <c r="G896" s="3"/>
      <c r="H896" s="3"/>
      <c r="I896" s="3"/>
      <c r="J896" s="3" t="s">
        <v>3977</v>
      </c>
      <c r="K896" s="3" t="s">
        <v>3978</v>
      </c>
      <c r="L896" s="3" t="s">
        <v>3979</v>
      </c>
      <c r="M896" s="3" t="str">
        <f>HYPERLINK("https://ceds.ed.gov/cedselementdetails.aspx?termid=5179")</f>
        <v>https://ceds.ed.gov/cedselementdetails.aspx?termid=5179</v>
      </c>
      <c r="N896" s="3" t="str">
        <f>HYPERLINK("https://ceds.ed.gov/elementComment.aspx?elementName=Limited English Proficiency - Postsecondary &amp;elementID=5179", "Click here to submit comment")</f>
        <v>Click here to submit comment</v>
      </c>
    </row>
    <row r="897" spans="1:14" ht="45">
      <c r="A897" s="3" t="s">
        <v>3980</v>
      </c>
      <c r="B897" s="3" t="s">
        <v>3981</v>
      </c>
      <c r="C897" s="3" t="s">
        <v>13</v>
      </c>
      <c r="D897" s="3" t="s">
        <v>3982</v>
      </c>
      <c r="E897" s="3"/>
      <c r="F897" s="3"/>
      <c r="G897" s="3" t="s">
        <v>73</v>
      </c>
      <c r="H897" s="3"/>
      <c r="I897" s="3"/>
      <c r="J897" s="3" t="s">
        <v>3983</v>
      </c>
      <c r="K897" s="3" t="s">
        <v>3984</v>
      </c>
      <c r="L897" s="3" t="s">
        <v>3985</v>
      </c>
      <c r="M897" s="3" t="str">
        <f>HYPERLINK("https://ceds.ed.gov/cedselementdetails.aspx?termid=6213")</f>
        <v>https://ceds.ed.gov/cedselementdetails.aspx?termid=6213</v>
      </c>
      <c r="N897" s="3" t="str">
        <f>HYPERLINK("https://ceds.ed.gov/elementComment.aspx?elementName=Limited English Proficiency Entry Date &amp;elementID=6213", "Click here to submit comment")</f>
        <v>Click here to submit comment</v>
      </c>
    </row>
    <row r="898" spans="1:14" ht="45">
      <c r="A898" s="3" t="s">
        <v>3986</v>
      </c>
      <c r="B898" s="3" t="s">
        <v>3987</v>
      </c>
      <c r="C898" s="3" t="s">
        <v>13</v>
      </c>
      <c r="D898" s="3" t="s">
        <v>3982</v>
      </c>
      <c r="E898" s="3" t="s">
        <v>218</v>
      </c>
      <c r="F898" s="3"/>
      <c r="G898" s="3" t="s">
        <v>73</v>
      </c>
      <c r="H898" s="3"/>
      <c r="I898" s="3"/>
      <c r="J898" s="3" t="s">
        <v>3988</v>
      </c>
      <c r="K898" s="3" t="s">
        <v>3989</v>
      </c>
      <c r="L898" s="3" t="s">
        <v>3990</v>
      </c>
      <c r="M898" s="3" t="str">
        <f>HYPERLINK("https://ceds.ed.gov/cedselementdetails.aspx?termid=5562")</f>
        <v>https://ceds.ed.gov/cedselementdetails.aspx?termid=5562</v>
      </c>
      <c r="N898" s="3" t="str">
        <f>HYPERLINK("https://ceds.ed.gov/elementComment.aspx?elementName=Limited English Proficiency Exit Date &amp;elementID=5562", "Click here to submit comment")</f>
        <v>Click here to submit comment</v>
      </c>
    </row>
    <row r="899" spans="1:14" ht="409.5">
      <c r="A899" s="3" t="s">
        <v>3991</v>
      </c>
      <c r="B899" s="3" t="s">
        <v>3992</v>
      </c>
      <c r="C899" s="3" t="s">
        <v>5963</v>
      </c>
      <c r="D899" s="3" t="s">
        <v>3982</v>
      </c>
      <c r="E899" s="3" t="s">
        <v>6084</v>
      </c>
      <c r="F899" s="3"/>
      <c r="G899" s="3"/>
      <c r="H899" s="3"/>
      <c r="I899" s="3"/>
      <c r="J899" s="3" t="s">
        <v>3993</v>
      </c>
      <c r="K899" s="3" t="s">
        <v>3994</v>
      </c>
      <c r="L899" s="3" t="s">
        <v>3995</v>
      </c>
      <c r="M899" s="3" t="str">
        <f>HYPERLINK("https://ceds.ed.gov/cedselementdetails.aspx?termid=5180")</f>
        <v>https://ceds.ed.gov/cedselementdetails.aspx?termid=5180</v>
      </c>
      <c r="N899" s="3" t="str">
        <f>HYPERLINK("https://ceds.ed.gov/elementComment.aspx?elementName=Limited English Proficiency Status &amp;elementID=5180", "Click here to submit comment")</f>
        <v>Click here to submit comment</v>
      </c>
    </row>
    <row r="900" spans="1:14" ht="240">
      <c r="A900" s="3" t="s">
        <v>3996</v>
      </c>
      <c r="B900" s="3" t="s">
        <v>3997</v>
      </c>
      <c r="C900" s="4" t="s">
        <v>6575</v>
      </c>
      <c r="D900" s="3" t="s">
        <v>30</v>
      </c>
      <c r="E900" s="3" t="s">
        <v>207</v>
      </c>
      <c r="F900" s="3"/>
      <c r="G900" s="3"/>
      <c r="H900" s="3"/>
      <c r="I900" s="3"/>
      <c r="J900" s="3" t="s">
        <v>3998</v>
      </c>
      <c r="K900" s="3"/>
      <c r="L900" s="3" t="s">
        <v>3999</v>
      </c>
      <c r="M900" s="3" t="str">
        <f>HYPERLINK("https://ceds.ed.gov/cedselementdetails.aspx?termid=5456")</f>
        <v>https://ceds.ed.gov/cedselementdetails.aspx?termid=5456</v>
      </c>
      <c r="N900" s="3" t="str">
        <f>HYPERLINK("https://ceds.ed.gov/elementComment.aspx?elementName=Literacy Assessment Administered Type &amp;elementID=5456", "Click here to submit comment")</f>
        <v>Click here to submit comment</v>
      </c>
    </row>
    <row r="901" spans="1:14" ht="60">
      <c r="A901" s="3" t="s">
        <v>4000</v>
      </c>
      <c r="B901" s="3" t="s">
        <v>4001</v>
      </c>
      <c r="C901" s="3" t="s">
        <v>5963</v>
      </c>
      <c r="D901" s="3" t="s">
        <v>30</v>
      </c>
      <c r="E901" s="3" t="s">
        <v>207</v>
      </c>
      <c r="F901" s="3"/>
      <c r="G901" s="3"/>
      <c r="H901" s="3"/>
      <c r="I901" s="3"/>
      <c r="J901" s="3" t="s">
        <v>4002</v>
      </c>
      <c r="K901" s="3"/>
      <c r="L901" s="3" t="s">
        <v>4003</v>
      </c>
      <c r="M901" s="3" t="str">
        <f>HYPERLINK("https://ceds.ed.gov/cedselementdetails.aspx?termid=5457")</f>
        <v>https://ceds.ed.gov/cedselementdetails.aspx?termid=5457</v>
      </c>
      <c r="N901" s="3" t="str">
        <f>HYPERLINK("https://ceds.ed.gov/elementComment.aspx?elementName=Literacy Goal Met Status &amp;elementID=5457", "Click here to submit comment")</f>
        <v>Click here to submit comment</v>
      </c>
    </row>
    <row r="902" spans="1:14" ht="45">
      <c r="A902" s="3" t="s">
        <v>4004</v>
      </c>
      <c r="B902" s="3" t="s">
        <v>4005</v>
      </c>
      <c r="C902" s="3" t="s">
        <v>5963</v>
      </c>
      <c r="D902" s="3" t="s">
        <v>30</v>
      </c>
      <c r="E902" s="3" t="s">
        <v>207</v>
      </c>
      <c r="F902" s="3"/>
      <c r="G902" s="3"/>
      <c r="H902" s="3"/>
      <c r="I902" s="3"/>
      <c r="J902" s="3" t="s">
        <v>4006</v>
      </c>
      <c r="K902" s="3"/>
      <c r="L902" s="3" t="s">
        <v>4007</v>
      </c>
      <c r="M902" s="3" t="str">
        <f>HYPERLINK("https://ceds.ed.gov/cedselementdetails.aspx?termid=5458")</f>
        <v>https://ceds.ed.gov/cedselementdetails.aspx?termid=5458</v>
      </c>
      <c r="N902" s="3" t="str">
        <f>HYPERLINK("https://ceds.ed.gov/elementComment.aspx?elementName=Literacy Post Test Status &amp;elementID=5458", "Click here to submit comment")</f>
        <v>Click here to submit comment</v>
      </c>
    </row>
    <row r="903" spans="1:14" ht="45">
      <c r="A903" s="3" t="s">
        <v>4008</v>
      </c>
      <c r="B903" s="3" t="s">
        <v>4009</v>
      </c>
      <c r="C903" s="3" t="s">
        <v>5963</v>
      </c>
      <c r="D903" s="3" t="s">
        <v>30</v>
      </c>
      <c r="E903" s="3" t="s">
        <v>207</v>
      </c>
      <c r="F903" s="3"/>
      <c r="G903" s="3"/>
      <c r="H903" s="3"/>
      <c r="I903" s="3"/>
      <c r="J903" s="3" t="s">
        <v>4010</v>
      </c>
      <c r="K903" s="3"/>
      <c r="L903" s="3" t="s">
        <v>4011</v>
      </c>
      <c r="M903" s="3" t="str">
        <f>HYPERLINK("https://ceds.ed.gov/cedselementdetails.aspx?termid=5459")</f>
        <v>https://ceds.ed.gov/cedselementdetails.aspx?termid=5459</v>
      </c>
      <c r="N903" s="3" t="str">
        <f>HYPERLINK("https://ceds.ed.gov/elementComment.aspx?elementName=Literacy Pre Test Status &amp;elementID=5459", "Click here to submit comment")</f>
        <v>Click here to submit comment</v>
      </c>
    </row>
    <row r="904" spans="1:14" ht="60">
      <c r="A904" s="3" t="s">
        <v>4012</v>
      </c>
      <c r="B904" s="3" t="s">
        <v>4013</v>
      </c>
      <c r="C904" s="4" t="s">
        <v>6576</v>
      </c>
      <c r="D904" s="3" t="s">
        <v>2822</v>
      </c>
      <c r="E904" s="3" t="s">
        <v>207</v>
      </c>
      <c r="F904" s="3"/>
      <c r="G904" s="3"/>
      <c r="H904" s="3"/>
      <c r="I904" s="3"/>
      <c r="J904" s="3" t="s">
        <v>4014</v>
      </c>
      <c r="K904" s="3" t="s">
        <v>4015</v>
      </c>
      <c r="L904" s="3" t="s">
        <v>4016</v>
      </c>
      <c r="M904" s="3" t="str">
        <f>HYPERLINK("https://ceds.ed.gov/cedselementdetails.aspx?termid=5441")</f>
        <v>https://ceds.ed.gov/cedselementdetails.aspx?termid=5441</v>
      </c>
      <c r="N904" s="3" t="str">
        <f>HYPERLINK("https://ceds.ed.gov/elementComment.aspx?elementName=Local Education Agency Funds Transfer Type &amp;elementID=5441", "Click here to submit comment")</f>
        <v>Click here to submit comment</v>
      </c>
    </row>
    <row r="905" spans="1:14" ht="375">
      <c r="A905" s="3" t="s">
        <v>4017</v>
      </c>
      <c r="B905" s="3" t="s">
        <v>4018</v>
      </c>
      <c r="C905" s="4" t="s">
        <v>6577</v>
      </c>
      <c r="D905" s="3" t="s">
        <v>6251</v>
      </c>
      <c r="E905" s="3" t="s">
        <v>6252</v>
      </c>
      <c r="F905" s="3"/>
      <c r="G905" s="3"/>
      <c r="H905" s="3"/>
      <c r="I905" s="3"/>
      <c r="J905" s="3" t="s">
        <v>4019</v>
      </c>
      <c r="K905" s="3" t="s">
        <v>4020</v>
      </c>
      <c r="L905" s="3" t="s">
        <v>4021</v>
      </c>
      <c r="M905" s="3" t="str">
        <f>HYPERLINK("https://ceds.ed.gov/cedselementdetails.aspx?termid=5159")</f>
        <v>https://ceds.ed.gov/cedselementdetails.aspx?termid=5159</v>
      </c>
      <c r="N905" s="3" t="str">
        <f>HYPERLINK("https://ceds.ed.gov/elementComment.aspx?elementName=Local Education Agency Identification System &amp;elementID=5159", "Click here to submit comment")</f>
        <v>Click here to submit comment</v>
      </c>
    </row>
    <row r="906" spans="1:14" ht="375">
      <c r="A906" s="3" t="s">
        <v>4022</v>
      </c>
      <c r="B906" s="3" t="s">
        <v>4023</v>
      </c>
      <c r="C906" s="3" t="s">
        <v>13</v>
      </c>
      <c r="D906" s="3" t="s">
        <v>6251</v>
      </c>
      <c r="E906" s="3" t="s">
        <v>6252</v>
      </c>
      <c r="F906" s="3"/>
      <c r="G906" s="3" t="s">
        <v>100</v>
      </c>
      <c r="H906" s="3"/>
      <c r="I906" s="3"/>
      <c r="J906" s="3" t="s">
        <v>4024</v>
      </c>
      <c r="K906" s="3" t="s">
        <v>4025</v>
      </c>
      <c r="L906" s="3" t="s">
        <v>4026</v>
      </c>
      <c r="M906" s="3" t="str">
        <f>HYPERLINK("https://ceds.ed.gov/cedselementdetails.aspx?termid=5153")</f>
        <v>https://ceds.ed.gov/cedselementdetails.aspx?termid=5153</v>
      </c>
      <c r="N906" s="3" t="str">
        <f>HYPERLINK("https://ceds.ed.gov/elementComment.aspx?elementName=Local Education Agency Identifier &amp;elementID=5153", "Click here to submit comment")</f>
        <v>Click here to submit comment</v>
      </c>
    </row>
    <row r="907" spans="1:14" ht="90">
      <c r="A907" s="3" t="s">
        <v>4027</v>
      </c>
      <c r="B907" s="3" t="s">
        <v>4028</v>
      </c>
      <c r="C907" s="4" t="s">
        <v>6578</v>
      </c>
      <c r="D907" s="3" t="s">
        <v>59</v>
      </c>
      <c r="E907" s="3" t="s">
        <v>218</v>
      </c>
      <c r="F907" s="3"/>
      <c r="G907" s="3"/>
      <c r="H907" s="3"/>
      <c r="I907" s="3"/>
      <c r="J907" s="3" t="s">
        <v>4029</v>
      </c>
      <c r="K907" s="3" t="s">
        <v>4030</v>
      </c>
      <c r="L907" s="3" t="s">
        <v>4031</v>
      </c>
      <c r="M907" s="3" t="str">
        <f>HYPERLINK("https://ceds.ed.gov/cedselementdetails.aspx?termid=5173")</f>
        <v>https://ceds.ed.gov/cedselementdetails.aspx?termid=5173</v>
      </c>
      <c r="N907" s="3" t="str">
        <f>HYPERLINK("https://ceds.ed.gov/elementComment.aspx?elementName=Local Education Agency Improvement Status &amp;elementID=5173", "Click here to submit comment")</f>
        <v>Click here to submit comment</v>
      </c>
    </row>
    <row r="908" spans="1:14" ht="135">
      <c r="A908" s="3" t="s">
        <v>4032</v>
      </c>
      <c r="B908" s="3" t="s">
        <v>4033</v>
      </c>
      <c r="C908" s="4" t="s">
        <v>6579</v>
      </c>
      <c r="D908" s="3" t="s">
        <v>4034</v>
      </c>
      <c r="E908" s="3" t="s">
        <v>218</v>
      </c>
      <c r="F908" s="3"/>
      <c r="G908" s="3"/>
      <c r="H908" s="3"/>
      <c r="I908" s="3"/>
      <c r="J908" s="3" t="s">
        <v>4035</v>
      </c>
      <c r="K908" s="3" t="s">
        <v>4036</v>
      </c>
      <c r="L908" s="3" t="s">
        <v>4037</v>
      </c>
      <c r="M908" s="3" t="str">
        <f>HYPERLINK("https://ceds.ed.gov/cedselementdetails.aspx?termid=5174")</f>
        <v>https://ceds.ed.gov/cedselementdetails.aspx?termid=5174</v>
      </c>
      <c r="N908" s="3" t="str">
        <f>HYPERLINK("https://ceds.ed.gov/elementComment.aspx?elementName=Local Education Agency Operational Status &amp;elementID=5174", "Click here to submit comment")</f>
        <v>Click here to submit comment</v>
      </c>
    </row>
    <row r="909" spans="1:14" ht="45">
      <c r="A909" s="3" t="s">
        <v>4038</v>
      </c>
      <c r="B909" s="3" t="s">
        <v>4039</v>
      </c>
      <c r="C909" s="3" t="s">
        <v>13</v>
      </c>
      <c r="D909" s="3" t="s">
        <v>4034</v>
      </c>
      <c r="E909" s="3" t="s">
        <v>218</v>
      </c>
      <c r="F909" s="3"/>
      <c r="G909" s="3" t="s">
        <v>4040</v>
      </c>
      <c r="H909" s="3"/>
      <c r="I909" s="3"/>
      <c r="J909" s="3" t="s">
        <v>4041</v>
      </c>
      <c r="K909" s="3" t="s">
        <v>4042</v>
      </c>
      <c r="L909" s="3" t="s">
        <v>4043</v>
      </c>
      <c r="M909" s="3" t="str">
        <f>HYPERLINK("https://ceds.ed.gov/cedselementdetails.aspx?termid=5175")</f>
        <v>https://ceds.ed.gov/cedselementdetails.aspx?termid=5175</v>
      </c>
      <c r="N909" s="3" t="str">
        <f>HYPERLINK("https://ceds.ed.gov/elementComment.aspx?elementName=Local Education Agency Supervisory Union Identification Number &amp;elementID=5175", "Click here to submit comment")</f>
        <v>Click here to submit comment</v>
      </c>
    </row>
    <row r="910" spans="1:14" ht="60">
      <c r="A910" s="3" t="s">
        <v>4044</v>
      </c>
      <c r="B910" s="3" t="s">
        <v>4045</v>
      </c>
      <c r="C910" s="3" t="s">
        <v>5963</v>
      </c>
      <c r="D910" s="3" t="s">
        <v>2822</v>
      </c>
      <c r="E910" s="3" t="s">
        <v>207</v>
      </c>
      <c r="F910" s="3"/>
      <c r="G910" s="3"/>
      <c r="H910" s="3"/>
      <c r="I910" s="3"/>
      <c r="J910" s="3" t="s">
        <v>4046</v>
      </c>
      <c r="K910" s="3" t="s">
        <v>4047</v>
      </c>
      <c r="L910" s="3" t="s">
        <v>4048</v>
      </c>
      <c r="M910" s="3" t="str">
        <f>HYPERLINK("https://ceds.ed.gov/cedselementdetails.aspx?termid=5436")</f>
        <v>https://ceds.ed.gov/cedselementdetails.aspx?termid=5436</v>
      </c>
      <c r="N910" s="3" t="str">
        <f>HYPERLINK("https://ceds.ed.gov/elementComment.aspx?elementName=Local Education Agency Transferability of Funds &amp;elementID=5436", "Click here to submit comment")</f>
        <v>Click here to submit comment</v>
      </c>
    </row>
    <row r="911" spans="1:14" ht="225">
      <c r="A911" s="3" t="s">
        <v>4049</v>
      </c>
      <c r="B911" s="3" t="s">
        <v>4050</v>
      </c>
      <c r="C911" s="4" t="s">
        <v>6580</v>
      </c>
      <c r="D911" s="3" t="s">
        <v>4034</v>
      </c>
      <c r="E911" s="3" t="s">
        <v>218</v>
      </c>
      <c r="F911" s="3"/>
      <c r="G911" s="3"/>
      <c r="H911" s="3"/>
      <c r="I911" s="3"/>
      <c r="J911" s="3" t="s">
        <v>4051</v>
      </c>
      <c r="K911" s="3"/>
      <c r="L911" s="3" t="s">
        <v>4052</v>
      </c>
      <c r="M911" s="3" t="str">
        <f>HYPERLINK("https://ceds.ed.gov/cedselementdetails.aspx?termid=5528")</f>
        <v>https://ceds.ed.gov/cedselementdetails.aspx?termid=5528</v>
      </c>
      <c r="N911" s="3" t="str">
        <f>HYPERLINK("https://ceds.ed.gov/elementComment.aspx?elementName=Local Education Agency Type &amp;elementID=5528", "Click here to submit comment")</f>
        <v>Click here to submit comment</v>
      </c>
    </row>
    <row r="912" spans="1:14" ht="75">
      <c r="A912" s="3" t="s">
        <v>4053</v>
      </c>
      <c r="B912" s="3" t="s">
        <v>4054</v>
      </c>
      <c r="C912" s="3" t="s">
        <v>13</v>
      </c>
      <c r="D912" s="3" t="s">
        <v>6218</v>
      </c>
      <c r="E912" s="3"/>
      <c r="F912" s="3"/>
      <c r="G912" s="3" t="s">
        <v>1127</v>
      </c>
      <c r="H912" s="3"/>
      <c r="I912" s="3"/>
      <c r="J912" s="3" t="s">
        <v>4055</v>
      </c>
      <c r="K912" s="3"/>
      <c r="L912" s="3" t="s">
        <v>4053</v>
      </c>
      <c r="M912" s="3" t="str">
        <f>HYPERLINK("https://ceds.ed.gov/cedselementdetails.aspx?termid=5600")</f>
        <v>https://ceds.ed.gov/cedselementdetails.aspx?termid=5600</v>
      </c>
      <c r="N912" s="3" t="str">
        <f>HYPERLINK("https://ceds.ed.gov/elementComment.aspx?elementName=Longitude &amp;elementID=5600", "Click here to submit comment")</f>
        <v>Click here to submit comment</v>
      </c>
    </row>
    <row r="913" spans="1:14" ht="180">
      <c r="A913" s="3" t="s">
        <v>4056</v>
      </c>
      <c r="B913" s="3" t="s">
        <v>4057</v>
      </c>
      <c r="C913" s="3" t="s">
        <v>5963</v>
      </c>
      <c r="D913" s="3" t="s">
        <v>2248</v>
      </c>
      <c r="E913" s="3"/>
      <c r="F913" s="3"/>
      <c r="G913" s="3"/>
      <c r="H913" s="3"/>
      <c r="I913" s="3"/>
      <c r="J913" s="3" t="s">
        <v>4058</v>
      </c>
      <c r="K913" s="3"/>
      <c r="L913" s="3" t="s">
        <v>4059</v>
      </c>
      <c r="M913" s="3" t="str">
        <f>HYPERLINK("https://ceds.ed.gov/cedselementdetails.aspx?termid=5758")</f>
        <v>https://ceds.ed.gov/cedselementdetails.aspx?termid=5758</v>
      </c>
      <c r="N913" s="3" t="str">
        <f>HYPERLINK("https://ceds.ed.gov/elementComment.aspx?elementName=Low-income Status &amp;elementID=5758", "Click here to submit comment")</f>
        <v>Click here to submit comment</v>
      </c>
    </row>
    <row r="914" spans="1:14" ht="135">
      <c r="A914" s="3" t="s">
        <v>4060</v>
      </c>
      <c r="B914" s="3" t="s">
        <v>4061</v>
      </c>
      <c r="C914" s="4" t="s">
        <v>6581</v>
      </c>
      <c r="D914" s="3" t="s">
        <v>224</v>
      </c>
      <c r="E914" s="3" t="s">
        <v>5968</v>
      </c>
      <c r="F914" s="3"/>
      <c r="G914" s="3"/>
      <c r="H914" s="3"/>
      <c r="I914" s="3"/>
      <c r="J914" s="3" t="s">
        <v>4062</v>
      </c>
      <c r="K914" s="3"/>
      <c r="L914" s="3" t="s">
        <v>4063</v>
      </c>
      <c r="M914" s="3" t="str">
        <f>HYPERLINK("https://ceds.ed.gov/cedselementdetails.aspx?termid=5181")</f>
        <v>https://ceds.ed.gov/cedselementdetails.aspx?termid=5181</v>
      </c>
      <c r="N914" s="3" t="str">
        <f>HYPERLINK("https://ceds.ed.gov/elementComment.aspx?elementName=Magnet or Special Program Emphasis School &amp;elementID=5181", "Click here to submit comment")</f>
        <v>Click here to submit comment</v>
      </c>
    </row>
    <row r="915" spans="1:14" ht="90">
      <c r="A915" s="3" t="s">
        <v>4064</v>
      </c>
      <c r="B915" s="3" t="s">
        <v>4065</v>
      </c>
      <c r="C915" s="3" t="s">
        <v>13</v>
      </c>
      <c r="D915" s="3" t="s">
        <v>4066</v>
      </c>
      <c r="E915" s="3" t="s">
        <v>5968</v>
      </c>
      <c r="F915" s="3"/>
      <c r="G915" s="3" t="s">
        <v>100</v>
      </c>
      <c r="H915" s="3"/>
      <c r="I915" s="3"/>
      <c r="J915" s="3" t="s">
        <v>4067</v>
      </c>
      <c r="K915" s="3"/>
      <c r="L915" s="3" t="s">
        <v>4068</v>
      </c>
      <c r="M915" s="3" t="str">
        <f>HYPERLINK("https://ceds.ed.gov/cedselementdetails.aspx?termid=5182")</f>
        <v>https://ceds.ed.gov/cedselementdetails.aspx?termid=5182</v>
      </c>
      <c r="N915" s="3" t="str">
        <f>HYPERLINK("https://ceds.ed.gov/elementComment.aspx?elementName=Marking Period Name &amp;elementID=5182", "Click here to submit comment")</f>
        <v>Click here to submit comment</v>
      </c>
    </row>
    <row r="916" spans="1:14" ht="60">
      <c r="A916" s="3" t="s">
        <v>4069</v>
      </c>
      <c r="B916" s="3" t="s">
        <v>4070</v>
      </c>
      <c r="C916" s="3" t="s">
        <v>6253</v>
      </c>
      <c r="D916" s="3" t="s">
        <v>4071</v>
      </c>
      <c r="E916" s="3" t="s">
        <v>1480</v>
      </c>
      <c r="F916" s="3"/>
      <c r="G916" s="3"/>
      <c r="H916" s="3"/>
      <c r="I916" s="3"/>
      <c r="J916" s="3" t="s">
        <v>4072</v>
      </c>
      <c r="K916" s="3"/>
      <c r="L916" s="3" t="s">
        <v>4073</v>
      </c>
      <c r="M916" s="3" t="str">
        <f>HYPERLINK("https://ceds.ed.gov/cedselementdetails.aspx?termid=5429")</f>
        <v>https://ceds.ed.gov/cedselementdetails.aspx?termid=5429</v>
      </c>
      <c r="N916" s="3" t="str">
        <f>HYPERLINK("https://ceds.ed.gov/elementComment.aspx?elementName=Medical Alert Indicator &amp;elementID=5429", "Click here to submit comment")</f>
        <v>Click here to submit comment</v>
      </c>
    </row>
    <row r="917" spans="1:14" ht="180">
      <c r="A917" s="3" t="s">
        <v>4074</v>
      </c>
      <c r="B917" s="3" t="s">
        <v>4075</v>
      </c>
      <c r="C917" s="3" t="s">
        <v>5963</v>
      </c>
      <c r="D917" s="3" t="s">
        <v>35</v>
      </c>
      <c r="E917" s="3" t="s">
        <v>36</v>
      </c>
      <c r="F917" s="3"/>
      <c r="G917" s="3"/>
      <c r="H917" s="3"/>
      <c r="I917" s="3" t="s">
        <v>2630</v>
      </c>
      <c r="J917" s="3" t="s">
        <v>4076</v>
      </c>
      <c r="K917" s="3"/>
      <c r="L917" s="3" t="s">
        <v>4077</v>
      </c>
      <c r="M917" s="3" t="str">
        <f>HYPERLINK("https://ceds.ed.gov/cedselementdetails.aspx?termid=5710")</f>
        <v>https://ceds.ed.gov/cedselementdetails.aspx?termid=5710</v>
      </c>
      <c r="N917" s="3" t="str">
        <f>HYPERLINK("https://ceds.ed.gov/elementComment.aspx?elementName=Medical School Staff Status &amp;elementID=5710", "Click here to submit comment")</f>
        <v>Click here to submit comment</v>
      </c>
    </row>
    <row r="918" spans="1:14" ht="45">
      <c r="A918" s="3" t="s">
        <v>4078</v>
      </c>
      <c r="B918" s="3" t="s">
        <v>4079</v>
      </c>
      <c r="C918" s="3" t="s">
        <v>6254</v>
      </c>
      <c r="D918" s="3" t="s">
        <v>4080</v>
      </c>
      <c r="E918" s="3"/>
      <c r="F918" s="3" t="s">
        <v>54</v>
      </c>
      <c r="G918" s="3" t="s">
        <v>106</v>
      </c>
      <c r="H918" s="3"/>
      <c r="I918" s="3"/>
      <c r="J918" s="3" t="s">
        <v>4081</v>
      </c>
      <c r="K918" s="3"/>
      <c r="L918" s="3" t="s">
        <v>4082</v>
      </c>
      <c r="M918" s="3" t="str">
        <f>HYPERLINK("https://ceds.ed.gov/cedselementdetails.aspx?termid=6482")</f>
        <v>https://ceds.ed.gov/cedselementdetails.aspx?termid=6482</v>
      </c>
      <c r="N918" s="3" t="str">
        <f>HYPERLINK("https://ceds.ed.gov/elementComment.aspx?elementName=Method of Service Delivery &amp;elementID=6482", "Click here to submit comment")</f>
        <v>Click here to submit comment</v>
      </c>
    </row>
    <row r="919" spans="1:14" ht="90">
      <c r="A919" s="3" t="s">
        <v>4083</v>
      </c>
      <c r="B919" s="3" t="s">
        <v>4084</v>
      </c>
      <c r="C919" s="3" t="s">
        <v>13</v>
      </c>
      <c r="D919" s="3" t="s">
        <v>4066</v>
      </c>
      <c r="E919" s="3" t="s">
        <v>5968</v>
      </c>
      <c r="F919" s="3"/>
      <c r="G919" s="3" t="s">
        <v>4085</v>
      </c>
      <c r="H919" s="3"/>
      <c r="I919" s="3"/>
      <c r="J919" s="3" t="s">
        <v>4086</v>
      </c>
      <c r="K919" s="3"/>
      <c r="L919" s="3" t="s">
        <v>4087</v>
      </c>
      <c r="M919" s="3" t="str">
        <f>HYPERLINK("https://ceds.ed.gov/cedselementdetails.aspx?termid=5183")</f>
        <v>https://ceds.ed.gov/cedselementdetails.aspx?termid=5183</v>
      </c>
      <c r="N919" s="3" t="str">
        <f>HYPERLINK("https://ceds.ed.gov/elementComment.aspx?elementName=Mid Term Mark &amp;elementID=5183", "Click here to submit comment")</f>
        <v>Click here to submit comment</v>
      </c>
    </row>
    <row r="920" spans="1:14" ht="409.5">
      <c r="A920" s="3" t="s">
        <v>4088</v>
      </c>
      <c r="B920" s="3" t="s">
        <v>4089</v>
      </c>
      <c r="C920" s="3" t="s">
        <v>13</v>
      </c>
      <c r="D920" s="3" t="s">
        <v>6217</v>
      </c>
      <c r="E920" s="3" t="s">
        <v>6176</v>
      </c>
      <c r="F920" s="3" t="s">
        <v>3</v>
      </c>
      <c r="G920" s="3" t="s">
        <v>1368</v>
      </c>
      <c r="H920" s="3"/>
      <c r="I920" s="3" t="s">
        <v>2778</v>
      </c>
      <c r="J920" s="3" t="s">
        <v>4090</v>
      </c>
      <c r="K920" s="3"/>
      <c r="L920" s="3" t="s">
        <v>4091</v>
      </c>
      <c r="M920" s="3" t="str">
        <f>HYPERLINK("https://ceds.ed.gov/cedselementdetails.aspx?termid=5184")</f>
        <v>https://ceds.ed.gov/cedselementdetails.aspx?termid=5184</v>
      </c>
      <c r="N920" s="3" t="str">
        <f>HYPERLINK("https://ceds.ed.gov/elementComment.aspx?elementName=Middle Name &amp;elementID=5184", "Click here to submit comment")</f>
        <v>Click here to submit comment</v>
      </c>
    </row>
    <row r="921" spans="1:14" ht="75">
      <c r="A921" s="3" t="s">
        <v>4092</v>
      </c>
      <c r="B921" s="3" t="s">
        <v>4093</v>
      </c>
      <c r="C921" s="3" t="s">
        <v>5963</v>
      </c>
      <c r="D921" s="3" t="s">
        <v>1479</v>
      </c>
      <c r="E921" s="3" t="s">
        <v>218</v>
      </c>
      <c r="F921" s="3"/>
      <c r="G921" s="3"/>
      <c r="H921" s="3"/>
      <c r="I921" s="3"/>
      <c r="J921" s="3" t="s">
        <v>4094</v>
      </c>
      <c r="K921" s="3" t="s">
        <v>4095</v>
      </c>
      <c r="L921" s="3" t="s">
        <v>4096</v>
      </c>
      <c r="M921" s="3" t="str">
        <f>HYPERLINK("https://ceds.ed.gov/cedselementdetails.aspx?termid=5555")</f>
        <v>https://ceds.ed.gov/cedselementdetails.aspx?termid=5555</v>
      </c>
      <c r="N921" s="3" t="str">
        <f>HYPERLINK("https://ceds.ed.gov/elementComment.aspx?elementName=Migrant Education Program Continuation of Services Status &amp;elementID=5555", "Click here to submit comment")</f>
        <v>Click here to submit comment</v>
      </c>
    </row>
    <row r="922" spans="1:14" ht="120">
      <c r="A922" s="3" t="s">
        <v>4097</v>
      </c>
      <c r="B922" s="3" t="s">
        <v>4098</v>
      </c>
      <c r="C922" s="3" t="s">
        <v>13</v>
      </c>
      <c r="D922" s="3" t="s">
        <v>1479</v>
      </c>
      <c r="E922" s="3" t="s">
        <v>1480</v>
      </c>
      <c r="F922" s="3"/>
      <c r="G922" s="3" t="s">
        <v>73</v>
      </c>
      <c r="H922" s="3"/>
      <c r="I922" s="3"/>
      <c r="J922" s="3" t="s">
        <v>4099</v>
      </c>
      <c r="K922" s="3" t="s">
        <v>4100</v>
      </c>
      <c r="L922" s="3" t="s">
        <v>4101</v>
      </c>
      <c r="M922" s="3" t="str">
        <f>HYPERLINK("https://ceds.ed.gov/cedselementdetails.aspx?termid=5420")</f>
        <v>https://ceds.ed.gov/cedselementdetails.aspx?termid=5420</v>
      </c>
      <c r="N922" s="3" t="str">
        <f>HYPERLINK("https://ceds.ed.gov/elementComment.aspx?elementName=Migrant Education Program Eligibility Expiration Date &amp;elementID=5420", "Click here to submit comment")</f>
        <v>Click here to submit comment</v>
      </c>
    </row>
    <row r="923" spans="1:14" ht="150">
      <c r="A923" s="3" t="s">
        <v>4102</v>
      </c>
      <c r="B923" s="3" t="s">
        <v>4103</v>
      </c>
      <c r="C923" s="4" t="s">
        <v>6582</v>
      </c>
      <c r="D923" s="3" t="s">
        <v>1479</v>
      </c>
      <c r="E923" s="3" t="s">
        <v>1480</v>
      </c>
      <c r="F923" s="3"/>
      <c r="G923" s="3"/>
      <c r="H923" s="3"/>
      <c r="I923" s="3"/>
      <c r="J923" s="3" t="s">
        <v>4104</v>
      </c>
      <c r="K923" s="3" t="s">
        <v>4105</v>
      </c>
      <c r="L923" s="3" t="s">
        <v>4106</v>
      </c>
      <c r="M923" s="3" t="str">
        <f>HYPERLINK("https://ceds.ed.gov/cedselementdetails.aspx?termid=5427")</f>
        <v>https://ceds.ed.gov/cedselementdetails.aspx?termid=5427</v>
      </c>
      <c r="N923" s="3" t="str">
        <f>HYPERLINK("https://ceds.ed.gov/elementComment.aspx?elementName=Migrant Education Program Enrollment Type &amp;elementID=5427", "Click here to submit comment")</f>
        <v>Click here to submit comment</v>
      </c>
    </row>
    <row r="924" spans="1:14" ht="45">
      <c r="A924" s="3" t="s">
        <v>4107</v>
      </c>
      <c r="B924" s="3" t="s">
        <v>4108</v>
      </c>
      <c r="C924" s="3" t="s">
        <v>5963</v>
      </c>
      <c r="D924" s="3" t="s">
        <v>1479</v>
      </c>
      <c r="E924" s="3" t="s">
        <v>218</v>
      </c>
      <c r="F924" s="3"/>
      <c r="G924" s="3"/>
      <c r="H924" s="3"/>
      <c r="I924" s="3"/>
      <c r="J924" s="3" t="s">
        <v>4109</v>
      </c>
      <c r="K924" s="3" t="s">
        <v>4110</v>
      </c>
      <c r="L924" s="3" t="s">
        <v>4111</v>
      </c>
      <c r="M924" s="3" t="str">
        <f>HYPERLINK("https://ceds.ed.gov/cedselementdetails.aspx?termid=5185")</f>
        <v>https://ceds.ed.gov/cedselementdetails.aspx?termid=5185</v>
      </c>
      <c r="N924" s="3" t="str">
        <f>HYPERLINK("https://ceds.ed.gov/elementComment.aspx?elementName=Migrant Education Program Participation Status &amp;elementID=5185", "Click here to submit comment")</f>
        <v>Click here to submit comment</v>
      </c>
    </row>
    <row r="925" spans="1:14" ht="60">
      <c r="A925" s="3" t="s">
        <v>4112</v>
      </c>
      <c r="B925" s="3" t="s">
        <v>4113</v>
      </c>
      <c r="C925" s="3" t="s">
        <v>5963</v>
      </c>
      <c r="D925" s="3" t="s">
        <v>1779</v>
      </c>
      <c r="E925" s="3" t="s">
        <v>218</v>
      </c>
      <c r="F925" s="3"/>
      <c r="G925" s="3"/>
      <c r="H925" s="3"/>
      <c r="I925" s="3"/>
      <c r="J925" s="3" t="s">
        <v>4114</v>
      </c>
      <c r="K925" s="3" t="s">
        <v>4115</v>
      </c>
      <c r="L925" s="3" t="s">
        <v>4116</v>
      </c>
      <c r="M925" s="3" t="str">
        <f>HYPERLINK("https://ceds.ed.gov/cedselementdetails.aspx?termid=5534")</f>
        <v>https://ceds.ed.gov/cedselementdetails.aspx?termid=5534</v>
      </c>
      <c r="N925" s="3" t="str">
        <f>HYPERLINK("https://ceds.ed.gov/elementComment.aspx?elementName=Migrant Education Program Personnel Indicator &amp;elementID=5534", "Click here to submit comment")</f>
        <v>Click here to submit comment</v>
      </c>
    </row>
    <row r="926" spans="1:14" ht="75">
      <c r="A926" s="3" t="s">
        <v>4117</v>
      </c>
      <c r="B926" s="3" t="s">
        <v>4118</v>
      </c>
      <c r="C926" s="4" t="s">
        <v>6583</v>
      </c>
      <c r="D926" s="3" t="s">
        <v>1479</v>
      </c>
      <c r="E926" s="3" t="s">
        <v>1480</v>
      </c>
      <c r="F926" s="3"/>
      <c r="G926" s="3"/>
      <c r="H926" s="3"/>
      <c r="I926" s="3"/>
      <c r="J926" s="3" t="s">
        <v>4119</v>
      </c>
      <c r="K926" s="3" t="s">
        <v>4120</v>
      </c>
      <c r="L926" s="3" t="s">
        <v>4121</v>
      </c>
      <c r="M926" s="3" t="str">
        <f>HYPERLINK("https://ceds.ed.gov/cedselementdetails.aspx?termid=5430")</f>
        <v>https://ceds.ed.gov/cedselementdetails.aspx?termid=5430</v>
      </c>
      <c r="N926" s="3" t="str">
        <f>HYPERLINK("https://ceds.ed.gov/elementComment.aspx?elementName=Migrant Education Program Project Based &amp;elementID=5430", "Click here to submit comment")</f>
        <v>Click here to submit comment</v>
      </c>
    </row>
    <row r="927" spans="1:14" ht="120">
      <c r="A927" s="3" t="s">
        <v>4122</v>
      </c>
      <c r="B927" s="3" t="s">
        <v>4123</v>
      </c>
      <c r="C927" s="4" t="s">
        <v>6584</v>
      </c>
      <c r="D927" s="3" t="s">
        <v>3399</v>
      </c>
      <c r="E927" s="3" t="s">
        <v>207</v>
      </c>
      <c r="F927" s="3"/>
      <c r="G927" s="3"/>
      <c r="H927" s="3"/>
      <c r="I927" s="3"/>
      <c r="J927" s="3" t="s">
        <v>4124</v>
      </c>
      <c r="K927" s="3" t="s">
        <v>4125</v>
      </c>
      <c r="L927" s="3" t="s">
        <v>4126</v>
      </c>
      <c r="M927" s="3" t="str">
        <f>HYPERLINK("https://ceds.ed.gov/cedselementdetails.aspx?termid=5453")</f>
        <v>https://ceds.ed.gov/cedselementdetails.aspx?termid=5453</v>
      </c>
      <c r="N927" s="3" t="str">
        <f>HYPERLINK("https://ceds.ed.gov/elementComment.aspx?elementName=Migrant Education Program Project Type &amp;elementID=5453", "Click here to submit comment")</f>
        <v>Click here to submit comment</v>
      </c>
    </row>
    <row r="928" spans="1:14" ht="195">
      <c r="A928" s="3" t="s">
        <v>4127</v>
      </c>
      <c r="B928" s="3" t="s">
        <v>4128</v>
      </c>
      <c r="C928" s="4" t="s">
        <v>6585</v>
      </c>
      <c r="D928" s="3" t="s">
        <v>1479</v>
      </c>
      <c r="E928" s="3" t="s">
        <v>218</v>
      </c>
      <c r="F928" s="3"/>
      <c r="G928" s="3"/>
      <c r="H928" s="3"/>
      <c r="I928" s="3"/>
      <c r="J928" s="3" t="s">
        <v>4129</v>
      </c>
      <c r="K928" s="3" t="s">
        <v>4130</v>
      </c>
      <c r="L928" s="3" t="s">
        <v>4131</v>
      </c>
      <c r="M928" s="3" t="str">
        <f>HYPERLINK("https://ceds.ed.gov/cedselementdetails.aspx?termid=5186")</f>
        <v>https://ceds.ed.gov/cedselementdetails.aspx?termid=5186</v>
      </c>
      <c r="N928" s="3" t="str">
        <f>HYPERLINK("https://ceds.ed.gov/elementComment.aspx?elementName=Migrant Education Program Services Type &amp;elementID=5186", "Click here to submit comment")</f>
        <v>Click here to submit comment</v>
      </c>
    </row>
    <row r="929" spans="1:14" ht="75">
      <c r="A929" s="3" t="s">
        <v>4132</v>
      </c>
      <c r="B929" s="3" t="s">
        <v>4133</v>
      </c>
      <c r="C929" s="4" t="s">
        <v>6586</v>
      </c>
      <c r="D929" s="3" t="s">
        <v>3399</v>
      </c>
      <c r="E929" s="3" t="s">
        <v>218</v>
      </c>
      <c r="F929" s="3"/>
      <c r="G929" s="3"/>
      <c r="H929" s="3"/>
      <c r="I929" s="3"/>
      <c r="J929" s="3" t="s">
        <v>4134</v>
      </c>
      <c r="K929" s="3" t="s">
        <v>4135</v>
      </c>
      <c r="L929" s="3" t="s">
        <v>4136</v>
      </c>
      <c r="M929" s="3" t="str">
        <f>HYPERLINK("https://ceds.ed.gov/cedselementdetails.aspx?termid=5187")</f>
        <v>https://ceds.ed.gov/cedselementdetails.aspx?termid=5187</v>
      </c>
      <c r="N929" s="3" t="str">
        <f>HYPERLINK("https://ceds.ed.gov/elementComment.aspx?elementName=Migrant Education Program Session Type &amp;elementID=5187", "Click here to submit comment")</f>
        <v>Click here to submit comment</v>
      </c>
    </row>
    <row r="930" spans="1:14" ht="120">
      <c r="A930" s="3" t="s">
        <v>4137</v>
      </c>
      <c r="B930" s="3" t="s">
        <v>4138</v>
      </c>
      <c r="C930" s="4" t="s">
        <v>6587</v>
      </c>
      <c r="D930" s="3" t="s">
        <v>1723</v>
      </c>
      <c r="E930" s="3" t="s">
        <v>218</v>
      </c>
      <c r="F930" s="3"/>
      <c r="G930" s="3"/>
      <c r="H930" s="3"/>
      <c r="I930" s="3" t="s">
        <v>4139</v>
      </c>
      <c r="J930" s="3" t="s">
        <v>4140</v>
      </c>
      <c r="K930" s="3" t="s">
        <v>4141</v>
      </c>
      <c r="L930" s="3" t="s">
        <v>4142</v>
      </c>
      <c r="M930" s="3" t="str">
        <f>HYPERLINK("https://ceds.ed.gov/cedselementdetails.aspx?termid=5188")</f>
        <v>https://ceds.ed.gov/cedselementdetails.aspx?termid=5188</v>
      </c>
      <c r="N930" s="3" t="str">
        <f>HYPERLINK("https://ceds.ed.gov/elementComment.aspx?elementName=Migrant Education Program Staff Category &amp;elementID=5188", "Click here to submit comment")</f>
        <v>Click here to submit comment</v>
      </c>
    </row>
    <row r="931" spans="1:14" ht="120">
      <c r="A931" s="3" t="s">
        <v>4143</v>
      </c>
      <c r="B931" s="3" t="s">
        <v>4144</v>
      </c>
      <c r="C931" s="3" t="s">
        <v>5963</v>
      </c>
      <c r="D931" s="3" t="s">
        <v>1479</v>
      </c>
      <c r="E931" s="3" t="s">
        <v>218</v>
      </c>
      <c r="F931" s="3"/>
      <c r="G931" s="3"/>
      <c r="H931" s="3"/>
      <c r="I931" s="3"/>
      <c r="J931" s="3" t="s">
        <v>4145</v>
      </c>
      <c r="K931" s="3"/>
      <c r="L931" s="3" t="s">
        <v>4146</v>
      </c>
      <c r="M931" s="3" t="str">
        <f>HYPERLINK("https://ceds.ed.gov/cedselementdetails.aspx?termid=5554")</f>
        <v>https://ceds.ed.gov/cedselementdetails.aspx?termid=5554</v>
      </c>
      <c r="N931" s="3" t="str">
        <f>HYPERLINK("https://ceds.ed.gov/elementComment.aspx?elementName=Migrant Prioritized for Services &amp;elementID=5554", "Click here to submit comment")</f>
        <v>Click here to submit comment</v>
      </c>
    </row>
    <row r="932" spans="1:14" ht="270">
      <c r="A932" s="3" t="s">
        <v>4147</v>
      </c>
      <c r="B932" s="3" t="s">
        <v>4148</v>
      </c>
      <c r="C932" s="3" t="s">
        <v>5963</v>
      </c>
      <c r="D932" s="3" t="s">
        <v>6255</v>
      </c>
      <c r="E932" s="3" t="s">
        <v>6084</v>
      </c>
      <c r="F932" s="3" t="s">
        <v>3</v>
      </c>
      <c r="G932" s="3"/>
      <c r="H932" s="3"/>
      <c r="I932" s="3"/>
      <c r="J932" s="3" t="s">
        <v>4149</v>
      </c>
      <c r="K932" s="3"/>
      <c r="L932" s="3" t="s">
        <v>4150</v>
      </c>
      <c r="M932" s="3" t="str">
        <f>HYPERLINK("https://ceds.ed.gov/cedselementdetails.aspx?termid=5189")</f>
        <v>https://ceds.ed.gov/cedselementdetails.aspx?termid=5189</v>
      </c>
      <c r="N932" s="3" t="str">
        <f>HYPERLINK("https://ceds.ed.gov/elementComment.aspx?elementName=Migrant Status &amp;elementID=5189", "Click here to submit comment")</f>
        <v>Click here to submit comment</v>
      </c>
    </row>
    <row r="933" spans="1:14" ht="195">
      <c r="A933" s="3" t="s">
        <v>4151</v>
      </c>
      <c r="B933" s="3" t="s">
        <v>4152</v>
      </c>
      <c r="C933" s="3" t="s">
        <v>13</v>
      </c>
      <c r="D933" s="3" t="s">
        <v>1479</v>
      </c>
      <c r="E933" s="3" t="s">
        <v>1480</v>
      </c>
      <c r="F933" s="3"/>
      <c r="G933" s="3" t="s">
        <v>73</v>
      </c>
      <c r="H933" s="3"/>
      <c r="I933" s="3"/>
      <c r="J933" s="3" t="s">
        <v>4153</v>
      </c>
      <c r="K933" s="3"/>
      <c r="L933" s="3" t="s">
        <v>4154</v>
      </c>
      <c r="M933" s="3" t="str">
        <f>HYPERLINK("https://ceds.ed.gov/cedselementdetails.aspx?termid=5422")</f>
        <v>https://ceds.ed.gov/cedselementdetails.aspx?termid=5422</v>
      </c>
      <c r="N933" s="3" t="str">
        <f>HYPERLINK("https://ceds.ed.gov/elementComment.aspx?elementName=Migrant Student Qualifying Arrival Date &amp;elementID=5422", "Click here to submit comment")</f>
        <v>Click here to submit comment</v>
      </c>
    </row>
    <row r="934" spans="1:14" ht="210">
      <c r="A934" s="3" t="s">
        <v>4155</v>
      </c>
      <c r="B934" s="3" t="s">
        <v>4156</v>
      </c>
      <c r="C934" s="3" t="s">
        <v>5963</v>
      </c>
      <c r="D934" s="3" t="s">
        <v>2483</v>
      </c>
      <c r="E934" s="3"/>
      <c r="F934" s="3" t="s">
        <v>54</v>
      </c>
      <c r="G934" s="3"/>
      <c r="H934" s="3"/>
      <c r="I934" s="3" t="s">
        <v>4157</v>
      </c>
      <c r="J934" s="3" t="s">
        <v>4158</v>
      </c>
      <c r="K934" s="3"/>
      <c r="L934" s="3" t="s">
        <v>4159</v>
      </c>
      <c r="M934" s="3" t="str">
        <f>HYPERLINK("https://ceds.ed.gov/cedselementdetails.aspx?termid=6381")</f>
        <v>https://ceds.ed.gov/cedselementdetails.aspx?termid=6381</v>
      </c>
      <c r="N934" s="3" t="str">
        <f>HYPERLINK("https://ceds.ed.gov/elementComment.aspx?elementName=Military Enlistment After Exit &amp;elementID=6381", "Click here to submit comment")</f>
        <v>Click here to submit comment</v>
      </c>
    </row>
    <row r="935" spans="1:14" ht="30">
      <c r="A935" s="3" t="s">
        <v>4160</v>
      </c>
      <c r="B935" s="3" t="s">
        <v>4161</v>
      </c>
      <c r="C935" s="3" t="s">
        <v>13</v>
      </c>
      <c r="D935" s="3" t="s">
        <v>2116</v>
      </c>
      <c r="E935" s="3"/>
      <c r="F935" s="3"/>
      <c r="G935" s="3" t="s">
        <v>308</v>
      </c>
      <c r="H935" s="3"/>
      <c r="I935" s="3"/>
      <c r="J935" s="3" t="s">
        <v>4162</v>
      </c>
      <c r="K935" s="3"/>
      <c r="L935" s="3" t="s">
        <v>4163</v>
      </c>
      <c r="M935" s="3" t="str">
        <f>HYPERLINK("https://ceds.ed.gov/cedselementdetails.aspx?termid=5491")</f>
        <v>https://ceds.ed.gov/cedselementdetails.aspx?termid=5491</v>
      </c>
      <c r="N935" s="3" t="str">
        <f>HYPERLINK("https://ceds.ed.gov/elementComment.aspx?elementName=Minutes Per Day &amp;elementID=5491", "Click here to submit comment")</f>
        <v>Click here to submit comment</v>
      </c>
    </row>
    <row r="936" spans="1:14" ht="30">
      <c r="A936" s="3" t="s">
        <v>4164</v>
      </c>
      <c r="B936" s="3" t="s">
        <v>4165</v>
      </c>
      <c r="C936" s="3" t="s">
        <v>13</v>
      </c>
      <c r="D936" s="3" t="s">
        <v>4166</v>
      </c>
      <c r="E936" s="3"/>
      <c r="F936" s="3" t="s">
        <v>54</v>
      </c>
      <c r="G936" s="3" t="s">
        <v>73</v>
      </c>
      <c r="H936" s="3"/>
      <c r="I936" s="3"/>
      <c r="J936" s="3" t="s">
        <v>4167</v>
      </c>
      <c r="K936" s="3"/>
      <c r="L936" s="3" t="s">
        <v>4168</v>
      </c>
      <c r="M936" s="3" t="str">
        <f>HYPERLINK("https://ceds.ed.gov/cedselementdetails.aspx?termid=6298")</f>
        <v>https://ceds.ed.gov/cedselementdetails.aspx?termid=6298</v>
      </c>
      <c r="N936" s="3" t="str">
        <f>HYPERLINK("https://ceds.ed.gov/elementComment.aspx?elementName=Monitoring Visit End Date &amp;elementID=6298", "Click here to submit comment")</f>
        <v>Click here to submit comment</v>
      </c>
    </row>
    <row r="937" spans="1:14" ht="30">
      <c r="A937" s="3" t="s">
        <v>4169</v>
      </c>
      <c r="B937" s="3" t="s">
        <v>4170</v>
      </c>
      <c r="C937" s="3" t="s">
        <v>13</v>
      </c>
      <c r="D937" s="3" t="s">
        <v>4166</v>
      </c>
      <c r="E937" s="3"/>
      <c r="F937" s="3" t="s">
        <v>54</v>
      </c>
      <c r="G937" s="3" t="s">
        <v>73</v>
      </c>
      <c r="H937" s="3"/>
      <c r="I937" s="3"/>
      <c r="J937" s="3" t="s">
        <v>4171</v>
      </c>
      <c r="K937" s="3"/>
      <c r="L937" s="3" t="s">
        <v>4172</v>
      </c>
      <c r="M937" s="3" t="str">
        <f>HYPERLINK("https://ceds.ed.gov/cedselementdetails.aspx?termid=6297")</f>
        <v>https://ceds.ed.gov/cedselementdetails.aspx?termid=6297</v>
      </c>
      <c r="N937" s="3" t="str">
        <f>HYPERLINK("https://ceds.ed.gov/elementComment.aspx?elementName=Monitoring Visit Start Date &amp;elementID=6297", "Click here to submit comment")</f>
        <v>Click here to submit comment</v>
      </c>
    </row>
    <row r="938" spans="1:14" ht="165">
      <c r="A938" s="3" t="s">
        <v>4173</v>
      </c>
      <c r="B938" s="3" t="s">
        <v>4174</v>
      </c>
      <c r="C938" s="4" t="s">
        <v>6506</v>
      </c>
      <c r="D938" s="3" t="s">
        <v>1536</v>
      </c>
      <c r="E938" s="3"/>
      <c r="F938" s="3"/>
      <c r="G938" s="3"/>
      <c r="H938" s="3"/>
      <c r="I938" s="3"/>
      <c r="J938" s="3" t="s">
        <v>4175</v>
      </c>
      <c r="K938" s="3"/>
      <c r="L938" s="3" t="s">
        <v>4176</v>
      </c>
      <c r="M938" s="3" t="str">
        <f>HYPERLINK("https://ceds.ed.gov/cedselementdetails.aspx?termid=6194")</f>
        <v>https://ceds.ed.gov/cedselementdetails.aspx?termid=6194</v>
      </c>
      <c r="N938" s="3" t="str">
        <f>HYPERLINK("https://ceds.ed.gov/elementComment.aspx?elementName=Mother's or Maternal Guardian Education &amp;elementID=6194", "Click here to submit comment")</f>
        <v>Click here to submit comment</v>
      </c>
    </row>
    <row r="939" spans="1:14" ht="45">
      <c r="A939" s="3" t="s">
        <v>4177</v>
      </c>
      <c r="B939" s="3" t="s">
        <v>4178</v>
      </c>
      <c r="C939" s="3" t="s">
        <v>5963</v>
      </c>
      <c r="D939" s="3" t="s">
        <v>1479</v>
      </c>
      <c r="E939" s="3" t="s">
        <v>1480</v>
      </c>
      <c r="F939" s="3"/>
      <c r="G939" s="3"/>
      <c r="H939" s="3"/>
      <c r="I939" s="3"/>
      <c r="J939" s="3" t="s">
        <v>4179</v>
      </c>
      <c r="K939" s="3"/>
      <c r="L939" s="3" t="s">
        <v>4180</v>
      </c>
      <c r="M939" s="3" t="str">
        <f>HYPERLINK("https://ceds.ed.gov/cedselementdetails.aspx?termid=5421")</f>
        <v>https://ceds.ed.gov/cedselementdetails.aspx?termid=5421</v>
      </c>
      <c r="N939" s="3" t="str">
        <f>HYPERLINK("https://ceds.ed.gov/elementComment.aspx?elementName=Multiple Birth Indicator &amp;elementID=5421", "Click here to submit comment")</f>
        <v>Click here to submit comment</v>
      </c>
    </row>
    <row r="940" spans="1:14" ht="105">
      <c r="A940" s="3" t="s">
        <v>4181</v>
      </c>
      <c r="B940" s="3" t="s">
        <v>4182</v>
      </c>
      <c r="C940" s="4" t="s">
        <v>6588</v>
      </c>
      <c r="D940" s="3" t="s">
        <v>6019</v>
      </c>
      <c r="E940" s="3"/>
      <c r="F940" s="3"/>
      <c r="G940" s="3"/>
      <c r="H940" s="3"/>
      <c r="I940" s="3"/>
      <c r="J940" s="3" t="s">
        <v>4183</v>
      </c>
      <c r="K940" s="3"/>
      <c r="L940" s="3" t="s">
        <v>4184</v>
      </c>
      <c r="M940" s="3" t="str">
        <f>HYPERLINK("https://ceds.ed.gov/cedselementdetails.aspx?termid=6166")</f>
        <v>https://ceds.ed.gov/cedselementdetails.aspx?termid=6166</v>
      </c>
      <c r="N940" s="3" t="str">
        <f>HYPERLINK("https://ceds.ed.gov/elementComment.aspx?elementName=NAEP Aspects of Reading &amp;elementID=6166", "Click here to submit comment")</f>
        <v>Click here to submit comment</v>
      </c>
    </row>
    <row r="941" spans="1:14" ht="75">
      <c r="A941" s="3" t="s">
        <v>4185</v>
      </c>
      <c r="B941" s="3" t="s">
        <v>4186</v>
      </c>
      <c r="C941" s="4" t="s">
        <v>6589</v>
      </c>
      <c r="D941" s="3" t="s">
        <v>6019</v>
      </c>
      <c r="E941" s="3"/>
      <c r="F941" s="3"/>
      <c r="G941" s="3"/>
      <c r="H941" s="3"/>
      <c r="I941" s="3"/>
      <c r="J941" s="3" t="s">
        <v>4187</v>
      </c>
      <c r="K941" s="3"/>
      <c r="L941" s="3" t="s">
        <v>4188</v>
      </c>
      <c r="M941" s="3" t="str">
        <f>HYPERLINK("https://ceds.ed.gov/cedselementdetails.aspx?termid=6072")</f>
        <v>https://ceds.ed.gov/cedselementdetails.aspx?termid=6072</v>
      </c>
      <c r="N941" s="3" t="str">
        <f>HYPERLINK("https://ceds.ed.gov/elementComment.aspx?elementName=NAEP Mathematical Complexity Level &amp;elementID=6072", "Click here to submit comment")</f>
        <v>Click here to submit comment</v>
      </c>
    </row>
    <row r="942" spans="1:14" ht="225">
      <c r="A942" s="3" t="s">
        <v>4189</v>
      </c>
      <c r="B942" s="3" t="s">
        <v>4190</v>
      </c>
      <c r="C942" s="3" t="s">
        <v>13</v>
      </c>
      <c r="D942" s="3" t="s">
        <v>6256</v>
      </c>
      <c r="E942" s="3" t="s">
        <v>6257</v>
      </c>
      <c r="F942" s="3"/>
      <c r="G942" s="3" t="s">
        <v>106</v>
      </c>
      <c r="H942" s="3"/>
      <c r="I942" s="3"/>
      <c r="J942" s="3" t="s">
        <v>4191</v>
      </c>
      <c r="K942" s="3"/>
      <c r="L942" s="3" t="s">
        <v>4192</v>
      </c>
      <c r="M942" s="3" t="str">
        <f>HYPERLINK("https://ceds.ed.gov/cedselementdetails.aspx?termid=5191")</f>
        <v>https://ceds.ed.gov/cedselementdetails.aspx?termid=5191</v>
      </c>
      <c r="N942" s="3" t="str">
        <f>HYPERLINK("https://ceds.ed.gov/elementComment.aspx?elementName=Name of Institution &amp;elementID=5191", "Click here to submit comment")</f>
        <v>Click here to submit comment</v>
      </c>
    </row>
    <row r="943" spans="1:14" ht="30">
      <c r="A943" s="3" t="s">
        <v>4193</v>
      </c>
      <c r="B943" s="3" t="s">
        <v>4194</v>
      </c>
      <c r="C943" s="3" t="s">
        <v>13</v>
      </c>
      <c r="D943" s="3" t="s">
        <v>1629</v>
      </c>
      <c r="E943" s="3" t="s">
        <v>202</v>
      </c>
      <c r="F943" s="3"/>
      <c r="G943" s="3" t="s">
        <v>106</v>
      </c>
      <c r="H943" s="3"/>
      <c r="I943" s="3"/>
      <c r="J943" s="3" t="s">
        <v>4195</v>
      </c>
      <c r="K943" s="3"/>
      <c r="L943" s="3" t="s">
        <v>4196</v>
      </c>
      <c r="M943" s="3" t="str">
        <f>HYPERLINK("https://ceds.ed.gov/cedselementdetails.aspx?termid=6064")</f>
        <v>https://ceds.ed.gov/cedselementdetails.aspx?termid=6064</v>
      </c>
      <c r="N943" s="3" t="str">
        <f>HYPERLINK("https://ceds.ed.gov/elementComment.aspx?elementName=Name of Professional Credential or License &amp;elementID=6064", "Click here to submit comment")</f>
        <v>Click here to submit comment</v>
      </c>
    </row>
    <row r="944" spans="1:14" ht="45">
      <c r="A944" s="3" t="s">
        <v>4197</v>
      </c>
      <c r="B944" s="3" t="s">
        <v>4198</v>
      </c>
      <c r="C944" s="3" t="s">
        <v>5963</v>
      </c>
      <c r="D944" s="3" t="s">
        <v>6081</v>
      </c>
      <c r="E944" s="3"/>
      <c r="F944" s="3" t="s">
        <v>54</v>
      </c>
      <c r="G944" s="3"/>
      <c r="H944" s="3"/>
      <c r="I944" s="3"/>
      <c r="J944" s="3" t="s">
        <v>4199</v>
      </c>
      <c r="K944" s="3" t="s">
        <v>4200</v>
      </c>
      <c r="L944" s="3" t="s">
        <v>4201</v>
      </c>
      <c r="M944" s="3" t="str">
        <f>HYPERLINK("https://ceds.ed.gov/cedselementdetails.aspx?termid=6382")</f>
        <v>https://ceds.ed.gov/cedselementdetails.aspx?termid=6382</v>
      </c>
      <c r="N944" s="3" t="str">
        <f>HYPERLINK("https://ceds.ed.gov/elementComment.aspx?elementName=National Collegiate Athletic Association Eligibility &amp;elementID=6382", "Click here to submit comment")</f>
        <v>Click here to submit comment</v>
      </c>
    </row>
    <row r="945" spans="1:14" ht="315">
      <c r="A945" s="3" t="s">
        <v>4202</v>
      </c>
      <c r="B945" s="3" t="s">
        <v>4203</v>
      </c>
      <c r="C945" s="4" t="s">
        <v>6373</v>
      </c>
      <c r="D945" s="3" t="s">
        <v>5985</v>
      </c>
      <c r="E945" s="3" t="s">
        <v>5986</v>
      </c>
      <c r="F945" s="3"/>
      <c r="G945" s="3"/>
      <c r="H945" s="3"/>
      <c r="I945" s="3" t="s">
        <v>353</v>
      </c>
      <c r="J945" s="3" t="s">
        <v>4204</v>
      </c>
      <c r="K945" s="3"/>
      <c r="L945" s="3" t="s">
        <v>4205</v>
      </c>
      <c r="M945" s="3" t="str">
        <f>HYPERLINK("https://ceds.ed.gov/cedselementdetails.aspx?termid=5658")</f>
        <v>https://ceds.ed.gov/cedselementdetails.aspx?termid=5658</v>
      </c>
      <c r="N945" s="3" t="str">
        <f>HYPERLINK("https://ceds.ed.gov/elementComment.aspx?elementName=Native Hawaiian or Other Pacific Islander &amp;elementID=5658", "Click here to submit comment")</f>
        <v>Click here to submit comment</v>
      </c>
    </row>
    <row r="946" spans="1:14" ht="45">
      <c r="A946" s="3" t="s">
        <v>4206</v>
      </c>
      <c r="B946" s="3" t="s">
        <v>4207</v>
      </c>
      <c r="C946" s="3" t="s">
        <v>4208</v>
      </c>
      <c r="D946" s="3" t="s">
        <v>1831</v>
      </c>
      <c r="E946" s="3"/>
      <c r="F946" s="3" t="s">
        <v>54</v>
      </c>
      <c r="G946" s="3"/>
      <c r="H946" s="3"/>
      <c r="I946" s="3"/>
      <c r="J946" s="3" t="s">
        <v>4209</v>
      </c>
      <c r="K946" s="3"/>
      <c r="L946" s="3" t="s">
        <v>4210</v>
      </c>
      <c r="M946" s="3" t="str">
        <f>HYPERLINK("https://ceds.ed.gov/cedselementdetails.aspx?termid=6383")</f>
        <v>https://ceds.ed.gov/cedselementdetails.aspx?termid=6383</v>
      </c>
      <c r="N946" s="3" t="str">
        <f>HYPERLINK("https://ceds.ed.gov/elementComment.aspx?elementName=NCES College Course Map Code &amp;elementID=6383", "Click here to submit comment")</f>
        <v>Click here to submit comment</v>
      </c>
    </row>
    <row r="947" spans="1:14" ht="180">
      <c r="A947" s="3" t="s">
        <v>4211</v>
      </c>
      <c r="B947" s="3" t="s">
        <v>4212</v>
      </c>
      <c r="C947" s="3" t="s">
        <v>5963</v>
      </c>
      <c r="D947" s="3" t="s">
        <v>4213</v>
      </c>
      <c r="E947" s="3" t="s">
        <v>218</v>
      </c>
      <c r="F947" s="3"/>
      <c r="G947" s="3"/>
      <c r="H947" s="3"/>
      <c r="I947" s="3" t="s">
        <v>4214</v>
      </c>
      <c r="J947" s="3" t="s">
        <v>4215</v>
      </c>
      <c r="K947" s="3"/>
      <c r="L947" s="3" t="s">
        <v>4216</v>
      </c>
      <c r="M947" s="3" t="str">
        <f>HYPERLINK("https://ceds.ed.gov/cedselementdetails.aspx?termid=5636")</f>
        <v>https://ceds.ed.gov/cedselementdetails.aspx?termid=5636</v>
      </c>
      <c r="N947" s="3" t="str">
        <f>HYPERLINK("https://ceds.ed.gov/elementComment.aspx?elementName=Neglected or Delinquent Academic Achievement Indicator &amp;elementID=5636", "Click here to submit comment")</f>
        <v>Click here to submit comment</v>
      </c>
    </row>
    <row r="948" spans="1:14" ht="180">
      <c r="A948" s="3" t="s">
        <v>4217</v>
      </c>
      <c r="B948" s="3" t="s">
        <v>4218</v>
      </c>
      <c r="C948" s="3" t="s">
        <v>5963</v>
      </c>
      <c r="D948" s="3" t="s">
        <v>4213</v>
      </c>
      <c r="E948" s="3" t="s">
        <v>218</v>
      </c>
      <c r="F948" s="3"/>
      <c r="G948" s="3"/>
      <c r="H948" s="3"/>
      <c r="I948" s="3" t="s">
        <v>4214</v>
      </c>
      <c r="J948" s="3" t="s">
        <v>4219</v>
      </c>
      <c r="K948" s="3"/>
      <c r="L948" s="3" t="s">
        <v>4220</v>
      </c>
      <c r="M948" s="3" t="str">
        <f>HYPERLINK("https://ceds.ed.gov/cedselementdetails.aspx?termid=5638")</f>
        <v>https://ceds.ed.gov/cedselementdetails.aspx?termid=5638</v>
      </c>
      <c r="N948" s="3" t="str">
        <f>HYPERLINK("https://ceds.ed.gov/elementComment.aspx?elementName=Neglected or Delinquent Academic Outcome Indicator &amp;elementID=5638", "Click here to submit comment")</f>
        <v>Click here to submit comment</v>
      </c>
    </row>
    <row r="949" spans="1:14" ht="45">
      <c r="A949" s="3" t="s">
        <v>4221</v>
      </c>
      <c r="B949" s="3" t="s">
        <v>4222</v>
      </c>
      <c r="C949" s="3" t="s">
        <v>5963</v>
      </c>
      <c r="D949" s="3" t="s">
        <v>4213</v>
      </c>
      <c r="E949" s="3" t="s">
        <v>207</v>
      </c>
      <c r="F949" s="3"/>
      <c r="G949" s="3"/>
      <c r="H949" s="3"/>
      <c r="I949" s="3"/>
      <c r="J949" s="3" t="s">
        <v>4223</v>
      </c>
      <c r="K949" s="3"/>
      <c r="L949" s="3" t="s">
        <v>4224</v>
      </c>
      <c r="M949" s="3" t="str">
        <f>HYPERLINK("https://ceds.ed.gov/cedselementdetails.aspx?termid=5475")</f>
        <v>https://ceds.ed.gov/cedselementdetails.aspx?termid=5475</v>
      </c>
      <c r="N949" s="3" t="str">
        <f>HYPERLINK("https://ceds.ed.gov/elementComment.aspx?elementName=Neglected or Delinquent Obtained Employment &amp;elementID=5475", "Click here to submit comment")</f>
        <v>Click here to submit comment</v>
      </c>
    </row>
    <row r="950" spans="1:14" ht="150">
      <c r="A950" s="3" t="s">
        <v>4225</v>
      </c>
      <c r="B950" s="3" t="s">
        <v>4226</v>
      </c>
      <c r="C950" s="4" t="s">
        <v>6590</v>
      </c>
      <c r="D950" s="3" t="s">
        <v>4213</v>
      </c>
      <c r="E950" s="3" t="s">
        <v>218</v>
      </c>
      <c r="F950" s="3"/>
      <c r="G950" s="3"/>
      <c r="H950" s="3"/>
      <c r="I950" s="3"/>
      <c r="J950" s="3" t="s">
        <v>4227</v>
      </c>
      <c r="K950" s="3"/>
      <c r="L950" s="3" t="s">
        <v>4228</v>
      </c>
      <c r="M950" s="3" t="str">
        <f>HYPERLINK("https://ceds.ed.gov/cedselementdetails.aspx?termid=5194")</f>
        <v>https://ceds.ed.gov/cedselementdetails.aspx?termid=5194</v>
      </c>
      <c r="N950" s="3" t="str">
        <f>HYPERLINK("https://ceds.ed.gov/elementComment.aspx?elementName=Neglected or Delinquent Program Type &amp;elementID=5194", "Click here to submit comment")</f>
        <v>Click here to submit comment</v>
      </c>
    </row>
    <row r="951" spans="1:14" ht="105">
      <c r="A951" s="3" t="s">
        <v>4229</v>
      </c>
      <c r="B951" s="3" t="s">
        <v>4230</v>
      </c>
      <c r="C951" s="3" t="s">
        <v>6180</v>
      </c>
      <c r="D951" s="3" t="s">
        <v>4213</v>
      </c>
      <c r="E951" s="3" t="s">
        <v>6084</v>
      </c>
      <c r="F951" s="3"/>
      <c r="G951" s="3"/>
      <c r="H951" s="3"/>
      <c r="I951" s="3"/>
      <c r="J951" s="3" t="s">
        <v>4231</v>
      </c>
      <c r="K951" s="3"/>
      <c r="L951" s="3" t="s">
        <v>4232</v>
      </c>
      <c r="M951" s="3" t="str">
        <f>HYPERLINK("https://ceds.ed.gov/cedselementdetails.aspx?termid=5193")</f>
        <v>https://ceds.ed.gov/cedselementdetails.aspx?termid=5193</v>
      </c>
      <c r="N951" s="3" t="str">
        <f>HYPERLINK("https://ceds.ed.gov/elementComment.aspx?elementName=Neglected or Delinquent Status &amp;elementID=5193", "Click here to submit comment")</f>
        <v>Click here to submit comment</v>
      </c>
    </row>
    <row r="952" spans="1:14" ht="165">
      <c r="A952" s="3" t="s">
        <v>4233</v>
      </c>
      <c r="B952" s="3" t="s">
        <v>4234</v>
      </c>
      <c r="C952" s="4" t="s">
        <v>6591</v>
      </c>
      <c r="D952" s="3" t="s">
        <v>30</v>
      </c>
      <c r="E952" s="3"/>
      <c r="F952" s="3"/>
      <c r="G952" s="3"/>
      <c r="H952" s="3"/>
      <c r="I952" s="3"/>
      <c r="J952" s="3" t="s">
        <v>4235</v>
      </c>
      <c r="K952" s="3"/>
      <c r="L952" s="3" t="s">
        <v>4236</v>
      </c>
      <c r="M952" s="3" t="str">
        <f>HYPERLINK("https://ceds.ed.gov/cedselementdetails.aspx?termid=5522")</f>
        <v>https://ceds.ed.gov/cedselementdetails.aspx?termid=5522</v>
      </c>
      <c r="N952" s="3" t="str">
        <f>HYPERLINK("https://ceds.ed.gov/elementComment.aspx?elementName=Nonpromotion Reason &amp;elementID=5522", "Click here to submit comment")</f>
        <v>Click here to submit comment</v>
      </c>
    </row>
    <row r="953" spans="1:14" ht="210">
      <c r="A953" s="3" t="s">
        <v>4237</v>
      </c>
      <c r="B953" s="3" t="s">
        <v>4238</v>
      </c>
      <c r="C953" s="3" t="s">
        <v>13</v>
      </c>
      <c r="D953" s="3" t="s">
        <v>1708</v>
      </c>
      <c r="E953" s="3" t="s">
        <v>5976</v>
      </c>
      <c r="F953" s="3"/>
      <c r="G953" s="3" t="s">
        <v>106</v>
      </c>
      <c r="H953" s="3"/>
      <c r="I953" s="3"/>
      <c r="J953" s="3" t="s">
        <v>4239</v>
      </c>
      <c r="K953" s="3"/>
      <c r="L953" s="3" t="s">
        <v>4240</v>
      </c>
      <c r="M953" s="3" t="str">
        <f>HYPERLINK("https://ceds.ed.gov/cedselementdetails.aspx?termid=5197")</f>
        <v>https://ceds.ed.gov/cedselementdetails.aspx?termid=5197</v>
      </c>
      <c r="N953" s="3" t="str">
        <f>HYPERLINK("https://ceds.ed.gov/elementComment.aspx?elementName=Normal Length of Time for Completion &amp;elementID=5197", "Click here to submit comment")</f>
        <v>Click here to submit comment</v>
      </c>
    </row>
    <row r="954" spans="1:14" ht="90">
      <c r="A954" s="3" t="s">
        <v>4241</v>
      </c>
      <c r="B954" s="3" t="s">
        <v>4242</v>
      </c>
      <c r="C954" s="3" t="s">
        <v>6258</v>
      </c>
      <c r="D954" s="3" t="s">
        <v>1708</v>
      </c>
      <c r="E954" s="3" t="s">
        <v>5976</v>
      </c>
      <c r="F954" s="3"/>
      <c r="G954" s="3"/>
      <c r="H954" s="3"/>
      <c r="I954" s="3"/>
      <c r="J954" s="3" t="s">
        <v>4243</v>
      </c>
      <c r="K954" s="3"/>
      <c r="L954" s="3" t="s">
        <v>4244</v>
      </c>
      <c r="M954" s="3" t="str">
        <f>HYPERLINK("https://ceds.ed.gov/cedselementdetails.aspx?termid=5198")</f>
        <v>https://ceds.ed.gov/cedselementdetails.aspx?termid=5198</v>
      </c>
      <c r="N954" s="3" t="str">
        <f>HYPERLINK("https://ceds.ed.gov/elementComment.aspx?elementName=Normal Length of Time for Completion Units &amp;elementID=5198", "Click here to submit comment")</f>
        <v>Click here to submit comment</v>
      </c>
    </row>
    <row r="955" spans="1:14" ht="45">
      <c r="A955" s="3" t="s">
        <v>4245</v>
      </c>
      <c r="B955" s="3" t="s">
        <v>4246</v>
      </c>
      <c r="C955" s="3" t="s">
        <v>13</v>
      </c>
      <c r="D955" s="3" t="s">
        <v>388</v>
      </c>
      <c r="E955" s="3" t="s">
        <v>202</v>
      </c>
      <c r="F955" s="3"/>
      <c r="G955" s="3" t="s">
        <v>389</v>
      </c>
      <c r="H955" s="3"/>
      <c r="I955" s="3"/>
      <c r="J955" s="3" t="s">
        <v>4247</v>
      </c>
      <c r="K955" s="3"/>
      <c r="L955" s="3" t="s">
        <v>4248</v>
      </c>
      <c r="M955" s="3" t="str">
        <f>HYPERLINK("https://ceds.ed.gov/cedselementdetails.aspx?termid=5816")</f>
        <v>https://ceds.ed.gov/cedselementdetails.aspx?termid=5816</v>
      </c>
      <c r="N955" s="3" t="str">
        <f>HYPERLINK("https://ceds.ed.gov/elementComment.aspx?elementName=Number of Business-related Postsecondary Credit Hours &amp;elementID=5816", "Click here to submit comment")</f>
        <v>Click here to submit comment</v>
      </c>
    </row>
    <row r="956" spans="1:14" ht="45">
      <c r="A956" s="3" t="s">
        <v>4249</v>
      </c>
      <c r="B956" s="3" t="s">
        <v>4250</v>
      </c>
      <c r="C956" s="3" t="s">
        <v>13</v>
      </c>
      <c r="D956" s="3" t="s">
        <v>2439</v>
      </c>
      <c r="E956" s="3" t="s">
        <v>65</v>
      </c>
      <c r="F956" s="3"/>
      <c r="G956" s="3" t="s">
        <v>308</v>
      </c>
      <c r="H956" s="3"/>
      <c r="I956" s="3"/>
      <c r="J956" s="3" t="s">
        <v>4251</v>
      </c>
      <c r="K956" s="3"/>
      <c r="L956" s="3" t="s">
        <v>4252</v>
      </c>
      <c r="M956" s="3" t="str">
        <f>HYPERLINK("https://ceds.ed.gov/cedselementdetails.aspx?termid=5844")</f>
        <v>https://ceds.ed.gov/cedselementdetails.aspx?termid=5844</v>
      </c>
      <c r="N956" s="3" t="str">
        <f>HYPERLINK("https://ceds.ed.gov/elementComment.aspx?elementName=Number of Classrooms &amp;elementID=5844", "Click here to submit comment")</f>
        <v>Click here to submit comment</v>
      </c>
    </row>
    <row r="957" spans="1:14" ht="90">
      <c r="A957" s="3" t="s">
        <v>4253</v>
      </c>
      <c r="B957" s="3" t="s">
        <v>4254</v>
      </c>
      <c r="C957" s="3" t="s">
        <v>13</v>
      </c>
      <c r="D957" s="3" t="s">
        <v>6183</v>
      </c>
      <c r="E957" s="3" t="s">
        <v>5968</v>
      </c>
      <c r="F957" s="3"/>
      <c r="G957" s="3" t="s">
        <v>1461</v>
      </c>
      <c r="H957" s="3"/>
      <c r="I957" s="3"/>
      <c r="J957" s="3" t="s">
        <v>4255</v>
      </c>
      <c r="K957" s="3"/>
      <c r="L957" s="3" t="s">
        <v>4256</v>
      </c>
      <c r="M957" s="3" t="str">
        <f>HYPERLINK("https://ceds.ed.gov/cedselementdetails.aspx?termid=5199")</f>
        <v>https://ceds.ed.gov/cedselementdetails.aspx?termid=5199</v>
      </c>
      <c r="N957" s="3" t="str">
        <f>HYPERLINK("https://ceds.ed.gov/elementComment.aspx?elementName=Number of Credits Attempted &amp;elementID=5199", "Click here to submit comment")</f>
        <v>Click here to submit comment</v>
      </c>
    </row>
    <row r="958" spans="1:14" ht="135">
      <c r="A958" s="3" t="s">
        <v>4257</v>
      </c>
      <c r="B958" s="3" t="s">
        <v>4258</v>
      </c>
      <c r="C958" s="3" t="s">
        <v>13</v>
      </c>
      <c r="D958" s="3" t="s">
        <v>6259</v>
      </c>
      <c r="E958" s="3" t="s">
        <v>6252</v>
      </c>
      <c r="F958" s="3" t="s">
        <v>66</v>
      </c>
      <c r="G958" s="3" t="s">
        <v>1461</v>
      </c>
      <c r="H958" s="3" t="s">
        <v>1820</v>
      </c>
      <c r="I958" s="3"/>
      <c r="J958" s="3" t="s">
        <v>4259</v>
      </c>
      <c r="K958" s="3"/>
      <c r="L958" s="3" t="s">
        <v>4260</v>
      </c>
      <c r="M958" s="3" t="str">
        <f>HYPERLINK("https://ceds.ed.gov/cedselementdetails.aspx?termid=5200")</f>
        <v>https://ceds.ed.gov/cedselementdetails.aspx?termid=5200</v>
      </c>
      <c r="N958" s="3" t="str">
        <f>HYPERLINK("https://ceds.ed.gov/elementComment.aspx?elementName=Number of Credits Earned &amp;elementID=5200", "Click here to submit comment")</f>
        <v>Click here to submit comment</v>
      </c>
    </row>
    <row r="959" spans="1:14" ht="120">
      <c r="A959" s="3" t="s">
        <v>4261</v>
      </c>
      <c r="B959" s="3" t="s">
        <v>4262</v>
      </c>
      <c r="C959" s="3" t="s">
        <v>13</v>
      </c>
      <c r="D959" s="3" t="s">
        <v>6260</v>
      </c>
      <c r="E959" s="3" t="s">
        <v>6261</v>
      </c>
      <c r="F959" s="3"/>
      <c r="G959" s="3" t="s">
        <v>1461</v>
      </c>
      <c r="H959" s="3"/>
      <c r="I959" s="3"/>
      <c r="J959" s="3" t="s">
        <v>4263</v>
      </c>
      <c r="K959" s="3"/>
      <c r="L959" s="3" t="s">
        <v>4264</v>
      </c>
      <c r="M959" s="3" t="str">
        <f>HYPERLINK("https://ceds.ed.gov/cedselementdetails.aspx?termid=5201")</f>
        <v>https://ceds.ed.gov/cedselementdetails.aspx?termid=5201</v>
      </c>
      <c r="N959" s="3" t="str">
        <f>HYPERLINK("https://ceds.ed.gov/elementComment.aspx?elementName=Number of Days Absent &amp;elementID=5201", "Click here to submit comment")</f>
        <v>Click here to submit comment</v>
      </c>
    </row>
    <row r="960" spans="1:14" ht="90">
      <c r="A960" s="3" t="s">
        <v>4265</v>
      </c>
      <c r="B960" s="3" t="s">
        <v>4266</v>
      </c>
      <c r="C960" s="3" t="s">
        <v>13</v>
      </c>
      <c r="D960" s="3" t="s">
        <v>2103</v>
      </c>
      <c r="E960" s="3" t="s">
        <v>207</v>
      </c>
      <c r="F960" s="3"/>
      <c r="G960" s="3" t="s">
        <v>1461</v>
      </c>
      <c r="H960" s="3"/>
      <c r="I960" s="3"/>
      <c r="J960" s="3" t="s">
        <v>4267</v>
      </c>
      <c r="K960" s="3"/>
      <c r="L960" s="3" t="s">
        <v>4268</v>
      </c>
      <c r="M960" s="3" t="str">
        <f>HYPERLINK("https://ceds.ed.gov/cedselementdetails.aspx?termid=5447")</f>
        <v>https://ceds.ed.gov/cedselementdetails.aspx?termid=5447</v>
      </c>
      <c r="N960" s="3" t="str">
        <f>HYPERLINK("https://ceds.ed.gov/elementComment.aspx?elementName=Number of Days for Title III Subgrants &amp;elementID=5447", "Click here to submit comment")</f>
        <v>Click here to submit comment</v>
      </c>
    </row>
    <row r="961" spans="1:14" ht="255">
      <c r="A961" s="3" t="s">
        <v>4269</v>
      </c>
      <c r="B961" s="3" t="s">
        <v>4270</v>
      </c>
      <c r="C961" s="3" t="s">
        <v>13</v>
      </c>
      <c r="D961" s="3" t="s">
        <v>6262</v>
      </c>
      <c r="E961" s="3" t="s">
        <v>6263</v>
      </c>
      <c r="F961" s="3"/>
      <c r="G961" s="3" t="s">
        <v>1461</v>
      </c>
      <c r="H961" s="3"/>
      <c r="I961" s="3" t="s">
        <v>4271</v>
      </c>
      <c r="J961" s="3" t="s">
        <v>4272</v>
      </c>
      <c r="K961" s="3"/>
      <c r="L961" s="3" t="s">
        <v>4273</v>
      </c>
      <c r="M961" s="3" t="str">
        <f>HYPERLINK("https://ceds.ed.gov/cedselementdetails.aspx?termid=5202")</f>
        <v>https://ceds.ed.gov/cedselementdetails.aspx?termid=5202</v>
      </c>
      <c r="N961" s="3" t="str">
        <f>HYPERLINK("https://ceds.ed.gov/elementComment.aspx?elementName=Number of Days in Attendance &amp;elementID=5202", "Click here to submit comment")</f>
        <v>Click here to submit comment</v>
      </c>
    </row>
    <row r="962" spans="1:14" ht="60">
      <c r="A962" s="3" t="s">
        <v>4274</v>
      </c>
      <c r="B962" s="3" t="s">
        <v>4275</v>
      </c>
      <c r="C962" s="3" t="s">
        <v>13</v>
      </c>
      <c r="D962" s="3" t="s">
        <v>1536</v>
      </c>
      <c r="E962" s="3"/>
      <c r="F962" s="3" t="s">
        <v>54</v>
      </c>
      <c r="G962" s="3" t="s">
        <v>575</v>
      </c>
      <c r="H962" s="3"/>
      <c r="I962" s="3"/>
      <c r="J962" s="3" t="s">
        <v>4276</v>
      </c>
      <c r="K962" s="3"/>
      <c r="L962" s="3" t="s">
        <v>4277</v>
      </c>
      <c r="M962" s="3" t="str">
        <f>HYPERLINK("https://ceds.ed.gov/cedselementdetails.aspx?termid=6384")</f>
        <v>https://ceds.ed.gov/cedselementdetails.aspx?termid=6384</v>
      </c>
      <c r="N962" s="3" t="str">
        <f>HYPERLINK("https://ceds.ed.gov/elementComment.aspx?elementName=Number of Dependents &amp;elementID=6384", "Click here to submit comment")</f>
        <v>Click here to submit comment</v>
      </c>
    </row>
    <row r="963" spans="1:14" ht="45">
      <c r="A963" s="3" t="s">
        <v>4278</v>
      </c>
      <c r="B963" s="3" t="s">
        <v>4279</v>
      </c>
      <c r="C963" s="3" t="s">
        <v>13</v>
      </c>
      <c r="D963" s="3" t="s">
        <v>1774</v>
      </c>
      <c r="E963" s="3" t="s">
        <v>65</v>
      </c>
      <c r="F963" s="3"/>
      <c r="G963" s="3" t="s">
        <v>308</v>
      </c>
      <c r="H963" s="3"/>
      <c r="I963" s="3"/>
      <c r="J963" s="3" t="s">
        <v>4280</v>
      </c>
      <c r="K963" s="3"/>
      <c r="L963" s="3" t="s">
        <v>4281</v>
      </c>
      <c r="M963" s="3" t="str">
        <f>HYPERLINK("https://ceds.ed.gov/cedselementdetails.aspx?termid=5835")</f>
        <v>https://ceds.ed.gov/cedselementdetails.aspx?termid=5835</v>
      </c>
      <c r="N963" s="3" t="str">
        <f>HYPERLINK("https://ceds.ed.gov/elementComment.aspx?elementName=Number of Early Learning Fatalities &amp;elementID=5835", "Click here to submit comment")</f>
        <v>Click here to submit comment</v>
      </c>
    </row>
    <row r="964" spans="1:14" ht="45">
      <c r="A964" s="3" t="s">
        <v>4282</v>
      </c>
      <c r="B964" s="3" t="s">
        <v>4283</v>
      </c>
      <c r="C964" s="3" t="s">
        <v>13</v>
      </c>
      <c r="D964" s="3" t="s">
        <v>1774</v>
      </c>
      <c r="E964" s="3" t="s">
        <v>65</v>
      </c>
      <c r="F964" s="3"/>
      <c r="G964" s="3" t="s">
        <v>308</v>
      </c>
      <c r="H964" s="3"/>
      <c r="I964" s="3"/>
      <c r="J964" s="3" t="s">
        <v>4284</v>
      </c>
      <c r="K964" s="3"/>
      <c r="L964" s="3" t="s">
        <v>4285</v>
      </c>
      <c r="M964" s="3" t="str">
        <f>HYPERLINK("https://ceds.ed.gov/cedselementdetails.aspx?termid=5836")</f>
        <v>https://ceds.ed.gov/cedselementdetails.aspx?termid=5836</v>
      </c>
      <c r="N964" s="3" t="str">
        <f>HYPERLINK("https://ceds.ed.gov/elementComment.aspx?elementName=Number of Early Learning Injuries &amp;elementID=5836", "Click here to submit comment")</f>
        <v>Click here to submit comment</v>
      </c>
    </row>
    <row r="965" spans="1:14" ht="30">
      <c r="A965" s="3" t="s">
        <v>4286</v>
      </c>
      <c r="B965" s="3" t="s">
        <v>4287</v>
      </c>
      <c r="C965" s="3" t="s">
        <v>13</v>
      </c>
      <c r="D965" s="3" t="s">
        <v>4166</v>
      </c>
      <c r="E965" s="3" t="s">
        <v>65</v>
      </c>
      <c r="F965" s="3"/>
      <c r="G965" s="3" t="s">
        <v>308</v>
      </c>
      <c r="H965" s="3"/>
      <c r="I965" s="3"/>
      <c r="J965" s="3" t="s">
        <v>4288</v>
      </c>
      <c r="K965" s="3"/>
      <c r="L965" s="3" t="s">
        <v>4289</v>
      </c>
      <c r="M965" s="3" t="str">
        <f>HYPERLINK("https://ceds.ed.gov/cedselementdetails.aspx?termid=5839")</f>
        <v>https://ceds.ed.gov/cedselementdetails.aspx?termid=5839</v>
      </c>
      <c r="N965" s="3" t="str">
        <f>HYPERLINK("https://ceds.ed.gov/elementComment.aspx?elementName=Number of Early Learning Program Monitoring Visits &amp;elementID=5839", "Click here to submit comment")</f>
        <v>Click here to submit comment</v>
      </c>
    </row>
    <row r="966" spans="1:14" ht="30">
      <c r="A966" s="3" t="s">
        <v>4290</v>
      </c>
      <c r="B966" s="3" t="s">
        <v>4291</v>
      </c>
      <c r="C966" s="3" t="s">
        <v>13</v>
      </c>
      <c r="D966" s="3" t="s">
        <v>3399</v>
      </c>
      <c r="E966" s="3" t="s">
        <v>207</v>
      </c>
      <c r="F966" s="3"/>
      <c r="G966" s="3" t="s">
        <v>308</v>
      </c>
      <c r="H966" s="3"/>
      <c r="I966" s="3"/>
      <c r="J966" s="3" t="s">
        <v>4292</v>
      </c>
      <c r="K966" s="3"/>
      <c r="L966" s="3" t="s">
        <v>4293</v>
      </c>
      <c r="M966" s="3" t="str">
        <f>HYPERLINK("https://ceds.ed.gov/cedselementdetails.aspx?termid=5460")</f>
        <v>https://ceds.ed.gov/cedselementdetails.aspx?termid=5460</v>
      </c>
      <c r="N966" s="3" t="str">
        <f>HYPERLINK("https://ceds.ed.gov/elementComment.aspx?elementName=Number of Immigrant Program Subgrants &amp;elementID=5460", "Click here to submit comment")</f>
        <v>Click here to submit comment</v>
      </c>
    </row>
    <row r="967" spans="1:14" ht="195">
      <c r="A967" s="3" t="s">
        <v>4294</v>
      </c>
      <c r="B967" s="3" t="s">
        <v>4295</v>
      </c>
      <c r="C967" s="3" t="s">
        <v>13</v>
      </c>
      <c r="D967" s="3" t="s">
        <v>2644</v>
      </c>
      <c r="E967" s="3" t="s">
        <v>2147</v>
      </c>
      <c r="F967" s="3"/>
      <c r="G967" s="3" t="s">
        <v>308</v>
      </c>
      <c r="H967" s="3"/>
      <c r="I967" s="3"/>
      <c r="J967" s="3" t="s">
        <v>4296</v>
      </c>
      <c r="K967" s="3"/>
      <c r="L967" s="3" t="s">
        <v>4297</v>
      </c>
      <c r="M967" s="3" t="str">
        <f>HYPERLINK("https://ceds.ed.gov/cedselementdetails.aspx?termid=5329")</f>
        <v>https://ceds.ed.gov/cedselementdetails.aspx?termid=5329</v>
      </c>
      <c r="N967" s="3" t="str">
        <f>HYPERLINK("https://ceds.ed.gov/elementComment.aspx?elementName=Number of People in Family &amp;elementID=5329", "Click here to submit comment")</f>
        <v>Click here to submit comment</v>
      </c>
    </row>
    <row r="968" spans="1:14" ht="30">
      <c r="A968" s="3" t="s">
        <v>4298</v>
      </c>
      <c r="B968" s="3" t="s">
        <v>4299</v>
      </c>
      <c r="C968" s="3" t="s">
        <v>13</v>
      </c>
      <c r="D968" s="3" t="s">
        <v>2644</v>
      </c>
      <c r="E968" s="3" t="s">
        <v>2147</v>
      </c>
      <c r="F968" s="3"/>
      <c r="G968" s="3" t="s">
        <v>308</v>
      </c>
      <c r="H968" s="3"/>
      <c r="I968" s="3"/>
      <c r="J968" s="3" t="s">
        <v>4300</v>
      </c>
      <c r="K968" s="3"/>
      <c r="L968" s="3" t="s">
        <v>4301</v>
      </c>
      <c r="M968" s="3" t="str">
        <f>HYPERLINK("https://ceds.ed.gov/cedselementdetails.aspx?termid=5330")</f>
        <v>https://ceds.ed.gov/cedselementdetails.aspx?termid=5330</v>
      </c>
      <c r="N968" s="3" t="str">
        <f>HYPERLINK("https://ceds.ed.gov/elementComment.aspx?elementName=Number of People in Household &amp;elementID=5330", "Click here to submit comment")</f>
        <v>Click here to submit comment</v>
      </c>
    </row>
    <row r="969" spans="1:14" ht="45">
      <c r="A969" s="3" t="s">
        <v>4302</v>
      </c>
      <c r="B969" s="3" t="s">
        <v>4303</v>
      </c>
      <c r="C969" s="3" t="s">
        <v>13</v>
      </c>
      <c r="D969" s="3" t="s">
        <v>4304</v>
      </c>
      <c r="E969" s="3" t="s">
        <v>65</v>
      </c>
      <c r="F969" s="3"/>
      <c r="G969" s="3" t="s">
        <v>308</v>
      </c>
      <c r="H969" s="3"/>
      <c r="I969" s="3"/>
      <c r="J969" s="3" t="s">
        <v>4305</v>
      </c>
      <c r="K969" s="3" t="s">
        <v>4306</v>
      </c>
      <c r="L969" s="3" t="s">
        <v>4307</v>
      </c>
      <c r="M969" s="3" t="str">
        <f>HYPERLINK("https://ceds.ed.gov/cedselementdetails.aspx?termid=5843")</f>
        <v>https://ceds.ed.gov/cedselementdetails.aspx?termid=5843</v>
      </c>
      <c r="N969" s="3" t="str">
        <f>HYPERLINK("https://ceds.ed.gov/elementComment.aspx?elementName=Number of Quality Rating and Improvement System Levels &amp;elementID=5843", "Click here to submit comment")</f>
        <v>Click here to submit comment</v>
      </c>
    </row>
    <row r="970" spans="1:14" ht="75">
      <c r="A970" s="3" t="s">
        <v>4308</v>
      </c>
      <c r="B970" s="3" t="s">
        <v>4309</v>
      </c>
      <c r="C970" s="3" t="s">
        <v>13</v>
      </c>
      <c r="D970" s="3" t="s">
        <v>388</v>
      </c>
      <c r="E970" s="3" t="s">
        <v>202</v>
      </c>
      <c r="F970" s="3"/>
      <c r="G970" s="3" t="s">
        <v>389</v>
      </c>
      <c r="H970" s="3"/>
      <c r="I970" s="3"/>
      <c r="J970" s="3" t="s">
        <v>4310</v>
      </c>
      <c r="K970" s="3"/>
      <c r="L970" s="3" t="s">
        <v>4311</v>
      </c>
      <c r="M970" s="3" t="str">
        <f>HYPERLINK("https://ceds.ed.gov/cedselementdetails.aspx?termid=5815")</f>
        <v>https://ceds.ed.gov/cedselementdetails.aspx?termid=5815</v>
      </c>
      <c r="N970" s="3" t="str">
        <f>HYPERLINK("https://ceds.ed.gov/elementComment.aspx?elementName=Number of School-age Education Postsecondary Credit Hours &amp;elementID=5815", "Click here to submit comment")</f>
        <v>Click here to submit comment</v>
      </c>
    </row>
    <row r="971" spans="1:14" ht="180">
      <c r="A971" s="3" t="s">
        <v>4312</v>
      </c>
      <c r="B971" s="3" t="s">
        <v>4313</v>
      </c>
      <c r="C971" s="3" t="s">
        <v>13</v>
      </c>
      <c r="D971" s="3" t="s">
        <v>1606</v>
      </c>
      <c r="E971" s="3"/>
      <c r="F971" s="3"/>
      <c r="G971" s="3" t="s">
        <v>4314</v>
      </c>
      <c r="H971" s="3"/>
      <c r="I971" s="3"/>
      <c r="J971" s="3" t="s">
        <v>4315</v>
      </c>
      <c r="K971" s="3" t="s">
        <v>4316</v>
      </c>
      <c r="L971" s="3" t="s">
        <v>4316</v>
      </c>
      <c r="M971" s="3" t="str">
        <f>HYPERLINK("https://ceds.ed.gov/cedselementdetails.aspx?termid=5203")</f>
        <v>https://ceds.ed.gov/cedselementdetails.aspx?termid=5203</v>
      </c>
      <c r="N971" s="3" t="str">
        <f>HYPERLINK("https://ceds.ed.gov/elementComment.aspx?elementName=Office of Postsecondary Education Identifier &amp;elementID=5203", "Click here to submit comment")</f>
        <v>Click here to submit comment</v>
      </c>
    </row>
    <row r="972" spans="1:14" ht="45">
      <c r="A972" s="3" t="s">
        <v>4317</v>
      </c>
      <c r="B972" s="3" t="s">
        <v>4318</v>
      </c>
      <c r="C972" s="3" t="s">
        <v>5963</v>
      </c>
      <c r="D972" s="3" t="s">
        <v>2387</v>
      </c>
      <c r="E972" s="3" t="s">
        <v>65</v>
      </c>
      <c r="F972" s="3"/>
      <c r="G972" s="3"/>
      <c r="H972" s="3"/>
      <c r="I972" s="3"/>
      <c r="J972" s="3" t="s">
        <v>4319</v>
      </c>
      <c r="K972" s="3"/>
      <c r="L972" s="3" t="s">
        <v>4320</v>
      </c>
      <c r="M972" s="3" t="str">
        <f>HYPERLINK("https://ceds.ed.gov/cedselementdetails.aspx?termid=5847")</f>
        <v>https://ceds.ed.gov/cedselementdetails.aspx?termid=5847</v>
      </c>
      <c r="N972" s="3" t="str">
        <f>HYPERLINK("https://ceds.ed.gov/elementComment.aspx?elementName=Ongoing Health Screening Policy &amp;elementID=5847", "Click here to submit comment")</f>
        <v>Click here to submit comment</v>
      </c>
    </row>
    <row r="973" spans="1:14" ht="30">
      <c r="A973" s="3" t="s">
        <v>4321</v>
      </c>
      <c r="B973" s="3" t="s">
        <v>4322</v>
      </c>
      <c r="C973" s="3" t="s">
        <v>13</v>
      </c>
      <c r="D973" s="3" t="s">
        <v>2439</v>
      </c>
      <c r="E973" s="3" t="s">
        <v>6104</v>
      </c>
      <c r="F973" s="3"/>
      <c r="G973" s="3" t="s">
        <v>73</v>
      </c>
      <c r="H973" s="3"/>
      <c r="I973" s="3"/>
      <c r="J973" s="3" t="s">
        <v>4323</v>
      </c>
      <c r="K973" s="3"/>
      <c r="L973" s="3" t="s">
        <v>4324</v>
      </c>
      <c r="M973" s="3" t="str">
        <f>HYPERLINK("https://ceds.ed.gov/cedselementdetails.aspx?termid=5350")</f>
        <v>https://ceds.ed.gov/cedselementdetails.aspx?termid=5350</v>
      </c>
      <c r="N973" s="3" t="str">
        <f>HYPERLINK("https://ceds.ed.gov/elementComment.aspx?elementName=Operation Date &amp;elementID=5350", "Click here to submit comment")</f>
        <v>Click here to submit comment</v>
      </c>
    </row>
    <row r="974" spans="1:14" ht="45">
      <c r="A974" s="3" t="s">
        <v>4325</v>
      </c>
      <c r="B974" s="3" t="s">
        <v>4326</v>
      </c>
      <c r="C974" s="3" t="s">
        <v>13</v>
      </c>
      <c r="D974" s="3" t="s">
        <v>6094</v>
      </c>
      <c r="E974" s="3" t="s">
        <v>218</v>
      </c>
      <c r="F974" s="3"/>
      <c r="G974" s="3" t="s">
        <v>73</v>
      </c>
      <c r="H974" s="3"/>
      <c r="I974" s="3"/>
      <c r="J974" s="3" t="s">
        <v>4327</v>
      </c>
      <c r="K974" s="3"/>
      <c r="L974" s="3" t="s">
        <v>4328</v>
      </c>
      <c r="M974" s="3" t="str">
        <f>HYPERLINK("https://ceds.ed.gov/cedselementdetails.aspx?termid=5525")</f>
        <v>https://ceds.ed.gov/cedselementdetails.aspx?termid=5525</v>
      </c>
      <c r="N974" s="3" t="str">
        <f>HYPERLINK("https://ceds.ed.gov/elementComment.aspx?elementName=Operational Status Effective Date &amp;elementID=5525", "Click here to submit comment")</f>
        <v>Click here to submit comment</v>
      </c>
    </row>
    <row r="975" spans="1:14" ht="90">
      <c r="A975" s="3" t="s">
        <v>4329</v>
      </c>
      <c r="B975" s="3" t="s">
        <v>4330</v>
      </c>
      <c r="C975" s="3" t="s">
        <v>5963</v>
      </c>
      <c r="D975" s="3" t="s">
        <v>2267</v>
      </c>
      <c r="E975" s="3"/>
      <c r="F975" s="3" t="s">
        <v>54</v>
      </c>
      <c r="G975" s="3"/>
      <c r="H975" s="3"/>
      <c r="I975" s="3"/>
      <c r="J975" s="3" t="s">
        <v>4331</v>
      </c>
      <c r="K975" s="3"/>
      <c r="L975" s="3" t="s">
        <v>4332</v>
      </c>
      <c r="M975" s="3" t="str">
        <f>HYPERLINK("https://ceds.ed.gov/cedselementdetails.aspx?termid=6385")</f>
        <v>https://ceds.ed.gov/cedselementdetails.aspx?termid=6385</v>
      </c>
      <c r="N975" s="3" t="str">
        <f>HYPERLINK("https://ceds.ed.gov/elementComment.aspx?elementName=Oral Defense Completed Indicator &amp;elementID=6385", "Click here to submit comment")</f>
        <v>Click here to submit comment</v>
      </c>
    </row>
    <row r="976" spans="1:14" ht="30">
      <c r="A976" s="3" t="s">
        <v>4333</v>
      </c>
      <c r="B976" s="3" t="s">
        <v>4334</v>
      </c>
      <c r="C976" s="3" t="s">
        <v>13</v>
      </c>
      <c r="D976" s="3" t="s">
        <v>2267</v>
      </c>
      <c r="E976" s="3"/>
      <c r="F976" s="3" t="s">
        <v>54</v>
      </c>
      <c r="G976" s="3" t="s">
        <v>73</v>
      </c>
      <c r="H976" s="3"/>
      <c r="I976" s="3"/>
      <c r="J976" s="3" t="s">
        <v>4335</v>
      </c>
      <c r="K976" s="3"/>
      <c r="L976" s="3" t="s">
        <v>4336</v>
      </c>
      <c r="M976" s="3" t="str">
        <f>HYPERLINK("https://ceds.ed.gov/cedselementdetails.aspx?termid=6386")</f>
        <v>https://ceds.ed.gov/cedselementdetails.aspx?termid=6386</v>
      </c>
      <c r="N976" s="3" t="str">
        <f>HYPERLINK("https://ceds.ed.gov/elementComment.aspx?elementName=Oral Defense Date &amp;elementID=6386", "Click here to submit comment")</f>
        <v>Click here to submit comment</v>
      </c>
    </row>
    <row r="977" spans="1:14" ht="240">
      <c r="A977" s="3" t="s">
        <v>4337</v>
      </c>
      <c r="B977" s="3" t="s">
        <v>4338</v>
      </c>
      <c r="C977" s="4" t="s">
        <v>6364</v>
      </c>
      <c r="D977" s="3" t="s">
        <v>6264</v>
      </c>
      <c r="E977" s="3" t="s">
        <v>65</v>
      </c>
      <c r="F977" s="3" t="s">
        <v>66</v>
      </c>
      <c r="G977" s="3"/>
      <c r="H977" s="3" t="s">
        <v>2309</v>
      </c>
      <c r="I977" s="3"/>
      <c r="J977" s="3" t="s">
        <v>4339</v>
      </c>
      <c r="K977" s="3"/>
      <c r="L977" s="3" t="s">
        <v>4340</v>
      </c>
      <c r="M977" s="3" t="str">
        <f>HYPERLINK("https://ceds.ed.gov/cedselementdetails.aspx?termid=5827")</f>
        <v>https://ceds.ed.gov/cedselementdetails.aspx?termid=5827</v>
      </c>
      <c r="N977" s="3" t="str">
        <f>HYPERLINK("https://ceds.ed.gov/elementComment.aspx?elementName=Organization Identification System &amp;elementID=5827", "Click here to submit comment")</f>
        <v>Click here to submit comment</v>
      </c>
    </row>
    <row r="978" spans="1:14" ht="120">
      <c r="A978" s="3" t="s">
        <v>4341</v>
      </c>
      <c r="B978" s="3" t="s">
        <v>4342</v>
      </c>
      <c r="C978" s="3" t="s">
        <v>13</v>
      </c>
      <c r="D978" s="3" t="s">
        <v>6264</v>
      </c>
      <c r="E978" s="3" t="s">
        <v>65</v>
      </c>
      <c r="F978" s="3" t="s">
        <v>3</v>
      </c>
      <c r="G978" s="3" t="s">
        <v>100</v>
      </c>
      <c r="H978" s="3"/>
      <c r="I978" s="3"/>
      <c r="J978" s="3" t="s">
        <v>4343</v>
      </c>
      <c r="K978" s="3"/>
      <c r="L978" s="3" t="s">
        <v>4344</v>
      </c>
      <c r="M978" s="3" t="str">
        <f>HYPERLINK("https://ceds.ed.gov/cedselementdetails.aspx?termid=5825")</f>
        <v>https://ceds.ed.gov/cedselementdetails.aspx?termid=5825</v>
      </c>
      <c r="N978" s="3" t="str">
        <f>HYPERLINK("https://ceds.ed.gov/elementComment.aspx?elementName=Organization Identifier &amp;elementID=5825", "Click here to submit comment")</f>
        <v>Click here to submit comment</v>
      </c>
    </row>
    <row r="979" spans="1:14" ht="45">
      <c r="A979" s="3" t="s">
        <v>4345</v>
      </c>
      <c r="B979" s="3" t="s">
        <v>4346</v>
      </c>
      <c r="C979" s="3" t="s">
        <v>6265</v>
      </c>
      <c r="D979" s="3" t="s">
        <v>4166</v>
      </c>
      <c r="E979" s="3"/>
      <c r="F979" s="3" t="s">
        <v>54</v>
      </c>
      <c r="G979" s="3"/>
      <c r="H979" s="3"/>
      <c r="I979" s="3"/>
      <c r="J979" s="3" t="s">
        <v>4347</v>
      </c>
      <c r="K979" s="3"/>
      <c r="L979" s="3" t="s">
        <v>4348</v>
      </c>
      <c r="M979" s="3" t="str">
        <f>HYPERLINK("https://ceds.ed.gov/cedselementdetails.aspx?termid=6296")</f>
        <v>https://ceds.ed.gov/cedselementdetails.aspx?termid=6296</v>
      </c>
      <c r="N979" s="3" t="str">
        <f>HYPERLINK("https://ceds.ed.gov/elementComment.aspx?elementName=Organization Monitoring Notifications &amp;elementID=6296", "Click here to submit comment")</f>
        <v>Click here to submit comment</v>
      </c>
    </row>
    <row r="980" spans="1:14" ht="180">
      <c r="A980" s="3" t="s">
        <v>4349</v>
      </c>
      <c r="B980" s="3" t="s">
        <v>4350</v>
      </c>
      <c r="C980" s="3" t="s">
        <v>13</v>
      </c>
      <c r="D980" s="3" t="s">
        <v>6266</v>
      </c>
      <c r="E980" s="3" t="s">
        <v>202</v>
      </c>
      <c r="F980" s="3" t="s">
        <v>3</v>
      </c>
      <c r="G980" s="3" t="s">
        <v>106</v>
      </c>
      <c r="H980" s="3"/>
      <c r="I980" s="3"/>
      <c r="J980" s="3" t="s">
        <v>4351</v>
      </c>
      <c r="K980" s="3"/>
      <c r="L980" s="3" t="s">
        <v>4352</v>
      </c>
      <c r="M980" s="3" t="str">
        <f>HYPERLINK("https://ceds.ed.gov/cedselementdetails.aspx?termid=5204")</f>
        <v>https://ceds.ed.gov/cedselementdetails.aspx?termid=5204</v>
      </c>
      <c r="N980" s="3" t="str">
        <f>HYPERLINK("https://ceds.ed.gov/elementComment.aspx?elementName=Organization Name &amp;elementID=5204", "Click here to submit comment")</f>
        <v>Click here to submit comment</v>
      </c>
    </row>
    <row r="981" spans="1:14" ht="60">
      <c r="A981" s="3" t="s">
        <v>4353</v>
      </c>
      <c r="B981" s="3" t="s">
        <v>4354</v>
      </c>
      <c r="C981" s="3" t="s">
        <v>6267</v>
      </c>
      <c r="D981" s="3" t="s">
        <v>6268</v>
      </c>
      <c r="E981" s="3"/>
      <c r="F981" s="3" t="s">
        <v>54</v>
      </c>
      <c r="G981" s="3"/>
      <c r="H981" s="3"/>
      <c r="I981" s="3"/>
      <c r="J981" s="3" t="s">
        <v>4355</v>
      </c>
      <c r="K981" s="3"/>
      <c r="L981" s="3" t="s">
        <v>4356</v>
      </c>
      <c r="M981" s="3" t="str">
        <f>HYPERLINK("https://ceds.ed.gov/cedselementdetails.aspx?termid=6387")</f>
        <v>https://ceds.ed.gov/cedselementdetails.aspx?termid=6387</v>
      </c>
      <c r="N981" s="3" t="str">
        <f>HYPERLINK("https://ceds.ed.gov/elementComment.aspx?elementName=Organization Operational Status &amp;elementID=6387", "Click here to submit comment")</f>
        <v>Click here to submit comment</v>
      </c>
    </row>
    <row r="982" spans="1:14" ht="45">
      <c r="A982" s="3" t="s">
        <v>4357</v>
      </c>
      <c r="B982" s="3" t="s">
        <v>4358</v>
      </c>
      <c r="C982" s="3" t="s">
        <v>13</v>
      </c>
      <c r="D982" s="3" t="s">
        <v>64</v>
      </c>
      <c r="E982" s="3"/>
      <c r="F982" s="3" t="s">
        <v>54</v>
      </c>
      <c r="G982" s="3" t="s">
        <v>73</v>
      </c>
      <c r="H982" s="3"/>
      <c r="I982" s="3"/>
      <c r="J982" s="3" t="s">
        <v>4359</v>
      </c>
      <c r="K982" s="3"/>
      <c r="L982" s="3" t="s">
        <v>4360</v>
      </c>
      <c r="M982" s="3" t="str">
        <f>HYPERLINK("https://ceds.ed.gov/cedselementdetails.aspx?termid=6388")</f>
        <v>https://ceds.ed.gov/cedselementdetails.aspx?termid=6388</v>
      </c>
      <c r="N982" s="3" t="str">
        <f>HYPERLINK("https://ceds.ed.gov/elementComment.aspx?elementName=Organization Seeking Accreditation Date &amp;elementID=6388", "Click here to submit comment")</f>
        <v>Click here to submit comment</v>
      </c>
    </row>
    <row r="983" spans="1:14" ht="409.5">
      <c r="A983" s="3" t="s">
        <v>4361</v>
      </c>
      <c r="B983" s="3" t="s">
        <v>4362</v>
      </c>
      <c r="C983" s="4" t="s">
        <v>6592</v>
      </c>
      <c r="D983" s="3" t="s">
        <v>6269</v>
      </c>
      <c r="E983" s="3"/>
      <c r="F983" s="3" t="s">
        <v>66</v>
      </c>
      <c r="G983" s="3" t="s">
        <v>149</v>
      </c>
      <c r="H983" s="3" t="s">
        <v>4363</v>
      </c>
      <c r="I983" s="3" t="s">
        <v>4364</v>
      </c>
      <c r="J983" s="3" t="s">
        <v>4365</v>
      </c>
      <c r="K983" s="3"/>
      <c r="L983" s="3" t="s">
        <v>4366</v>
      </c>
      <c r="M983" s="3" t="str">
        <f>HYPERLINK("https://ceds.ed.gov/cedselementdetails.aspx?termid=6165")</f>
        <v>https://ceds.ed.gov/cedselementdetails.aspx?termid=6165</v>
      </c>
      <c r="N983" s="3" t="str">
        <f>HYPERLINK("https://ceds.ed.gov/elementComment.aspx?elementName=Organization Type &amp;elementID=6165", "Click here to submit comment")</f>
        <v>Click here to submit comment</v>
      </c>
    </row>
    <row r="984" spans="1:14" ht="30">
      <c r="A984" s="3" t="s">
        <v>4367</v>
      </c>
      <c r="B984" s="3" t="s">
        <v>4368</v>
      </c>
      <c r="C984" s="3" t="s">
        <v>13</v>
      </c>
      <c r="D984" s="3" t="s">
        <v>4166</v>
      </c>
      <c r="E984" s="3"/>
      <c r="F984" s="3" t="s">
        <v>54</v>
      </c>
      <c r="G984" s="3" t="s">
        <v>93</v>
      </c>
      <c r="H984" s="3"/>
      <c r="I984" s="3"/>
      <c r="J984" s="3" t="s">
        <v>4369</v>
      </c>
      <c r="K984" s="3"/>
      <c r="L984" s="3" t="s">
        <v>4370</v>
      </c>
      <c r="M984" s="3" t="str">
        <f>HYPERLINK("https://ceds.ed.gov/cedselementdetails.aspx?termid=6300")</f>
        <v>https://ceds.ed.gov/cedselementdetails.aspx?termid=6300</v>
      </c>
      <c r="N984" s="3" t="str">
        <f>HYPERLINK("https://ceds.ed.gov/elementComment.aspx?elementName=Organization Type of Monitoring &amp;elementID=6300", "Click here to submit comment")</f>
        <v>Click here to submit comment</v>
      </c>
    </row>
    <row r="985" spans="1:14" ht="75">
      <c r="A985" s="3" t="s">
        <v>4371</v>
      </c>
      <c r="B985" s="3" t="s">
        <v>4372</v>
      </c>
      <c r="C985" s="3" t="s">
        <v>13</v>
      </c>
      <c r="D985" s="3" t="s">
        <v>1831</v>
      </c>
      <c r="E985" s="3"/>
      <c r="F985" s="3" t="s">
        <v>54</v>
      </c>
      <c r="G985" s="3" t="s">
        <v>100</v>
      </c>
      <c r="H985" s="3"/>
      <c r="I985" s="3"/>
      <c r="J985" s="3" t="s">
        <v>4373</v>
      </c>
      <c r="K985" s="3"/>
      <c r="L985" s="3" t="s">
        <v>4374</v>
      </c>
      <c r="M985" s="3" t="str">
        <f>HYPERLINK("https://ceds.ed.gov/cedselementdetails.aspx?termid=6389")</f>
        <v>https://ceds.ed.gov/cedselementdetails.aspx?termid=6389</v>
      </c>
      <c r="N985" s="3" t="str">
        <f>HYPERLINK("https://ceds.ed.gov/elementComment.aspx?elementName=Original Course Identifier &amp;elementID=6389", "Click here to submit comment")</f>
        <v>Click here to submit comment</v>
      </c>
    </row>
    <row r="986" spans="1:14" ht="409.5">
      <c r="A986" s="3" t="s">
        <v>4375</v>
      </c>
      <c r="B986" s="3" t="s">
        <v>4376</v>
      </c>
      <c r="C986" s="3" t="s">
        <v>13</v>
      </c>
      <c r="D986" s="3" t="s">
        <v>6270</v>
      </c>
      <c r="E986" s="3"/>
      <c r="F986" s="3" t="s">
        <v>54</v>
      </c>
      <c r="G986" s="3" t="s">
        <v>1368</v>
      </c>
      <c r="H986" s="3"/>
      <c r="I986" s="3" t="s">
        <v>4377</v>
      </c>
      <c r="J986" s="3" t="s">
        <v>4378</v>
      </c>
      <c r="K986" s="3"/>
      <c r="L986" s="3" t="s">
        <v>4379</v>
      </c>
      <c r="M986" s="3" t="str">
        <f>HYPERLINK("https://ceds.ed.gov/cedselementdetails.aspx?termid=6486")</f>
        <v>https://ceds.ed.gov/cedselementdetails.aspx?termid=6486</v>
      </c>
      <c r="N986" s="3" t="str">
        <f>HYPERLINK("https://ceds.ed.gov/elementComment.aspx?elementName=Other First Name &amp;elementID=6486", "Click here to submit comment")</f>
        <v>Click here to submit comment</v>
      </c>
    </row>
    <row r="987" spans="1:14" ht="409.5">
      <c r="A987" s="3" t="s">
        <v>4380</v>
      </c>
      <c r="B987" s="3" t="s">
        <v>4381</v>
      </c>
      <c r="C987" s="3" t="s">
        <v>13</v>
      </c>
      <c r="D987" s="3" t="s">
        <v>6270</v>
      </c>
      <c r="E987" s="3"/>
      <c r="F987" s="3" t="s">
        <v>54</v>
      </c>
      <c r="G987" s="3" t="s">
        <v>1368</v>
      </c>
      <c r="H987" s="3"/>
      <c r="I987" s="3" t="s">
        <v>4382</v>
      </c>
      <c r="J987" s="3" t="s">
        <v>4383</v>
      </c>
      <c r="K987" s="3"/>
      <c r="L987" s="3" t="s">
        <v>4384</v>
      </c>
      <c r="M987" s="3" t="str">
        <f>HYPERLINK("https://ceds.ed.gov/cedselementdetails.aspx?termid=6485")</f>
        <v>https://ceds.ed.gov/cedselementdetails.aspx?termid=6485</v>
      </c>
      <c r="N987" s="3" t="str">
        <f>HYPERLINK("https://ceds.ed.gov/elementComment.aspx?elementName=Other Last Name &amp;elementID=6485", "Click here to submit comment")</f>
        <v>Click here to submit comment</v>
      </c>
    </row>
    <row r="988" spans="1:14" ht="409.5">
      <c r="A988" s="3" t="s">
        <v>4385</v>
      </c>
      <c r="B988" s="3" t="s">
        <v>4386</v>
      </c>
      <c r="C988" s="3" t="s">
        <v>13</v>
      </c>
      <c r="D988" s="3" t="s">
        <v>6270</v>
      </c>
      <c r="E988" s="3"/>
      <c r="F988" s="3" t="s">
        <v>54</v>
      </c>
      <c r="G988" s="3" t="s">
        <v>1368</v>
      </c>
      <c r="H988" s="3"/>
      <c r="I988" s="3" t="s">
        <v>4387</v>
      </c>
      <c r="J988" s="3" t="s">
        <v>4388</v>
      </c>
      <c r="K988" s="3"/>
      <c r="L988" s="3" t="s">
        <v>4389</v>
      </c>
      <c r="M988" s="3" t="str">
        <f>HYPERLINK("https://ceds.ed.gov/cedselementdetails.aspx?termid=6487")</f>
        <v>https://ceds.ed.gov/cedselementdetails.aspx?termid=6487</v>
      </c>
      <c r="N988" s="3" t="str">
        <f>HYPERLINK("https://ceds.ed.gov/elementComment.aspx?elementName=Other Middle Name &amp;elementID=6487", "Click here to submit comment")</f>
        <v>Click here to submit comment</v>
      </c>
    </row>
    <row r="989" spans="1:14" ht="409.5">
      <c r="A989" s="3" t="s">
        <v>4390</v>
      </c>
      <c r="B989" s="3" t="s">
        <v>4391</v>
      </c>
      <c r="C989" s="3" t="s">
        <v>13</v>
      </c>
      <c r="D989" s="3" t="s">
        <v>6271</v>
      </c>
      <c r="E989" s="3" t="s">
        <v>6179</v>
      </c>
      <c r="F989" s="3" t="s">
        <v>3</v>
      </c>
      <c r="G989" s="3" t="s">
        <v>149</v>
      </c>
      <c r="H989" s="3"/>
      <c r="I989" s="3"/>
      <c r="J989" s="3" t="s">
        <v>4392</v>
      </c>
      <c r="K989" s="3"/>
      <c r="L989" s="3" t="s">
        <v>4393</v>
      </c>
      <c r="M989" s="3" t="str">
        <f>HYPERLINK("https://ceds.ed.gov/cedselementdetails.aspx?termid=5206")</f>
        <v>https://ceds.ed.gov/cedselementdetails.aspx?termid=5206</v>
      </c>
      <c r="N989" s="3" t="str">
        <f>HYPERLINK("https://ceds.ed.gov/elementComment.aspx?elementName=Other Name &amp;elementID=5206", "Click here to submit comment")</f>
        <v>Click here to submit comment</v>
      </c>
    </row>
    <row r="990" spans="1:14" ht="409.5">
      <c r="A990" s="3" t="s">
        <v>4394</v>
      </c>
      <c r="B990" s="3" t="s">
        <v>4395</v>
      </c>
      <c r="C990" s="4" t="s">
        <v>6593</v>
      </c>
      <c r="D990" s="3" t="s">
        <v>6272</v>
      </c>
      <c r="E990" s="3" t="s">
        <v>6273</v>
      </c>
      <c r="F990" s="3" t="s">
        <v>3</v>
      </c>
      <c r="G990" s="3" t="s">
        <v>100</v>
      </c>
      <c r="H990" s="3"/>
      <c r="I990" s="3"/>
      <c r="J990" s="3" t="s">
        <v>4396</v>
      </c>
      <c r="K990" s="3"/>
      <c r="L990" s="3" t="s">
        <v>4397</v>
      </c>
      <c r="M990" s="3" t="str">
        <f>HYPERLINK("https://ceds.ed.gov/cedselementdetails.aspx?termid=5627")</f>
        <v>https://ceds.ed.gov/cedselementdetails.aspx?termid=5627</v>
      </c>
      <c r="N990" s="3" t="str">
        <f>HYPERLINK("https://ceds.ed.gov/elementComment.aspx?elementName=Other Name Type &amp;elementID=5627", "Click here to submit comment")</f>
        <v>Click here to submit comment</v>
      </c>
    </row>
    <row r="991" spans="1:14" ht="45">
      <c r="A991" s="3" t="s">
        <v>4398</v>
      </c>
      <c r="B991" s="3" t="s">
        <v>4399</v>
      </c>
      <c r="C991" s="3" t="s">
        <v>5963</v>
      </c>
      <c r="D991" s="3" t="s">
        <v>2787</v>
      </c>
      <c r="E991" s="3"/>
      <c r="F991" s="3" t="s">
        <v>54</v>
      </c>
      <c r="G991" s="3"/>
      <c r="H991" s="3"/>
      <c r="I991" s="3" t="s">
        <v>4400</v>
      </c>
      <c r="J991" s="3" t="s">
        <v>4401</v>
      </c>
      <c r="K991" s="3"/>
      <c r="L991" s="3" t="s">
        <v>4402</v>
      </c>
      <c r="M991" s="3" t="str">
        <f>HYPERLINK("https://ceds.ed.gov/cedselementdetails.aspx?termid=6390")</f>
        <v>https://ceds.ed.gov/cedselementdetails.aspx?termid=6390</v>
      </c>
      <c r="N991" s="3" t="str">
        <f>HYPERLINK("https://ceds.ed.gov/elementComment.aspx?elementName=Other Race Indicator &amp;elementID=6390", "Click here to submit comment")</f>
        <v>Click here to submit comment</v>
      </c>
    </row>
    <row r="992" spans="1:14" ht="75">
      <c r="A992" s="3" t="s">
        <v>4403</v>
      </c>
      <c r="B992" s="3" t="s">
        <v>4404</v>
      </c>
      <c r="C992" s="3" t="s">
        <v>13</v>
      </c>
      <c r="D992" s="3" t="s">
        <v>1494</v>
      </c>
      <c r="E992" s="3" t="s">
        <v>1495</v>
      </c>
      <c r="F992" s="3"/>
      <c r="G992" s="3" t="s">
        <v>1461</v>
      </c>
      <c r="H992" s="3"/>
      <c r="I992" s="3" t="s">
        <v>358</v>
      </c>
      <c r="J992" s="3" t="s">
        <v>4405</v>
      </c>
      <c r="K992" s="3"/>
      <c r="L992" s="3" t="s">
        <v>4406</v>
      </c>
      <c r="M992" s="3" t="str">
        <f>HYPERLINK("https://ceds.ed.gov/cedselementdetails.aspx?termid=5731")</f>
        <v>https://ceds.ed.gov/cedselementdetails.aspx?termid=5731</v>
      </c>
      <c r="N992" s="3" t="str">
        <f>HYPERLINK("https://ceds.ed.gov/elementComment.aspx?elementName=Other Student Expenses &amp;elementID=5731", "Click here to submit comment")</f>
        <v>Click here to submit comment</v>
      </c>
    </row>
    <row r="993" spans="1:14" ht="45">
      <c r="A993" s="3" t="s">
        <v>4407</v>
      </c>
      <c r="B993" s="3" t="s">
        <v>4408</v>
      </c>
      <c r="C993" s="3" t="s">
        <v>13</v>
      </c>
      <c r="D993" s="3" t="s">
        <v>1831</v>
      </c>
      <c r="E993" s="3"/>
      <c r="F993" s="3" t="s">
        <v>54</v>
      </c>
      <c r="G993" s="3" t="s">
        <v>100</v>
      </c>
      <c r="H993" s="3"/>
      <c r="I993" s="3"/>
      <c r="J993" s="3" t="s">
        <v>4409</v>
      </c>
      <c r="K993" s="3"/>
      <c r="L993" s="3" t="s">
        <v>4410</v>
      </c>
      <c r="M993" s="3" t="str">
        <f>HYPERLINK("https://ceds.ed.gov/cedselementdetails.aspx?termid=6391")</f>
        <v>https://ceds.ed.gov/cedselementdetails.aspx?termid=6391</v>
      </c>
      <c r="N993" s="3" t="str">
        <f>HYPERLINK("https://ceds.ed.gov/elementComment.aspx?elementName=Override School Course Number &amp;elementID=6391", "Click here to submit comment")</f>
        <v>Click here to submit comment</v>
      </c>
    </row>
    <row r="994" spans="1:14" ht="60">
      <c r="A994" s="3" t="s">
        <v>4411</v>
      </c>
      <c r="B994" s="3" t="s">
        <v>4412</v>
      </c>
      <c r="C994" s="4" t="s">
        <v>6594</v>
      </c>
      <c r="D994" s="3" t="s">
        <v>2977</v>
      </c>
      <c r="E994" s="3" t="s">
        <v>218</v>
      </c>
      <c r="F994" s="3"/>
      <c r="G994" s="3"/>
      <c r="H994" s="3"/>
      <c r="I994" s="3"/>
      <c r="J994" s="3" t="s">
        <v>4413</v>
      </c>
      <c r="K994" s="3"/>
      <c r="L994" s="3" t="s">
        <v>4414</v>
      </c>
      <c r="M994" s="3" t="str">
        <f>HYPERLINK("https://ceds.ed.gov/cedselementdetails.aspx?termid=5207")</f>
        <v>https://ceds.ed.gov/cedselementdetails.aspx?termid=5207</v>
      </c>
      <c r="N994" s="3" t="str">
        <f>HYPERLINK("https://ceds.ed.gov/elementComment.aspx?elementName=Paraprofessional Qualification Status &amp;elementID=5207", "Click here to submit comment")</f>
        <v>Click here to submit comment</v>
      </c>
    </row>
    <row r="995" spans="1:14" ht="150">
      <c r="A995" s="3" t="s">
        <v>4415</v>
      </c>
      <c r="B995" s="3" t="s">
        <v>4416</v>
      </c>
      <c r="C995" s="4" t="s">
        <v>6595</v>
      </c>
      <c r="D995" s="3" t="s">
        <v>1287</v>
      </c>
      <c r="E995" s="3" t="s">
        <v>65</v>
      </c>
      <c r="F995" s="3"/>
      <c r="G995" s="3"/>
      <c r="H995" s="3"/>
      <c r="I995" s="3"/>
      <c r="J995" s="3" t="s">
        <v>4417</v>
      </c>
      <c r="K995" s="3"/>
      <c r="L995" s="3" t="s">
        <v>4418</v>
      </c>
      <c r="M995" s="3" t="str">
        <f>HYPERLINK("https://ceds.ed.gov/cedselementdetails.aspx?termid=5857")</f>
        <v>https://ceds.ed.gov/cedselementdetails.aspx?termid=5857</v>
      </c>
      <c r="N995" s="3" t="str">
        <f>HYPERLINK("https://ceds.ed.gov/elementComment.aspx?elementName=Parent Communication Method &amp;elementID=5857", "Click here to submit comment")</f>
        <v>Click here to submit comment</v>
      </c>
    </row>
    <row r="996" spans="1:14" ht="409.5">
      <c r="A996" s="3" t="s">
        <v>4419</v>
      </c>
      <c r="B996" s="3" t="s">
        <v>4420</v>
      </c>
      <c r="C996" s="4" t="s">
        <v>6518</v>
      </c>
      <c r="D996" s="3" t="s">
        <v>2186</v>
      </c>
      <c r="E996" s="3" t="s">
        <v>6145</v>
      </c>
      <c r="F996" s="3"/>
      <c r="G996" s="3"/>
      <c r="H996" s="3"/>
      <c r="I996" s="3"/>
      <c r="J996" s="3" t="s">
        <v>4421</v>
      </c>
      <c r="K996" s="3"/>
      <c r="L996" s="3" t="s">
        <v>4422</v>
      </c>
      <c r="M996" s="3" t="str">
        <f>HYPERLINK("https://ceds.ed.gov/cedselementdetails.aspx?termid=5867")</f>
        <v>https://ceds.ed.gov/cedselementdetails.aspx?termid=5867</v>
      </c>
      <c r="N996" s="3" t="str">
        <f>HYPERLINK("https://ceds.ed.gov/elementComment.aspx?elementName=Part-Time Employee Benefits &amp;elementID=5867", "Click here to submit comment")</f>
        <v>Click here to submit comment</v>
      </c>
    </row>
    <row r="997" spans="1:14" ht="300">
      <c r="A997" s="3" t="s">
        <v>4423</v>
      </c>
      <c r="B997" s="3" t="s">
        <v>4424</v>
      </c>
      <c r="C997" s="4" t="s">
        <v>6596</v>
      </c>
      <c r="D997" s="3" t="s">
        <v>6274</v>
      </c>
      <c r="E997" s="3" t="s">
        <v>5988</v>
      </c>
      <c r="F997" s="3"/>
      <c r="G997" s="3"/>
      <c r="H997" s="3"/>
      <c r="I997" s="3"/>
      <c r="J997" s="3" t="s">
        <v>4425</v>
      </c>
      <c r="K997" s="3"/>
      <c r="L997" s="3" t="s">
        <v>4426</v>
      </c>
      <c r="M997" s="3" t="str">
        <f>HYPERLINK("https://ceds.ed.gov/cedselementdetails.aspx?termid=5325")</f>
        <v>https://ceds.ed.gov/cedselementdetails.aspx?termid=5325</v>
      </c>
      <c r="N997" s="3" t="str">
        <f>HYPERLINK("https://ceds.ed.gov/elementComment.aspx?elementName=Participation in School Food Service Programs &amp;elementID=5325", "Click here to submit comment")</f>
        <v>Click here to submit comment</v>
      </c>
    </row>
    <row r="998" spans="1:14" ht="120">
      <c r="A998" s="3" t="s">
        <v>4427</v>
      </c>
      <c r="B998" s="3" t="s">
        <v>4428</v>
      </c>
      <c r="C998" s="4" t="s">
        <v>6597</v>
      </c>
      <c r="D998" s="3" t="s">
        <v>5979</v>
      </c>
      <c r="E998" s="3" t="s">
        <v>218</v>
      </c>
      <c r="F998" s="3"/>
      <c r="G998" s="3"/>
      <c r="H998" s="3"/>
      <c r="I998" s="3"/>
      <c r="J998" s="3" t="s">
        <v>4429</v>
      </c>
      <c r="K998" s="3"/>
      <c r="L998" s="3" t="s">
        <v>4430</v>
      </c>
      <c r="M998" s="3" t="str">
        <f>HYPERLINK("https://ceds.ed.gov/cedselementdetails.aspx?termid=5208")</f>
        <v>https://ceds.ed.gov/cedselementdetails.aspx?termid=5208</v>
      </c>
      <c r="N998" s="3" t="str">
        <f>HYPERLINK("https://ceds.ed.gov/elementComment.aspx?elementName=Participation Status for Math &amp;elementID=5208", "Click here to submit comment")</f>
        <v>Click here to submit comment</v>
      </c>
    </row>
    <row r="999" spans="1:14" ht="120">
      <c r="A999" s="3" t="s">
        <v>4431</v>
      </c>
      <c r="B999" s="3" t="s">
        <v>4432</v>
      </c>
      <c r="C999" s="4" t="s">
        <v>6597</v>
      </c>
      <c r="D999" s="3" t="s">
        <v>5979</v>
      </c>
      <c r="E999" s="3" t="s">
        <v>218</v>
      </c>
      <c r="F999" s="3"/>
      <c r="G999" s="3"/>
      <c r="H999" s="3"/>
      <c r="I999" s="3"/>
      <c r="J999" s="3" t="s">
        <v>4433</v>
      </c>
      <c r="K999" s="3"/>
      <c r="L999" s="3" t="s">
        <v>4434</v>
      </c>
      <c r="M999" s="3" t="str">
        <f>HYPERLINK("https://ceds.ed.gov/cedselementdetails.aspx?termid=5209")</f>
        <v>https://ceds.ed.gov/cedselementdetails.aspx?termid=5209</v>
      </c>
      <c r="N999" s="3" t="str">
        <f>HYPERLINK("https://ceds.ed.gov/elementComment.aspx?elementName=Participation Status for Reading and Language Arts &amp;elementID=5209", "Click here to submit comment")</f>
        <v>Click here to submit comment</v>
      </c>
    </row>
    <row r="1000" spans="1:14" ht="105">
      <c r="A1000" s="3" t="s">
        <v>4435</v>
      </c>
      <c r="B1000" s="3" t="s">
        <v>4436</v>
      </c>
      <c r="C1000" s="3" t="s">
        <v>13</v>
      </c>
      <c r="D1000" s="3" t="s">
        <v>6275</v>
      </c>
      <c r="E1000" s="3"/>
      <c r="F1000" s="3"/>
      <c r="G1000" s="3" t="s">
        <v>73</v>
      </c>
      <c r="H1000" s="3"/>
      <c r="I1000" s="3"/>
      <c r="J1000" s="3" t="s">
        <v>4437</v>
      </c>
      <c r="K1000" s="3"/>
      <c r="L1000" s="3" t="s">
        <v>4438</v>
      </c>
      <c r="M1000" s="3" t="str">
        <f>HYPERLINK("https://ceds.ed.gov/cedselementdetails.aspx?termid=6171")</f>
        <v>https://ceds.ed.gov/cedselementdetails.aspx?termid=6171</v>
      </c>
      <c r="N1000" s="3" t="str">
        <f>HYPERLINK("https://ceds.ed.gov/elementComment.aspx?elementName=Peer Rating Date &amp;elementID=6171", "Click here to submit comment")</f>
        <v>Click here to submit comment</v>
      </c>
    </row>
    <row r="1001" spans="1:14" ht="120">
      <c r="A1001" s="3" t="s">
        <v>4439</v>
      </c>
      <c r="B1001" s="3" t="s">
        <v>4440</v>
      </c>
      <c r="C1001" s="3" t="s">
        <v>13</v>
      </c>
      <c r="D1001" s="3" t="s">
        <v>6276</v>
      </c>
      <c r="E1001" s="3"/>
      <c r="F1001" s="3"/>
      <c r="G1001" s="3" t="s">
        <v>957</v>
      </c>
      <c r="H1001" s="3"/>
      <c r="I1001" s="3"/>
      <c r="J1001" s="3" t="s">
        <v>4441</v>
      </c>
      <c r="K1001" s="3"/>
      <c r="L1001" s="3" t="s">
        <v>4442</v>
      </c>
      <c r="M1001" s="3" t="str">
        <f>HYPERLINK("https://ceds.ed.gov/cedselementdetails.aspx?termid=6162")</f>
        <v>https://ceds.ed.gov/cedselementdetails.aspx?termid=6162</v>
      </c>
      <c r="N1001" s="3" t="str">
        <f>HYPERLINK("https://ceds.ed.gov/elementComment.aspx?elementName=Peer Rating System Maximum Value &amp;elementID=6162", "Click here to submit comment")</f>
        <v>Click here to submit comment</v>
      </c>
    </row>
    <row r="1002" spans="1:14" ht="120">
      <c r="A1002" s="3" t="s">
        <v>4443</v>
      </c>
      <c r="B1002" s="3" t="s">
        <v>4444</v>
      </c>
      <c r="C1002" s="3" t="s">
        <v>13</v>
      </c>
      <c r="D1002" s="3" t="s">
        <v>6276</v>
      </c>
      <c r="E1002" s="3"/>
      <c r="F1002" s="3"/>
      <c r="G1002" s="3" t="s">
        <v>957</v>
      </c>
      <c r="H1002" s="3"/>
      <c r="I1002" s="3"/>
      <c r="J1002" s="3" t="s">
        <v>4445</v>
      </c>
      <c r="K1002" s="3"/>
      <c r="L1002" s="3" t="s">
        <v>4446</v>
      </c>
      <c r="M1002" s="3" t="str">
        <f>HYPERLINK("https://ceds.ed.gov/cedselementdetails.aspx?termid=6163")</f>
        <v>https://ceds.ed.gov/cedselementdetails.aspx?termid=6163</v>
      </c>
      <c r="N1002" s="3" t="str">
        <f>HYPERLINK("https://ceds.ed.gov/elementComment.aspx?elementName=Peer Rating System Minimum Value &amp;elementID=6163", "Click here to submit comment")</f>
        <v>Click here to submit comment</v>
      </c>
    </row>
    <row r="1003" spans="1:14" ht="120">
      <c r="A1003" s="3" t="s">
        <v>4447</v>
      </c>
      <c r="B1003" s="3" t="s">
        <v>4448</v>
      </c>
      <c r="C1003" s="3" t="s">
        <v>13</v>
      </c>
      <c r="D1003" s="3" t="s">
        <v>6276</v>
      </c>
      <c r="E1003" s="3"/>
      <c r="F1003" s="3"/>
      <c r="G1003" s="3" t="s">
        <v>106</v>
      </c>
      <c r="H1003" s="3"/>
      <c r="I1003" s="3"/>
      <c r="J1003" s="3" t="s">
        <v>4449</v>
      </c>
      <c r="K1003" s="3"/>
      <c r="L1003" s="3" t="s">
        <v>4450</v>
      </c>
      <c r="M1003" s="3" t="str">
        <f>HYPERLINK("https://ceds.ed.gov/cedselementdetails.aspx?termid=6160")</f>
        <v>https://ceds.ed.gov/cedselementdetails.aspx?termid=6160</v>
      </c>
      <c r="N1003" s="3" t="str">
        <f>HYPERLINK("https://ceds.ed.gov/elementComment.aspx?elementName=Peer Rating System Name &amp;elementID=6160", "Click here to submit comment")</f>
        <v>Click here to submit comment</v>
      </c>
    </row>
    <row r="1004" spans="1:14" ht="120">
      <c r="A1004" s="3" t="s">
        <v>4451</v>
      </c>
      <c r="B1004" s="3" t="s">
        <v>4452</v>
      </c>
      <c r="C1004" s="3" t="s">
        <v>13</v>
      </c>
      <c r="D1004" s="3" t="s">
        <v>6276</v>
      </c>
      <c r="E1004" s="3"/>
      <c r="F1004" s="3"/>
      <c r="G1004" s="3" t="s">
        <v>957</v>
      </c>
      <c r="H1004" s="3"/>
      <c r="I1004" s="3"/>
      <c r="J1004" s="3" t="s">
        <v>4453</v>
      </c>
      <c r="K1004" s="3"/>
      <c r="L1004" s="3" t="s">
        <v>4454</v>
      </c>
      <c r="M1004" s="3" t="str">
        <f>HYPERLINK("https://ceds.ed.gov/cedselementdetails.aspx?termid=6164")</f>
        <v>https://ceds.ed.gov/cedselementdetails.aspx?termid=6164</v>
      </c>
      <c r="N1004" s="3" t="str">
        <f>HYPERLINK("https://ceds.ed.gov/elementComment.aspx?elementName=Peer Rating System Optimum Value &amp;elementID=6164", "Click here to submit comment")</f>
        <v>Click here to submit comment</v>
      </c>
    </row>
    <row r="1005" spans="1:14" ht="210">
      <c r="A1005" s="3" t="s">
        <v>4459</v>
      </c>
      <c r="B1005" s="3" t="s">
        <v>4460</v>
      </c>
      <c r="C1005" s="3" t="s">
        <v>5963</v>
      </c>
      <c r="D1005" s="3" t="s">
        <v>3982</v>
      </c>
      <c r="E1005" s="3" t="s">
        <v>218</v>
      </c>
      <c r="F1005" s="3"/>
      <c r="G1005" s="3"/>
      <c r="H1005" s="3"/>
      <c r="I1005" s="3"/>
      <c r="J1005" s="3" t="s">
        <v>4461</v>
      </c>
      <c r="K1005" s="3" t="s">
        <v>4462</v>
      </c>
      <c r="L1005" s="3" t="s">
        <v>4463</v>
      </c>
      <c r="M1005" s="3" t="str">
        <f>HYPERLINK("https://ceds.ed.gov/cedselementdetails.aspx?termid=5574")</f>
        <v>https://ceds.ed.gov/cedselementdetails.aspx?termid=5574</v>
      </c>
      <c r="N1005" s="3" t="str">
        <f>HYPERLINK("https://ceds.ed.gov/elementComment.aspx?elementName=Perkins Limited English Proficiency Status &amp;elementID=5574", "Click here to submit comment")</f>
        <v>Click here to submit comment</v>
      </c>
    </row>
    <row r="1006" spans="1:14" ht="45">
      <c r="A1006" s="3" t="s">
        <v>4464</v>
      </c>
      <c r="B1006" s="3" t="s">
        <v>4465</v>
      </c>
      <c r="C1006" s="3" t="s">
        <v>5963</v>
      </c>
      <c r="D1006" s="3" t="s">
        <v>1806</v>
      </c>
      <c r="E1006" s="3" t="s">
        <v>218</v>
      </c>
      <c r="F1006" s="3"/>
      <c r="G1006" s="3"/>
      <c r="H1006" s="3"/>
      <c r="I1006" s="3"/>
      <c r="J1006" s="3" t="s">
        <v>4466</v>
      </c>
      <c r="K1006" s="3"/>
      <c r="L1006" s="3" t="s">
        <v>4467</v>
      </c>
      <c r="M1006" s="3" t="str">
        <f>HYPERLINK("https://ceds.ed.gov/cedselementdetails.aspx?termid=5210")</f>
        <v>https://ceds.ed.gov/cedselementdetails.aspx?termid=5210</v>
      </c>
      <c r="N1006" s="3" t="str">
        <f>HYPERLINK("https://ceds.ed.gov/elementComment.aspx?elementName=Persistently Dangerous Status &amp;elementID=5210", "Click here to submit comment")</f>
        <v>Click here to submit comment</v>
      </c>
    </row>
    <row r="1007" spans="1:14" ht="45">
      <c r="A1007" s="3" t="s">
        <v>4468</v>
      </c>
      <c r="B1007" s="3" t="s">
        <v>4469</v>
      </c>
      <c r="C1007" s="3" t="s">
        <v>5963</v>
      </c>
      <c r="D1007" s="3" t="s">
        <v>1806</v>
      </c>
      <c r="E1007" s="3" t="s">
        <v>218</v>
      </c>
      <c r="F1007" s="3"/>
      <c r="G1007" s="3"/>
      <c r="H1007" s="3"/>
      <c r="I1007" s="3"/>
      <c r="J1007" s="3" t="s">
        <v>4470</v>
      </c>
      <c r="K1007" s="3"/>
      <c r="L1007" s="3" t="s">
        <v>4471</v>
      </c>
      <c r="M1007" s="3" t="str">
        <f>HYPERLINK("https://ceds.ed.gov/cedselementdetails.aspx?termid=5211")</f>
        <v>https://ceds.ed.gov/cedselementdetails.aspx?termid=5211</v>
      </c>
      <c r="N1007" s="3" t="str">
        <f>HYPERLINK("https://ceds.ed.gov/elementComment.aspx?elementName=Persistently Lowest Achieving School Status &amp;elementID=5211", "Click here to submit comment")</f>
        <v>Click here to submit comment</v>
      </c>
    </row>
    <row r="1008" spans="1:14" ht="225">
      <c r="A1008" s="3" t="s">
        <v>4472</v>
      </c>
      <c r="B1008" s="3" t="s">
        <v>4473</v>
      </c>
      <c r="C1008" s="3" t="s">
        <v>13</v>
      </c>
      <c r="D1008" s="3" t="s">
        <v>2483</v>
      </c>
      <c r="E1008" s="3"/>
      <c r="F1008" s="3" t="s">
        <v>66</v>
      </c>
      <c r="G1008" s="3" t="s">
        <v>575</v>
      </c>
      <c r="H1008" s="3" t="s">
        <v>4474</v>
      </c>
      <c r="I1008" s="3" t="s">
        <v>4475</v>
      </c>
      <c r="J1008" s="3" t="s">
        <v>4476</v>
      </c>
      <c r="K1008" s="3"/>
      <c r="L1008" s="3" t="s">
        <v>4477</v>
      </c>
      <c r="M1008" s="3" t="str">
        <f>HYPERLINK("https://ceds.ed.gov/cedselementdetails.aspx?termid=5993")</f>
        <v>https://ceds.ed.gov/cedselementdetails.aspx?termid=5993</v>
      </c>
      <c r="N1008" s="3" t="str">
        <f>HYPERLINK("https://ceds.ed.gov/elementComment.aspx?elementName=Person Employed in Multiple Jobs Count &amp;elementID=5993", "Click here to submit comment")</f>
        <v>Click here to submit comment</v>
      </c>
    </row>
    <row r="1009" spans="1:14" ht="45">
      <c r="A1009" s="3" t="s">
        <v>4478</v>
      </c>
      <c r="B1009" s="3" t="s">
        <v>4479</v>
      </c>
      <c r="C1009" s="3" t="s">
        <v>13</v>
      </c>
      <c r="D1009" s="3" t="s">
        <v>6149</v>
      </c>
      <c r="E1009" s="3"/>
      <c r="F1009" s="3" t="s">
        <v>54</v>
      </c>
      <c r="G1009" s="3" t="s">
        <v>575</v>
      </c>
      <c r="H1009" s="3"/>
      <c r="I1009" s="3"/>
      <c r="J1009" s="3" t="s">
        <v>4480</v>
      </c>
      <c r="K1009" s="3"/>
      <c r="L1009" s="3" t="s">
        <v>4481</v>
      </c>
      <c r="M1009" s="3" t="str">
        <f>HYPERLINK("https://ceds.ed.gov/cedselementdetails.aspx?termid=6392")</f>
        <v>https://ceds.ed.gov/cedselementdetails.aspx?termid=6392</v>
      </c>
      <c r="N1009" s="3" t="str">
        <f>HYPERLINK("https://ceds.ed.gov/elementComment.aspx?elementName=Person Relationship to Learner Contact Priority Number &amp;elementID=6392", "Click here to submit comment")</f>
        <v>Click here to submit comment</v>
      </c>
    </row>
    <row r="1010" spans="1:14" ht="60">
      <c r="A1010" s="3" t="s">
        <v>4482</v>
      </c>
      <c r="B1010" s="3" t="s">
        <v>4483</v>
      </c>
      <c r="C1010" s="3" t="s">
        <v>13</v>
      </c>
      <c r="D1010" s="3" t="s">
        <v>6149</v>
      </c>
      <c r="E1010" s="3"/>
      <c r="F1010" s="3" t="s">
        <v>54</v>
      </c>
      <c r="G1010" s="3" t="s">
        <v>319</v>
      </c>
      <c r="H1010" s="3"/>
      <c r="I1010" s="3"/>
      <c r="J1010" s="3" t="s">
        <v>4484</v>
      </c>
      <c r="K1010" s="3"/>
      <c r="L1010" s="3" t="s">
        <v>4485</v>
      </c>
      <c r="M1010" s="3" t="str">
        <f>HYPERLINK("https://ceds.ed.gov/cedselementdetails.aspx?termid=6393")</f>
        <v>https://ceds.ed.gov/cedselementdetails.aspx?termid=6393</v>
      </c>
      <c r="N1010" s="3" t="str">
        <f>HYPERLINK("https://ceds.ed.gov/elementComment.aspx?elementName=Person Relationship to Learner Contact Restrictions Description &amp;elementID=6393", "Click here to submit comment")</f>
        <v>Click here to submit comment</v>
      </c>
    </row>
    <row r="1011" spans="1:14" ht="45">
      <c r="A1011" s="3" t="s">
        <v>4486</v>
      </c>
      <c r="B1011" s="3" t="s">
        <v>4487</v>
      </c>
      <c r="C1011" s="3" t="s">
        <v>5963</v>
      </c>
      <c r="D1011" s="3" t="s">
        <v>6149</v>
      </c>
      <c r="E1011" s="3"/>
      <c r="F1011" s="3" t="s">
        <v>54</v>
      </c>
      <c r="G1011" s="3"/>
      <c r="H1011" s="3"/>
      <c r="I1011" s="3"/>
      <c r="J1011" s="3" t="s">
        <v>4488</v>
      </c>
      <c r="K1011" s="3"/>
      <c r="L1011" s="3" t="s">
        <v>4489</v>
      </c>
      <c r="M1011" s="3" t="str">
        <f>HYPERLINK("https://ceds.ed.gov/cedselementdetails.aspx?termid=6394")</f>
        <v>https://ceds.ed.gov/cedselementdetails.aspx?termid=6394</v>
      </c>
      <c r="N1011" s="3" t="str">
        <f>HYPERLINK("https://ceds.ed.gov/elementComment.aspx?elementName=Person Relationship to Learner Lives With Indicator &amp;elementID=6394", "Click here to submit comment")</f>
        <v>Click here to submit comment</v>
      </c>
    </row>
    <row r="1012" spans="1:14" ht="409.5">
      <c r="A1012" s="3" t="s">
        <v>4490</v>
      </c>
      <c r="B1012" s="3" t="s">
        <v>4491</v>
      </c>
      <c r="C1012" s="4" t="s">
        <v>6598</v>
      </c>
      <c r="D1012" s="3" t="s">
        <v>6277</v>
      </c>
      <c r="E1012" s="3" t="s">
        <v>1480</v>
      </c>
      <c r="F1012" s="3" t="s">
        <v>3</v>
      </c>
      <c r="G1012" s="3"/>
      <c r="H1012" s="3"/>
      <c r="I1012" s="3"/>
      <c r="J1012" s="3" t="s">
        <v>4492</v>
      </c>
      <c r="K1012" s="3"/>
      <c r="L1012" s="3" t="s">
        <v>4493</v>
      </c>
      <c r="M1012" s="3" t="str">
        <f>HYPERLINK("https://ceds.ed.gov/cedselementdetails.aspx?termid=5415")</f>
        <v>https://ceds.ed.gov/cedselementdetails.aspx?termid=5415</v>
      </c>
      <c r="N1012" s="3" t="str">
        <f>HYPERLINK("https://ceds.ed.gov/elementComment.aspx?elementName=Person Relationship to Learner Type &amp;elementID=5415", "Click here to submit comment")</f>
        <v>Click here to submit comment</v>
      </c>
    </row>
    <row r="1013" spans="1:14" ht="409.5">
      <c r="A1013" s="3" t="s">
        <v>4494</v>
      </c>
      <c r="B1013" s="3" t="s">
        <v>4495</v>
      </c>
      <c r="C1013" s="4" t="s">
        <v>6599</v>
      </c>
      <c r="D1013" s="3" t="s">
        <v>6278</v>
      </c>
      <c r="E1013" s="3"/>
      <c r="F1013" s="3" t="s">
        <v>3</v>
      </c>
      <c r="G1013" s="3"/>
      <c r="H1013" s="3"/>
      <c r="I1013" s="3"/>
      <c r="J1013" s="3" t="s">
        <v>4496</v>
      </c>
      <c r="K1013" s="3"/>
      <c r="L1013" s="3" t="s">
        <v>4497</v>
      </c>
      <c r="M1013" s="3" t="str">
        <f>HYPERLINK("https://ceds.ed.gov/cedselementdetails.aspx?termid=5611")</f>
        <v>https://ceds.ed.gov/cedselementdetails.aspx?termid=5611</v>
      </c>
      <c r="N1013" s="3" t="str">
        <f>HYPERLINK("https://ceds.ed.gov/elementComment.aspx?elementName=Personal Information Verification &amp;elementID=5611", "Click here to submit comment")</f>
        <v>Click here to submit comment</v>
      </c>
    </row>
    <row r="1014" spans="1:14" ht="409.5">
      <c r="A1014" s="3" t="s">
        <v>4498</v>
      </c>
      <c r="B1014" s="3" t="s">
        <v>4499</v>
      </c>
      <c r="C1014" s="3" t="s">
        <v>13</v>
      </c>
      <c r="D1014" s="3" t="s">
        <v>6279</v>
      </c>
      <c r="E1014" s="3" t="s">
        <v>6280</v>
      </c>
      <c r="F1014" s="3" t="s">
        <v>3</v>
      </c>
      <c r="G1014" s="3" t="s">
        <v>100</v>
      </c>
      <c r="H1014" s="3"/>
      <c r="I1014" s="3"/>
      <c r="J1014" s="3" t="s">
        <v>4500</v>
      </c>
      <c r="K1014" s="3" t="s">
        <v>4501</v>
      </c>
      <c r="L1014" s="3" t="s">
        <v>4502</v>
      </c>
      <c r="M1014" s="3" t="str">
        <f>HYPERLINK("https://ceds.ed.gov/cedselementdetails.aspx?termid=5212")</f>
        <v>https://ceds.ed.gov/cedselementdetails.aspx?termid=5212</v>
      </c>
      <c r="N1014" s="3" t="str">
        <f>HYPERLINK("https://ceds.ed.gov/elementComment.aspx?elementName=Personal Title or Prefix &amp;elementID=5212", "Click here to submit comment")</f>
        <v>Click here to submit comment</v>
      </c>
    </row>
    <row r="1015" spans="1:14" ht="90">
      <c r="A1015" s="3" t="s">
        <v>4503</v>
      </c>
      <c r="B1015" s="3" t="s">
        <v>4504</v>
      </c>
      <c r="C1015" s="4" t="s">
        <v>6600</v>
      </c>
      <c r="D1015" s="3" t="s">
        <v>229</v>
      </c>
      <c r="E1015" s="3" t="s">
        <v>65</v>
      </c>
      <c r="F1015" s="3"/>
      <c r="G1015" s="3"/>
      <c r="H1015" s="3"/>
      <c r="I1015" s="3"/>
      <c r="J1015" s="3" t="s">
        <v>4505</v>
      </c>
      <c r="K1015" s="3"/>
      <c r="L1015" s="3" t="s">
        <v>4506</v>
      </c>
      <c r="M1015" s="3" t="str">
        <f>HYPERLINK("https://ceds.ed.gov/cedselementdetails.aspx?termid=5842")</f>
        <v>https://ceds.ed.gov/cedselementdetails.aspx?termid=5842</v>
      </c>
      <c r="N1015" s="3" t="str">
        <f>HYPERLINK("https://ceds.ed.gov/elementComment.aspx?elementName=Personnel Policy Type &amp;elementID=5842", "Click here to submit comment")</f>
        <v>Click here to submit comment</v>
      </c>
    </row>
    <row r="1016" spans="1:14" ht="105">
      <c r="A1016" s="3" t="s">
        <v>4507</v>
      </c>
      <c r="B1016" s="3" t="s">
        <v>4508</v>
      </c>
      <c r="C1016" s="3" t="s">
        <v>13</v>
      </c>
      <c r="D1016" s="3" t="s">
        <v>6281</v>
      </c>
      <c r="E1016" s="3" t="s">
        <v>5968</v>
      </c>
      <c r="F1016" s="3" t="s">
        <v>3</v>
      </c>
      <c r="G1016" s="3" t="s">
        <v>1249</v>
      </c>
      <c r="H1016" s="3"/>
      <c r="I1016" s="3"/>
      <c r="J1016" s="3" t="s">
        <v>4509</v>
      </c>
      <c r="K1016" s="3"/>
      <c r="L1016" s="3" t="s">
        <v>4510</v>
      </c>
      <c r="M1016" s="3" t="str">
        <f>HYPERLINK("https://ceds.ed.gov/cedselementdetails.aspx?termid=5213")</f>
        <v>https://ceds.ed.gov/cedselementdetails.aspx?termid=5213</v>
      </c>
      <c r="N1016" s="3" t="str">
        <f>HYPERLINK("https://ceds.ed.gov/elementComment.aspx?elementName=Position Title &amp;elementID=5213", "Click here to submit comment")</f>
        <v>Click here to submit comment</v>
      </c>
    </row>
    <row r="1017" spans="1:14" ht="180">
      <c r="A1017" s="3" t="s">
        <v>4511</v>
      </c>
      <c r="B1017" s="3" t="s">
        <v>4512</v>
      </c>
      <c r="C1017" s="3" t="s">
        <v>5963</v>
      </c>
      <c r="D1017" s="3" t="s">
        <v>236</v>
      </c>
      <c r="E1017" s="3" t="s">
        <v>237</v>
      </c>
      <c r="F1017" s="3"/>
      <c r="G1017" s="3"/>
      <c r="H1017" s="3"/>
      <c r="I1017" s="3" t="s">
        <v>4513</v>
      </c>
      <c r="J1017" s="3" t="s">
        <v>4514</v>
      </c>
      <c r="K1017" s="3"/>
      <c r="L1017" s="3" t="s">
        <v>4515</v>
      </c>
      <c r="M1017" s="3" t="str">
        <f>HYPERLINK("https://ceds.ed.gov/cedselementdetails.aspx?termid=5735")</f>
        <v>https://ceds.ed.gov/cedselementdetails.aspx?termid=5735</v>
      </c>
      <c r="N1017" s="3" t="str">
        <f>HYPERLINK("https://ceds.ed.gov/elementComment.aspx?elementName=Postsecondary Applicant &amp;elementID=5735", "Click here to submit comment")</f>
        <v>Click here to submit comment</v>
      </c>
    </row>
    <row r="1018" spans="1:14" ht="30">
      <c r="A1018" s="3" t="s">
        <v>4520</v>
      </c>
      <c r="B1018" s="3" t="s">
        <v>4521</v>
      </c>
      <c r="C1018" s="3" t="s">
        <v>13</v>
      </c>
      <c r="D1018" s="3" t="s">
        <v>314</v>
      </c>
      <c r="E1018" s="3" t="s">
        <v>24</v>
      </c>
      <c r="F1018" s="3"/>
      <c r="G1018" s="3" t="s">
        <v>106</v>
      </c>
      <c r="H1018" s="3"/>
      <c r="I1018" s="3"/>
      <c r="J1018" s="3" t="s">
        <v>4522</v>
      </c>
      <c r="K1018" s="3"/>
      <c r="L1018" s="3" t="s">
        <v>4523</v>
      </c>
      <c r="M1018" s="3" t="str">
        <f>HYPERLINK("https://ceds.ed.gov/cedselementdetails.aspx?termid=5068")</f>
        <v>https://ceds.ed.gov/cedselementdetails.aspx?termid=5068</v>
      </c>
      <c r="N1018" s="3" t="str">
        <f>HYPERLINK("https://ceds.ed.gov/elementComment.aspx?elementName=Postsecondary Course Title &amp;elementID=5068", "Click here to submit comment")</f>
        <v>Click here to submit comment</v>
      </c>
    </row>
    <row r="1019" spans="1:14" ht="75">
      <c r="A1019" s="3" t="s">
        <v>4524</v>
      </c>
      <c r="B1019" s="3" t="s">
        <v>4525</v>
      </c>
      <c r="C1019" s="4" t="s">
        <v>6362</v>
      </c>
      <c r="D1019" s="3" t="s">
        <v>30</v>
      </c>
      <c r="E1019" s="3" t="s">
        <v>218</v>
      </c>
      <c r="F1019" s="3"/>
      <c r="G1019" s="3"/>
      <c r="H1019" s="3"/>
      <c r="I1019" s="3"/>
      <c r="J1019" s="3" t="s">
        <v>4526</v>
      </c>
      <c r="K1019" s="3"/>
      <c r="L1019" s="3" t="s">
        <v>4527</v>
      </c>
      <c r="M1019" s="3" t="str">
        <f>HYPERLINK("https://ceds.ed.gov/cedselementdetails.aspx?termid=5579")</f>
        <v>https://ceds.ed.gov/cedselementdetails.aspx?termid=5579</v>
      </c>
      <c r="N1019" s="3" t="str">
        <f>HYPERLINK("https://ceds.ed.gov/elementComment.aspx?elementName=Postsecondary Enrollment Action &amp;elementID=5579", "Click here to submit comment")</f>
        <v>Click here to submit comment</v>
      </c>
    </row>
    <row r="1020" spans="1:14" ht="75">
      <c r="A1020" s="3" t="s">
        <v>4528</v>
      </c>
      <c r="B1020" s="3" t="s">
        <v>4529</v>
      </c>
      <c r="C1020" s="4" t="s">
        <v>6497</v>
      </c>
      <c r="D1020" s="3" t="s">
        <v>1708</v>
      </c>
      <c r="E1020" s="3" t="s">
        <v>2476</v>
      </c>
      <c r="F1020" s="3"/>
      <c r="G1020" s="3"/>
      <c r="H1020" s="3"/>
      <c r="I1020" s="3"/>
      <c r="J1020" s="3" t="s">
        <v>4530</v>
      </c>
      <c r="K1020" s="3"/>
      <c r="L1020" s="3" t="s">
        <v>4531</v>
      </c>
      <c r="M1020" s="3" t="str">
        <f>HYPERLINK("https://ceds.ed.gov/cedselementdetails.aspx?termid=5096")</f>
        <v>https://ceds.ed.gov/cedselementdetails.aspx?termid=5096</v>
      </c>
      <c r="N1020" s="3" t="str">
        <f>HYPERLINK("https://ceds.ed.gov/elementComment.aspx?elementName=Postsecondary Enrollment Status &amp;elementID=5096", "Click here to submit comment")</f>
        <v>Click here to submit comment</v>
      </c>
    </row>
    <row r="1021" spans="1:14" ht="90">
      <c r="A1021" s="3" t="s">
        <v>4532</v>
      </c>
      <c r="B1021" s="3" t="s">
        <v>4533</v>
      </c>
      <c r="C1021" s="4" t="s">
        <v>6601</v>
      </c>
      <c r="D1021" s="3" t="s">
        <v>1708</v>
      </c>
      <c r="E1021" s="3" t="s">
        <v>5976</v>
      </c>
      <c r="F1021" s="3"/>
      <c r="G1021" s="3"/>
      <c r="H1021" s="3"/>
      <c r="I1021" s="3"/>
      <c r="J1021" s="3" t="s">
        <v>4534</v>
      </c>
      <c r="K1021" s="3"/>
      <c r="L1021" s="3" t="s">
        <v>4535</v>
      </c>
      <c r="M1021" s="3" t="str">
        <f>HYPERLINK("https://ceds.ed.gov/cedselementdetails.aspx?termid=5095")</f>
        <v>https://ceds.ed.gov/cedselementdetails.aspx?termid=5095</v>
      </c>
      <c r="N1021" s="3" t="str">
        <f>HYPERLINK("https://ceds.ed.gov/elementComment.aspx?elementName=Postsecondary Enrollment Type &amp;elementID=5095", "Click here to submit comment")</f>
        <v>Click here to submit comment</v>
      </c>
    </row>
    <row r="1022" spans="1:14" ht="105">
      <c r="A1022" s="3" t="s">
        <v>4536</v>
      </c>
      <c r="B1022" s="3" t="s">
        <v>4537</v>
      </c>
      <c r="C1022" s="3" t="s">
        <v>5963</v>
      </c>
      <c r="D1022" s="3" t="s">
        <v>53</v>
      </c>
      <c r="E1022" s="3"/>
      <c r="F1022" s="3" t="s">
        <v>54</v>
      </c>
      <c r="G1022" s="3"/>
      <c r="H1022" s="3"/>
      <c r="I1022" s="3" t="s">
        <v>4538</v>
      </c>
      <c r="J1022" s="3" t="s">
        <v>4539</v>
      </c>
      <c r="K1022" s="3"/>
      <c r="L1022" s="3" t="s">
        <v>4540</v>
      </c>
      <c r="M1022" s="3" t="str">
        <f>HYPERLINK("https://ceds.ed.gov/cedselementdetails.aspx?termid=6395")</f>
        <v>https://ceds.ed.gov/cedselementdetails.aspx?termid=6395</v>
      </c>
      <c r="N1022" s="3" t="str">
        <f>HYPERLINK("https://ceds.ed.gov/elementComment.aspx?elementName=Postsecondary Entering Student Indicator &amp;elementID=6395", "Click here to submit comment")</f>
        <v>Click here to submit comment</v>
      </c>
    </row>
    <row r="1023" spans="1:14" ht="120">
      <c r="A1023" s="3" t="s">
        <v>4541</v>
      </c>
      <c r="B1023" s="3" t="s">
        <v>4542</v>
      </c>
      <c r="C1023" s="3" t="s">
        <v>13</v>
      </c>
      <c r="D1023" s="3" t="s">
        <v>53</v>
      </c>
      <c r="E1023" s="3"/>
      <c r="F1023" s="3" t="s">
        <v>54</v>
      </c>
      <c r="G1023" s="3" t="s">
        <v>100</v>
      </c>
      <c r="H1023" s="3"/>
      <c r="I1023" s="3" t="s">
        <v>4538</v>
      </c>
      <c r="J1023" s="3" t="s">
        <v>4543</v>
      </c>
      <c r="K1023" s="3"/>
      <c r="L1023" s="3" t="s">
        <v>4544</v>
      </c>
      <c r="M1023" s="3" t="str">
        <f>HYPERLINK("https://ceds.ed.gov/cedselementdetails.aspx?termid=6396")</f>
        <v>https://ceds.ed.gov/cedselementdetails.aspx?termid=6396</v>
      </c>
      <c r="N1023" s="3" t="str">
        <f>HYPERLINK("https://ceds.ed.gov/elementComment.aspx?elementName=Postsecondary Student Entering Term &amp;elementID=6396", "Click here to submit comment")</f>
        <v>Click here to submit comment</v>
      </c>
    </row>
    <row r="1024" spans="1:14" ht="105">
      <c r="A1024" s="3" t="s">
        <v>4545</v>
      </c>
      <c r="B1024" s="3" t="s">
        <v>4546</v>
      </c>
      <c r="C1024" s="3" t="s">
        <v>5963</v>
      </c>
      <c r="D1024" s="3" t="s">
        <v>1708</v>
      </c>
      <c r="E1024" s="3" t="s">
        <v>237</v>
      </c>
      <c r="F1024" s="3"/>
      <c r="G1024" s="3"/>
      <c r="H1024" s="3"/>
      <c r="I1024" s="3" t="s">
        <v>4547</v>
      </c>
      <c r="J1024" s="3" t="s">
        <v>4548</v>
      </c>
      <c r="K1024" s="3"/>
      <c r="L1024" s="3" t="s">
        <v>4549</v>
      </c>
      <c r="M1024" s="3" t="str">
        <f>HYPERLINK("https://ceds.ed.gov/cedselementdetails.aspx?termid=5741")</f>
        <v>https://ceds.ed.gov/cedselementdetails.aspx?termid=5741</v>
      </c>
      <c r="N1024" s="3" t="str">
        <f>HYPERLINK("https://ceds.ed.gov/elementComment.aspx?elementName=Postsecondary Student Housing On-Campus &amp;elementID=5741", "Click here to submit comment")</f>
        <v>Click here to submit comment</v>
      </c>
    </row>
    <row r="1025" spans="1:14" ht="75">
      <c r="A1025" s="3" t="s">
        <v>4550</v>
      </c>
      <c r="B1025" s="3" t="s">
        <v>4551</v>
      </c>
      <c r="C1025" s="4" t="s">
        <v>6602</v>
      </c>
      <c r="D1025" s="3" t="s">
        <v>30</v>
      </c>
      <c r="E1025" s="3" t="s">
        <v>6069</v>
      </c>
      <c r="F1025" s="3"/>
      <c r="G1025" s="3"/>
      <c r="H1025" s="3"/>
      <c r="I1025" s="3"/>
      <c r="J1025" s="3" t="s">
        <v>4552</v>
      </c>
      <c r="K1025" s="3"/>
      <c r="L1025" s="3" t="s">
        <v>4553</v>
      </c>
      <c r="M1025" s="3" t="str">
        <f>HYPERLINK("https://ceds.ed.gov/cedselementdetails.aspx?termid=5563")</f>
        <v>https://ceds.ed.gov/cedselementdetails.aspx?termid=5563</v>
      </c>
      <c r="N1025" s="3" t="str">
        <f>HYPERLINK("https://ceds.ed.gov/elementComment.aspx?elementName=Pre and Post Test Indicator &amp;elementID=5563", "Click here to submit comment")</f>
        <v>Click here to submit comment</v>
      </c>
    </row>
    <row r="1026" spans="1:14" ht="120">
      <c r="A1026" s="3" t="s">
        <v>4554</v>
      </c>
      <c r="B1026" s="3" t="s">
        <v>4555</v>
      </c>
      <c r="C1026" s="4" t="s">
        <v>6603</v>
      </c>
      <c r="D1026" s="3" t="s">
        <v>1606</v>
      </c>
      <c r="E1026" s="3" t="s">
        <v>6283</v>
      </c>
      <c r="F1026" s="3"/>
      <c r="G1026" s="3"/>
      <c r="H1026" s="3"/>
      <c r="I1026" s="3" t="s">
        <v>4556</v>
      </c>
      <c r="J1026" s="3" t="s">
        <v>4557</v>
      </c>
      <c r="K1026" s="3"/>
      <c r="L1026" s="3" t="s">
        <v>4558</v>
      </c>
      <c r="M1026" s="3" t="str">
        <f>HYPERLINK("https://ceds.ed.gov/cedselementdetails.aspx?termid=5705")</f>
        <v>https://ceds.ed.gov/cedselementdetails.aspx?termid=5705</v>
      </c>
      <c r="N1026" s="3" t="str">
        <f>HYPERLINK("https://ceds.ed.gov/elementComment.aspx?elementName=Predominant Calendar System &amp;elementID=5705", "Click here to submit comment")</f>
        <v>Click here to submit comment</v>
      </c>
    </row>
    <row r="1027" spans="1:14" ht="60">
      <c r="A1027" s="3" t="s">
        <v>4559</v>
      </c>
      <c r="B1027" s="3" t="s">
        <v>4560</v>
      </c>
      <c r="C1027" s="4" t="s">
        <v>6561</v>
      </c>
      <c r="D1027" s="3" t="s">
        <v>3399</v>
      </c>
      <c r="E1027" s="3" t="s">
        <v>2</v>
      </c>
      <c r="F1027" s="3"/>
      <c r="G1027" s="3"/>
      <c r="H1027" s="3"/>
      <c r="I1027" s="3"/>
      <c r="J1027" s="3" t="s">
        <v>4561</v>
      </c>
      <c r="K1027" s="3"/>
      <c r="L1027" s="3" t="s">
        <v>4562</v>
      </c>
      <c r="M1027" s="3" t="str">
        <f>HYPERLINK("https://ceds.ed.gov/cedselementdetails.aspx?termid=5481")</f>
        <v>https://ceds.ed.gov/cedselementdetails.aspx?termid=5481</v>
      </c>
      <c r="N1027" s="3" t="str">
        <f>HYPERLINK("https://ceds.ed.gov/elementComment.aspx?elementName=Prekindergarten Daily Length &amp;elementID=5481", "Click here to submit comment")</f>
        <v>Click here to submit comment</v>
      </c>
    </row>
    <row r="1028" spans="1:14" ht="105">
      <c r="A1028" s="3" t="s">
        <v>4563</v>
      </c>
      <c r="B1028" s="3" t="s">
        <v>4564</v>
      </c>
      <c r="C1028" s="4" t="s">
        <v>6604</v>
      </c>
      <c r="D1028" s="3" t="s">
        <v>3399</v>
      </c>
      <c r="E1028" s="3" t="s">
        <v>2</v>
      </c>
      <c r="F1028" s="3"/>
      <c r="G1028" s="3"/>
      <c r="H1028" s="3"/>
      <c r="I1028" s="3"/>
      <c r="J1028" s="3" t="s">
        <v>4565</v>
      </c>
      <c r="K1028" s="3"/>
      <c r="L1028" s="3" t="s">
        <v>4566</v>
      </c>
      <c r="M1028" s="3" t="str">
        <f>HYPERLINK("https://ceds.ed.gov/cedselementdetails.aspx?termid=5216")</f>
        <v>https://ceds.ed.gov/cedselementdetails.aspx?termid=5216</v>
      </c>
      <c r="N1028" s="3" t="str">
        <f>HYPERLINK("https://ceds.ed.gov/elementComment.aspx?elementName=Prekindergarten Eligibility &amp;elementID=5216", "Click here to submit comment")</f>
        <v>Click here to submit comment</v>
      </c>
    </row>
    <row r="1029" spans="1:14" ht="90">
      <c r="A1029" s="3" t="s">
        <v>4567</v>
      </c>
      <c r="B1029" s="3" t="s">
        <v>4568</v>
      </c>
      <c r="C1029" s="4" t="s">
        <v>6605</v>
      </c>
      <c r="D1029" s="3" t="s">
        <v>3399</v>
      </c>
      <c r="E1029" s="3" t="s">
        <v>2</v>
      </c>
      <c r="F1029" s="3"/>
      <c r="G1029" s="3"/>
      <c r="H1029" s="3"/>
      <c r="I1029" s="3"/>
      <c r="J1029" s="3" t="s">
        <v>4569</v>
      </c>
      <c r="K1029" s="3"/>
      <c r="L1029" s="3" t="s">
        <v>4570</v>
      </c>
      <c r="M1029" s="3" t="str">
        <f>HYPERLINK("https://ceds.ed.gov/cedselementdetails.aspx?termid=5217")</f>
        <v>https://ceds.ed.gov/cedselementdetails.aspx?termid=5217</v>
      </c>
      <c r="N1029" s="3" t="str">
        <f>HYPERLINK("https://ceds.ed.gov/elementComment.aspx?elementName=Prekindergarten Eligible Ages for Non-IDEA Students &amp;elementID=5217", "Click here to submit comment")</f>
        <v>Click here to submit comment</v>
      </c>
    </row>
    <row r="1030" spans="1:14" ht="180">
      <c r="A1030" s="3" t="s">
        <v>4571</v>
      </c>
      <c r="B1030" s="3" t="s">
        <v>4572</v>
      </c>
      <c r="C1030" s="4" t="s">
        <v>6606</v>
      </c>
      <c r="D1030" s="3" t="s">
        <v>8</v>
      </c>
      <c r="E1030" s="3"/>
      <c r="F1030" s="3"/>
      <c r="G1030" s="3"/>
      <c r="H1030" s="3"/>
      <c r="I1030" s="3"/>
      <c r="J1030" s="3" t="s">
        <v>4573</v>
      </c>
      <c r="K1030" s="3"/>
      <c r="L1030" s="3" t="s">
        <v>4574</v>
      </c>
      <c r="M1030" s="3" t="str">
        <f>HYPERLINK("https://ceds.ed.gov/cedselementdetails.aspx?termid=5593")</f>
        <v>https://ceds.ed.gov/cedselementdetails.aspx?termid=5593</v>
      </c>
      <c r="N1030" s="3" t="str">
        <f>HYPERLINK("https://ceds.ed.gov/elementComment.aspx?elementName=Present Attendance Category &amp;elementID=5593", "Click here to submit comment")</f>
        <v>Click here to submit comment</v>
      </c>
    </row>
    <row r="1031" spans="1:14" ht="180">
      <c r="A1031" s="3" t="s">
        <v>4575</v>
      </c>
      <c r="B1031" s="3" t="s">
        <v>4576</v>
      </c>
      <c r="C1031" s="3" t="s">
        <v>13</v>
      </c>
      <c r="D1031" s="3" t="s">
        <v>1494</v>
      </c>
      <c r="E1031" s="3" t="s">
        <v>1495</v>
      </c>
      <c r="F1031" s="3"/>
      <c r="G1031" s="3" t="s">
        <v>1461</v>
      </c>
      <c r="H1031" s="3"/>
      <c r="I1031" s="3" t="s">
        <v>358</v>
      </c>
      <c r="J1031" s="3" t="s">
        <v>4577</v>
      </c>
      <c r="K1031" s="3"/>
      <c r="L1031" s="3" t="s">
        <v>4578</v>
      </c>
      <c r="M1031" s="3" t="str">
        <f>HYPERLINK("https://ceds.ed.gov/cedselementdetails.aspx?termid=5732")</f>
        <v>https://ceds.ed.gov/cedselementdetails.aspx?termid=5732</v>
      </c>
      <c r="N1031" s="3" t="str">
        <f>HYPERLINK("https://ceds.ed.gov/elementComment.aspx?elementName=Price of Attendance &amp;elementID=5732", "Click here to submit comment")</f>
        <v>Click here to submit comment</v>
      </c>
    </row>
    <row r="1032" spans="1:14" ht="45">
      <c r="A1032" s="3" t="s">
        <v>4579</v>
      </c>
      <c r="B1032" s="3" t="s">
        <v>4580</v>
      </c>
      <c r="C1032" s="3" t="s">
        <v>5963</v>
      </c>
      <c r="D1032" s="3" t="s">
        <v>1723</v>
      </c>
      <c r="E1032" s="3"/>
      <c r="F1032" s="3"/>
      <c r="G1032" s="3"/>
      <c r="H1032" s="3"/>
      <c r="I1032" s="3"/>
      <c r="J1032" s="3" t="s">
        <v>4581</v>
      </c>
      <c r="K1032" s="3"/>
      <c r="L1032" s="3" t="s">
        <v>4582</v>
      </c>
      <c r="M1032" s="3" t="str">
        <f>HYPERLINK("https://ceds.ed.gov/cedselementdetails.aspx?termid=5516")</f>
        <v>https://ceds.ed.gov/cedselementdetails.aspx?termid=5516</v>
      </c>
      <c r="N1032" s="3" t="str">
        <f>HYPERLINK("https://ceds.ed.gov/elementComment.aspx?elementName=Primary Assignment Indicator &amp;elementID=5516", "Click here to submit comment")</f>
        <v>Click here to submit comment</v>
      </c>
    </row>
    <row r="1033" spans="1:14" ht="90">
      <c r="A1033" s="3" t="s">
        <v>4583</v>
      </c>
      <c r="B1033" s="3" t="s">
        <v>4584</v>
      </c>
      <c r="C1033" s="3" t="s">
        <v>5963</v>
      </c>
      <c r="D1033" s="3" t="s">
        <v>6284</v>
      </c>
      <c r="E1033" s="3"/>
      <c r="F1033" s="3" t="s">
        <v>54</v>
      </c>
      <c r="G1033" s="3"/>
      <c r="H1033" s="3"/>
      <c r="I1033" s="3"/>
      <c r="J1033" s="3" t="s">
        <v>4585</v>
      </c>
      <c r="K1033" s="3"/>
      <c r="L1033" s="3" t="s">
        <v>4586</v>
      </c>
      <c r="M1033" s="3" t="str">
        <f>HYPERLINK("https://ceds.ed.gov/cedselementdetails.aspx?termid=6397")</f>
        <v>https://ceds.ed.gov/cedselementdetails.aspx?termid=6397</v>
      </c>
      <c r="N1033" s="3" t="str">
        <f>HYPERLINK("https://ceds.ed.gov/elementComment.aspx?elementName=Primary Contact Indicator &amp;elementID=6397", "Click here to submit comment")</f>
        <v>Click here to submit comment</v>
      </c>
    </row>
    <row r="1034" spans="1:14" ht="210">
      <c r="A1034" s="3" t="s">
        <v>4587</v>
      </c>
      <c r="B1034" s="3" t="s">
        <v>4588</v>
      </c>
      <c r="C1034" s="4" t="s">
        <v>6607</v>
      </c>
      <c r="D1034" s="3" t="s">
        <v>6285</v>
      </c>
      <c r="E1034" s="3" t="s">
        <v>6286</v>
      </c>
      <c r="F1034" s="3" t="s">
        <v>3</v>
      </c>
      <c r="G1034" s="3"/>
      <c r="H1034" s="3"/>
      <c r="I1034" s="3"/>
      <c r="J1034" s="3" t="s">
        <v>4589</v>
      </c>
      <c r="K1034" s="3"/>
      <c r="L1034" s="3" t="s">
        <v>4590</v>
      </c>
      <c r="M1034" s="3" t="str">
        <f>HYPERLINK("https://ceds.ed.gov/cedselementdetails.aspx?termid=5218")</f>
        <v>https://ceds.ed.gov/cedselementdetails.aspx?termid=5218</v>
      </c>
      <c r="N1034" s="3" t="str">
        <f>HYPERLINK("https://ceds.ed.gov/elementComment.aspx?elementName=Primary Disability Type &amp;elementID=5218", "Click here to submit comment")</f>
        <v>Click here to submit comment</v>
      </c>
    </row>
    <row r="1035" spans="1:14" ht="409.5">
      <c r="A1035" s="3" t="s">
        <v>4591</v>
      </c>
      <c r="B1035" s="3" t="s">
        <v>4592</v>
      </c>
      <c r="C1035" s="3" t="s">
        <v>5963</v>
      </c>
      <c r="D1035" s="3" t="s">
        <v>6287</v>
      </c>
      <c r="E1035" s="3" t="s">
        <v>5968</v>
      </c>
      <c r="F1035" s="3" t="s">
        <v>3</v>
      </c>
      <c r="G1035" s="3"/>
      <c r="H1035" s="3"/>
      <c r="I1035" s="3"/>
      <c r="J1035" s="3" t="s">
        <v>4593</v>
      </c>
      <c r="K1035" s="3"/>
      <c r="L1035" s="3" t="s">
        <v>4594</v>
      </c>
      <c r="M1035" s="3" t="str">
        <f>HYPERLINK("https://ceds.ed.gov/cedselementdetails.aspx?termid=5219")</f>
        <v>https://ceds.ed.gov/cedselementdetails.aspx?termid=5219</v>
      </c>
      <c r="N1035" s="3" t="str">
        <f>HYPERLINK("https://ceds.ed.gov/elementComment.aspx?elementName=Primary Telephone Number Indicator &amp;elementID=5219", "Click here to submit comment")</f>
        <v>Click here to submit comment</v>
      </c>
    </row>
    <row r="1036" spans="1:14" ht="240">
      <c r="A1036" s="3" t="s">
        <v>4595</v>
      </c>
      <c r="B1036" s="3" t="s">
        <v>4596</v>
      </c>
      <c r="C1036" s="4" t="s">
        <v>6608</v>
      </c>
      <c r="D1036" s="3" t="s">
        <v>383</v>
      </c>
      <c r="E1036" s="3" t="s">
        <v>2147</v>
      </c>
      <c r="F1036" s="3"/>
      <c r="G1036" s="3"/>
      <c r="H1036" s="3"/>
      <c r="I1036" s="3"/>
      <c r="J1036" s="3" t="s">
        <v>4597</v>
      </c>
      <c r="K1036" s="3"/>
      <c r="L1036" s="3" t="s">
        <v>4598</v>
      </c>
      <c r="M1036" s="3" t="str">
        <f>HYPERLINK("https://ceds.ed.gov/cedselementdetails.aspx?termid=5319")</f>
        <v>https://ceds.ed.gov/cedselementdetails.aspx?termid=5319</v>
      </c>
      <c r="N1036" s="3" t="str">
        <f>HYPERLINK("https://ceds.ed.gov/elementComment.aspx?elementName=Prior Early Childhood Experience &amp;elementID=5319", "Click here to submit comment")</f>
        <v>Click here to submit comment</v>
      </c>
    </row>
    <row r="1037" spans="1:14" ht="45">
      <c r="A1037" s="3" t="s">
        <v>4607</v>
      </c>
      <c r="B1037" s="3" t="s">
        <v>4608</v>
      </c>
      <c r="C1037" s="3" t="s">
        <v>5963</v>
      </c>
      <c r="D1037" s="3" t="s">
        <v>1542</v>
      </c>
      <c r="E1037" s="3" t="s">
        <v>202</v>
      </c>
      <c r="F1037" s="3"/>
      <c r="G1037" s="3"/>
      <c r="H1037" s="3"/>
      <c r="I1037" s="3"/>
      <c r="J1037" s="3" t="s">
        <v>4609</v>
      </c>
      <c r="K1037" s="3"/>
      <c r="L1037" s="3" t="s">
        <v>4610</v>
      </c>
      <c r="M1037" s="3" t="str">
        <f>HYPERLINK("https://ceds.ed.gov/cedselementdetails.aspx?termid=5806")</f>
        <v>https://ceds.ed.gov/cedselementdetails.aspx?termid=5806</v>
      </c>
      <c r="N1037" s="3" t="str">
        <f>HYPERLINK("https://ceds.ed.gov/elementComment.aspx?elementName=Professional Association Membership Status &amp;elementID=5806", "Click here to submit comment")</f>
        <v>Click here to submit comment</v>
      </c>
    </row>
    <row r="1038" spans="1:14" ht="30">
      <c r="A1038" s="3" t="s">
        <v>4611</v>
      </c>
      <c r="B1038" s="3" t="s">
        <v>4612</v>
      </c>
      <c r="C1038" s="3" t="s">
        <v>13</v>
      </c>
      <c r="D1038" s="3" t="s">
        <v>1542</v>
      </c>
      <c r="E1038" s="3" t="s">
        <v>202</v>
      </c>
      <c r="F1038" s="3"/>
      <c r="G1038" s="3" t="s">
        <v>106</v>
      </c>
      <c r="H1038" s="3"/>
      <c r="I1038" s="3"/>
      <c r="J1038" s="3" t="s">
        <v>4613</v>
      </c>
      <c r="K1038" s="3"/>
      <c r="L1038" s="3" t="s">
        <v>4614</v>
      </c>
      <c r="M1038" s="3" t="str">
        <f>HYPERLINK("https://ceds.ed.gov/cedselementdetails.aspx?termid=5807")</f>
        <v>https://ceds.ed.gov/cedselementdetails.aspx?termid=5807</v>
      </c>
      <c r="N1038" s="3" t="str">
        <f>HYPERLINK("https://ceds.ed.gov/elementComment.aspx?elementName=Professional Association Name &amp;elementID=5807", "Click here to submit comment")</f>
        <v>Click here to submit comment</v>
      </c>
    </row>
    <row r="1039" spans="1:14" ht="30">
      <c r="A1039" s="3" t="s">
        <v>4615</v>
      </c>
      <c r="B1039" s="3" t="s">
        <v>4616</v>
      </c>
      <c r="C1039" s="3" t="s">
        <v>13</v>
      </c>
      <c r="D1039" s="3" t="s">
        <v>4617</v>
      </c>
      <c r="E1039" s="3"/>
      <c r="F1039" s="3" t="s">
        <v>54</v>
      </c>
      <c r="G1039" s="3" t="s">
        <v>100</v>
      </c>
      <c r="H1039" s="3"/>
      <c r="I1039" s="3"/>
      <c r="J1039" s="3" t="s">
        <v>4618</v>
      </c>
      <c r="K1039" s="3"/>
      <c r="L1039" s="3" t="s">
        <v>4619</v>
      </c>
      <c r="M1039" s="3" t="str">
        <f>HYPERLINK("https://ceds.ed.gov/cedselementdetails.aspx?termid=6398")</f>
        <v>https://ceds.ed.gov/cedselementdetails.aspx?termid=6398</v>
      </c>
      <c r="N1039" s="3" t="str">
        <f>HYPERLINK("https://ceds.ed.gov/elementComment.aspx?elementName=Professional Certificate or License Number &amp;elementID=6398", "Click here to submit comment")</f>
        <v>Click here to submit comment</v>
      </c>
    </row>
    <row r="1040" spans="1:14" ht="75">
      <c r="A1040" s="3" t="s">
        <v>4620</v>
      </c>
      <c r="B1040" s="3" t="s">
        <v>4621</v>
      </c>
      <c r="C1040" s="3" t="s">
        <v>13</v>
      </c>
      <c r="D1040" s="3" t="s">
        <v>6288</v>
      </c>
      <c r="E1040" s="3"/>
      <c r="F1040" s="3" t="s">
        <v>54</v>
      </c>
      <c r="G1040" s="3" t="s">
        <v>100</v>
      </c>
      <c r="H1040" s="3"/>
      <c r="I1040" s="3"/>
      <c r="J1040" s="3" t="s">
        <v>4622</v>
      </c>
      <c r="K1040" s="3"/>
      <c r="L1040" s="3" t="s">
        <v>4623</v>
      </c>
      <c r="M1040" s="3" t="str">
        <f>HYPERLINK("https://ceds.ed.gov/cedselementdetails.aspx?termid=6402")</f>
        <v>https://ceds.ed.gov/cedselementdetails.aspx?termid=6402</v>
      </c>
      <c r="N1040" s="3" t="str">
        <f>HYPERLINK("https://ceds.ed.gov/elementComment.aspx?elementName=Professional Development Activity Approval Code &amp;elementID=6402", "Click here to submit comment")</f>
        <v>Click here to submit comment</v>
      </c>
    </row>
    <row r="1041" spans="1:14" ht="90">
      <c r="A1041" s="3" t="s">
        <v>4624</v>
      </c>
      <c r="B1041" s="3" t="s">
        <v>4625</v>
      </c>
      <c r="C1041" s="4" t="s">
        <v>6611</v>
      </c>
      <c r="D1041" s="3" t="s">
        <v>6288</v>
      </c>
      <c r="E1041" s="3"/>
      <c r="F1041" s="3" t="s">
        <v>54</v>
      </c>
      <c r="G1041" s="3"/>
      <c r="H1041" s="3"/>
      <c r="I1041" s="3"/>
      <c r="J1041" s="3" t="s">
        <v>4626</v>
      </c>
      <c r="K1041" s="3"/>
      <c r="L1041" s="3" t="s">
        <v>4627</v>
      </c>
      <c r="M1041" s="3" t="str">
        <f>HYPERLINK("https://ceds.ed.gov/cedselementdetails.aspx?termid=6403")</f>
        <v>https://ceds.ed.gov/cedselementdetails.aspx?termid=6403</v>
      </c>
      <c r="N1041" s="3" t="str">
        <f>HYPERLINK("https://ceds.ed.gov/elementComment.aspx?elementName=Professional Development Activity Approved For &amp;elementID=6403", "Click here to submit comment")</f>
        <v>Click here to submit comment</v>
      </c>
    </row>
    <row r="1042" spans="1:14" ht="75">
      <c r="A1042" s="3" t="s">
        <v>4628</v>
      </c>
      <c r="B1042" s="3" t="s">
        <v>4629</v>
      </c>
      <c r="C1042" s="3" t="s">
        <v>13</v>
      </c>
      <c r="D1042" s="3" t="s">
        <v>6288</v>
      </c>
      <c r="E1042" s="3"/>
      <c r="F1042" s="3" t="s">
        <v>54</v>
      </c>
      <c r="G1042" s="3" t="s">
        <v>100</v>
      </c>
      <c r="H1042" s="3"/>
      <c r="I1042" s="3"/>
      <c r="J1042" s="3" t="s">
        <v>4630</v>
      </c>
      <c r="K1042" s="3"/>
      <c r="L1042" s="3" t="s">
        <v>4631</v>
      </c>
      <c r="M1042" s="3" t="str">
        <f>HYPERLINK("https://ceds.ed.gov/cedselementdetails.aspx?termid=6404")</f>
        <v>https://ceds.ed.gov/cedselementdetails.aspx?termid=6404</v>
      </c>
      <c r="N1042" s="3" t="str">
        <f>HYPERLINK("https://ceds.ed.gov/elementComment.aspx?elementName=Professional Development Activity Code &amp;elementID=6404", "Click here to submit comment")</f>
        <v>Click here to submit comment</v>
      </c>
    </row>
    <row r="1043" spans="1:14" ht="75">
      <c r="A1043" s="3" t="s">
        <v>4632</v>
      </c>
      <c r="B1043" s="3" t="s">
        <v>4633</v>
      </c>
      <c r="C1043" s="3" t="s">
        <v>13</v>
      </c>
      <c r="D1043" s="3" t="s">
        <v>6288</v>
      </c>
      <c r="E1043" s="3"/>
      <c r="F1043" s="3" t="s">
        <v>54</v>
      </c>
      <c r="G1043" s="3" t="s">
        <v>1461</v>
      </c>
      <c r="H1043" s="3"/>
      <c r="I1043" s="3"/>
      <c r="J1043" s="3" t="s">
        <v>4634</v>
      </c>
      <c r="K1043" s="3"/>
      <c r="L1043" s="3" t="s">
        <v>4635</v>
      </c>
      <c r="M1043" s="3" t="str">
        <f>HYPERLINK("https://ceds.ed.gov/cedselementdetails.aspx?termid=6405")</f>
        <v>https://ceds.ed.gov/cedselementdetails.aspx?termid=6405</v>
      </c>
      <c r="N1043" s="3" t="str">
        <f>HYPERLINK("https://ceds.ed.gov/elementComment.aspx?elementName=Professional Development Activity Cost &amp;elementID=6405", "Click here to submit comment")</f>
        <v>Click here to submit comment</v>
      </c>
    </row>
    <row r="1044" spans="1:14" ht="75">
      <c r="A1044" s="3" t="s">
        <v>4636</v>
      </c>
      <c r="B1044" s="3" t="s">
        <v>4637</v>
      </c>
      <c r="C1044" s="4" t="s">
        <v>6612</v>
      </c>
      <c r="D1044" s="3" t="s">
        <v>6288</v>
      </c>
      <c r="E1044" s="3"/>
      <c r="F1044" s="3" t="s">
        <v>54</v>
      </c>
      <c r="G1044" s="3"/>
      <c r="H1044" s="3"/>
      <c r="I1044" s="3"/>
      <c r="J1044" s="3" t="s">
        <v>4638</v>
      </c>
      <c r="K1044" s="3"/>
      <c r="L1044" s="3" t="s">
        <v>4639</v>
      </c>
      <c r="M1044" s="3" t="str">
        <f>HYPERLINK("https://ceds.ed.gov/cedselementdetails.aspx?termid=6406")</f>
        <v>https://ceds.ed.gov/cedselementdetails.aspx?termid=6406</v>
      </c>
      <c r="N1044" s="3" t="str">
        <f>HYPERLINK("https://ceds.ed.gov/elementComment.aspx?elementName=Professional Development Activity Credit Type &amp;elementID=6406", "Click here to submit comment")</f>
        <v>Click here to submit comment</v>
      </c>
    </row>
    <row r="1045" spans="1:14" ht="75">
      <c r="A1045" s="3" t="s">
        <v>4640</v>
      </c>
      <c r="B1045" s="3" t="s">
        <v>4641</v>
      </c>
      <c r="C1045" s="3" t="s">
        <v>13</v>
      </c>
      <c r="D1045" s="3" t="s">
        <v>6288</v>
      </c>
      <c r="E1045" s="3"/>
      <c r="F1045" s="3" t="s">
        <v>54</v>
      </c>
      <c r="G1045" s="3" t="s">
        <v>1461</v>
      </c>
      <c r="H1045" s="3"/>
      <c r="I1045" s="3"/>
      <c r="J1045" s="3" t="s">
        <v>4642</v>
      </c>
      <c r="K1045" s="3"/>
      <c r="L1045" s="3" t="s">
        <v>4643</v>
      </c>
      <c r="M1045" s="3" t="str">
        <f>HYPERLINK("https://ceds.ed.gov/cedselementdetails.aspx?termid=6407")</f>
        <v>https://ceds.ed.gov/cedselementdetails.aspx?termid=6407</v>
      </c>
      <c r="N1045" s="3" t="str">
        <f>HYPERLINK("https://ceds.ed.gov/elementComment.aspx?elementName=Professional Development Activity Credits &amp;elementID=6407", "Click here to submit comment")</f>
        <v>Click here to submit comment</v>
      </c>
    </row>
    <row r="1046" spans="1:14" ht="75">
      <c r="A1046" s="3" t="s">
        <v>4644</v>
      </c>
      <c r="B1046" s="3" t="s">
        <v>4645</v>
      </c>
      <c r="C1046" s="3" t="s">
        <v>13</v>
      </c>
      <c r="D1046" s="3" t="s">
        <v>6288</v>
      </c>
      <c r="E1046" s="3"/>
      <c r="F1046" s="3" t="s">
        <v>54</v>
      </c>
      <c r="G1046" s="3" t="s">
        <v>319</v>
      </c>
      <c r="H1046" s="3"/>
      <c r="I1046" s="3"/>
      <c r="J1046" s="3" t="s">
        <v>4646</v>
      </c>
      <c r="K1046" s="3"/>
      <c r="L1046" s="3" t="s">
        <v>4647</v>
      </c>
      <c r="M1046" s="3" t="str">
        <f>HYPERLINK("https://ceds.ed.gov/cedselementdetails.aspx?termid=6408")</f>
        <v>https://ceds.ed.gov/cedselementdetails.aspx?termid=6408</v>
      </c>
      <c r="N1046" s="3" t="str">
        <f>HYPERLINK("https://ceds.ed.gov/elementComment.aspx?elementName=Professional Development Activity Description &amp;elementID=6408", "Click here to submit comment")</f>
        <v>Click here to submit comment</v>
      </c>
    </row>
    <row r="1047" spans="1:14" ht="409.5">
      <c r="A1047" s="3" t="s">
        <v>4648</v>
      </c>
      <c r="B1047" s="3" t="s">
        <v>4649</v>
      </c>
      <c r="C1047" s="4" t="s">
        <v>6613</v>
      </c>
      <c r="D1047" s="3" t="s">
        <v>4650</v>
      </c>
      <c r="E1047" s="3"/>
      <c r="F1047" s="3" t="s">
        <v>54</v>
      </c>
      <c r="G1047" s="3"/>
      <c r="H1047" s="3"/>
      <c r="I1047" s="3" t="s">
        <v>4651</v>
      </c>
      <c r="J1047" s="3" t="s">
        <v>4652</v>
      </c>
      <c r="K1047" s="3"/>
      <c r="L1047" s="3" t="s">
        <v>4653</v>
      </c>
      <c r="M1047" s="3" t="str">
        <f>HYPERLINK("https://ceds.ed.gov/cedselementdetails.aspx?termid=6245")</f>
        <v>https://ceds.ed.gov/cedselementdetails.aspx?termid=6245</v>
      </c>
      <c r="N1047" s="3" t="str">
        <f>HYPERLINK("https://ceds.ed.gov/elementComment.aspx?elementName=Professional Development Activity Education Levels Addressed &amp;elementID=6245", "Click here to submit comment")</f>
        <v>Click here to submit comment</v>
      </c>
    </row>
    <row r="1048" spans="1:14" ht="75">
      <c r="A1048" s="3" t="s">
        <v>4654</v>
      </c>
      <c r="B1048" s="3" t="s">
        <v>4655</v>
      </c>
      <c r="C1048" s="3" t="s">
        <v>13</v>
      </c>
      <c r="D1048" s="3" t="s">
        <v>6288</v>
      </c>
      <c r="E1048" s="3"/>
      <c r="F1048" s="3" t="s">
        <v>54</v>
      </c>
      <c r="G1048" s="3" t="s">
        <v>73</v>
      </c>
      <c r="H1048" s="3"/>
      <c r="I1048" s="3"/>
      <c r="J1048" s="3" t="s">
        <v>4656</v>
      </c>
      <c r="K1048" s="3"/>
      <c r="L1048" s="3" t="s">
        <v>4657</v>
      </c>
      <c r="M1048" s="3" t="str">
        <f>HYPERLINK("https://ceds.ed.gov/cedselementdetails.aspx?termid=6421")</f>
        <v>https://ceds.ed.gov/cedselementdetails.aspx?termid=6421</v>
      </c>
      <c r="N1048" s="3" t="str">
        <f>HYPERLINK("https://ceds.ed.gov/elementComment.aspx?elementName=Professional Development Activity Expiration Date &amp;elementID=6421", "Click here to submit comment")</f>
        <v>Click here to submit comment</v>
      </c>
    </row>
    <row r="1049" spans="1:14" ht="60">
      <c r="A1049" s="3" t="s">
        <v>4658</v>
      </c>
      <c r="B1049" s="3" t="s">
        <v>4659</v>
      </c>
      <c r="C1049" s="3" t="s">
        <v>13</v>
      </c>
      <c r="D1049" s="3" t="s">
        <v>4660</v>
      </c>
      <c r="E1049" s="3" t="s">
        <v>202</v>
      </c>
      <c r="F1049" s="3"/>
      <c r="G1049" s="3" t="s">
        <v>100</v>
      </c>
      <c r="H1049" s="3" t="s">
        <v>4661</v>
      </c>
      <c r="I1049" s="3"/>
      <c r="J1049" s="3" t="s">
        <v>4662</v>
      </c>
      <c r="K1049" s="3"/>
      <c r="L1049" s="3" t="s">
        <v>4663</v>
      </c>
      <c r="M1049" s="3" t="str">
        <f>HYPERLINK("https://ceds.ed.gov/cedselementdetails.aspx?termid=5808")</f>
        <v>https://ceds.ed.gov/cedselementdetails.aspx?termid=5808</v>
      </c>
      <c r="N1049" s="3" t="str">
        <f>HYPERLINK("https://ceds.ed.gov/elementComment.aspx?elementName=Professional Development Activity Identifier &amp;elementID=5808", "Click here to submit comment")</f>
        <v>Click here to submit comment</v>
      </c>
    </row>
    <row r="1050" spans="1:14" ht="75">
      <c r="A1050" s="3" t="s">
        <v>4664</v>
      </c>
      <c r="B1050" s="3" t="s">
        <v>4665</v>
      </c>
      <c r="C1050" s="3" t="s">
        <v>6289</v>
      </c>
      <c r="D1050" s="3" t="s">
        <v>6288</v>
      </c>
      <c r="E1050" s="3"/>
      <c r="F1050" s="3" t="s">
        <v>54</v>
      </c>
      <c r="G1050" s="3"/>
      <c r="H1050" s="3"/>
      <c r="I1050" s="3"/>
      <c r="J1050" s="3" t="s">
        <v>4666</v>
      </c>
      <c r="K1050" s="3"/>
      <c r="L1050" s="3" t="s">
        <v>4667</v>
      </c>
      <c r="M1050" s="3" t="str">
        <f>HYPERLINK("https://ceds.ed.gov/cedselementdetails.aspx?termid=6409")</f>
        <v>https://ceds.ed.gov/cedselementdetails.aspx?termid=6409</v>
      </c>
      <c r="N1050" s="3" t="str">
        <f>HYPERLINK("https://ceds.ed.gov/elementComment.aspx?elementName=Professional Development Activity Level &amp;elementID=6409", "Click here to submit comment")</f>
        <v>Click here to submit comment</v>
      </c>
    </row>
    <row r="1051" spans="1:14" ht="75">
      <c r="A1051" s="3" t="s">
        <v>4668</v>
      </c>
      <c r="B1051" s="3" t="s">
        <v>4669</v>
      </c>
      <c r="C1051" s="3" t="s">
        <v>13</v>
      </c>
      <c r="D1051" s="3" t="s">
        <v>6288</v>
      </c>
      <c r="E1051" s="3"/>
      <c r="F1051" s="3" t="s">
        <v>54</v>
      </c>
      <c r="G1051" s="3" t="s">
        <v>319</v>
      </c>
      <c r="H1051" s="3"/>
      <c r="I1051" s="3"/>
      <c r="J1051" s="3" t="s">
        <v>4670</v>
      </c>
      <c r="K1051" s="3"/>
      <c r="L1051" s="3" t="s">
        <v>4671</v>
      </c>
      <c r="M1051" s="3" t="str">
        <f>HYPERLINK("https://ceds.ed.gov/cedselementdetails.aspx?termid=6410")</f>
        <v>https://ceds.ed.gov/cedselementdetails.aspx?termid=6410</v>
      </c>
      <c r="N1051" s="3" t="str">
        <f>HYPERLINK("https://ceds.ed.gov/elementComment.aspx?elementName=Professional Development Activity Objective &amp;elementID=6410", "Click here to submit comment")</f>
        <v>Click here to submit comment</v>
      </c>
    </row>
    <row r="1052" spans="1:14" ht="409.5">
      <c r="A1052" s="3" t="s">
        <v>4672</v>
      </c>
      <c r="B1052" s="3" t="s">
        <v>4673</v>
      </c>
      <c r="C1052" s="4" t="s">
        <v>6614</v>
      </c>
      <c r="D1052" s="3" t="s">
        <v>6288</v>
      </c>
      <c r="E1052" s="3"/>
      <c r="F1052" s="3" t="s">
        <v>54</v>
      </c>
      <c r="G1052" s="3"/>
      <c r="H1052" s="3"/>
      <c r="I1052" s="3"/>
      <c r="J1052" s="3" t="s">
        <v>4674</v>
      </c>
      <c r="K1052" s="3"/>
      <c r="L1052" s="3" t="s">
        <v>4675</v>
      </c>
      <c r="M1052" s="3" t="str">
        <f>HYPERLINK("https://ceds.ed.gov/cedselementdetails.aspx?termid=6464")</f>
        <v>https://ceds.ed.gov/cedselementdetails.aspx?termid=6464</v>
      </c>
      <c r="N1052" s="3" t="str">
        <f>HYPERLINK("https://ceds.ed.gov/elementComment.aspx?elementName=Professional Development Activity Target Audience &amp;elementID=6464", "Click here to submit comment")</f>
        <v>Click here to submit comment</v>
      </c>
    </row>
    <row r="1053" spans="1:14" ht="75">
      <c r="A1053" s="3" t="s">
        <v>4676</v>
      </c>
      <c r="B1053" s="3" t="s">
        <v>4677</v>
      </c>
      <c r="C1053" s="3" t="s">
        <v>13</v>
      </c>
      <c r="D1053" s="3" t="s">
        <v>6288</v>
      </c>
      <c r="E1053" s="3" t="s">
        <v>202</v>
      </c>
      <c r="F1053" s="3" t="s">
        <v>66</v>
      </c>
      <c r="G1053" s="3" t="s">
        <v>106</v>
      </c>
      <c r="H1053" s="3" t="s">
        <v>4678</v>
      </c>
      <c r="I1053" s="3"/>
      <c r="J1053" s="3" t="s">
        <v>4679</v>
      </c>
      <c r="K1053" s="3"/>
      <c r="L1053" s="3" t="s">
        <v>4680</v>
      </c>
      <c r="M1053" s="3" t="str">
        <f>HYPERLINK("https://ceds.ed.gov/cedselementdetails.aspx?termid=5809")</f>
        <v>https://ceds.ed.gov/cedselementdetails.aspx?termid=5809</v>
      </c>
      <c r="N1053" s="3" t="str">
        <f>HYPERLINK("https://ceds.ed.gov/elementComment.aspx?elementName=Professional Development Activity Title &amp;elementID=5809", "Click here to submit comment")</f>
        <v>Click here to submit comment</v>
      </c>
    </row>
    <row r="1054" spans="1:14" ht="165">
      <c r="A1054" s="3" t="s">
        <v>4681</v>
      </c>
      <c r="B1054" s="3" t="s">
        <v>4682</v>
      </c>
      <c r="C1054" s="4" t="s">
        <v>6615</v>
      </c>
      <c r="D1054" s="3" t="s">
        <v>6288</v>
      </c>
      <c r="E1054" s="3"/>
      <c r="F1054" s="3" t="s">
        <v>54</v>
      </c>
      <c r="G1054" s="3"/>
      <c r="H1054" s="3"/>
      <c r="I1054" s="3" t="s">
        <v>4683</v>
      </c>
      <c r="J1054" s="3" t="s">
        <v>4684</v>
      </c>
      <c r="K1054" s="3"/>
      <c r="L1054" s="3" t="s">
        <v>4685</v>
      </c>
      <c r="M1054" s="3" t="str">
        <f>HYPERLINK("https://ceds.ed.gov/cedselementdetails.aspx?termid=6412")</f>
        <v>https://ceds.ed.gov/cedselementdetails.aspx?termid=6412</v>
      </c>
      <c r="N1054" s="3" t="str">
        <f>HYPERLINK("https://ceds.ed.gov/elementComment.aspx?elementName=Professional Development Activity Type &amp;elementID=6412", "Click here to submit comment")</f>
        <v>Click here to submit comment</v>
      </c>
    </row>
    <row r="1055" spans="1:14" ht="45">
      <c r="A1055" s="3" t="s">
        <v>4686</v>
      </c>
      <c r="B1055" s="3" t="s">
        <v>4687</v>
      </c>
      <c r="C1055" s="3" t="s">
        <v>6254</v>
      </c>
      <c r="D1055" s="3" t="s">
        <v>1542</v>
      </c>
      <c r="E1055" s="3"/>
      <c r="F1055" s="3" t="s">
        <v>54</v>
      </c>
      <c r="G1055" s="3"/>
      <c r="H1055" s="3"/>
      <c r="I1055" s="3"/>
      <c r="J1055" s="3" t="s">
        <v>4688</v>
      </c>
      <c r="K1055" s="3"/>
      <c r="L1055" s="3" t="s">
        <v>4689</v>
      </c>
      <c r="M1055" s="3" t="str">
        <f>HYPERLINK("https://ceds.ed.gov/cedselementdetails.aspx?termid=6399")</f>
        <v>https://ceds.ed.gov/cedselementdetails.aspx?termid=6399</v>
      </c>
      <c r="N1055" s="3" t="str">
        <f>HYPERLINK("https://ceds.ed.gov/elementComment.aspx?elementName=Professional Development Audience Type &amp;elementID=6399", "Click here to submit comment")</f>
        <v>Click here to submit comment</v>
      </c>
    </row>
    <row r="1056" spans="1:14" ht="90">
      <c r="A1056" s="3" t="s">
        <v>4690</v>
      </c>
      <c r="B1056" s="3" t="s">
        <v>4691</v>
      </c>
      <c r="C1056" s="4" t="s">
        <v>6616</v>
      </c>
      <c r="D1056" s="3" t="s">
        <v>6290</v>
      </c>
      <c r="E1056" s="3"/>
      <c r="F1056" s="3" t="s">
        <v>54</v>
      </c>
      <c r="G1056" s="3"/>
      <c r="H1056" s="3"/>
      <c r="I1056" s="3"/>
      <c r="J1056" s="3" t="s">
        <v>4692</v>
      </c>
      <c r="K1056" s="3"/>
      <c r="L1056" s="3" t="s">
        <v>4693</v>
      </c>
      <c r="M1056" s="3" t="str">
        <f>HYPERLINK("https://ceds.ed.gov/cedselementdetails.aspx?termid=6401")</f>
        <v>https://ceds.ed.gov/cedselementdetails.aspx?termid=6401</v>
      </c>
      <c r="N1056" s="3" t="str">
        <f>HYPERLINK("https://ceds.ed.gov/elementComment.aspx?elementName=Professional Development Delivery Method &amp;elementID=6401", "Click here to submit comment")</f>
        <v>Click here to submit comment</v>
      </c>
    </row>
    <row r="1057" spans="1:14" ht="180">
      <c r="A1057" s="3" t="s">
        <v>4694</v>
      </c>
      <c r="B1057" s="3" t="s">
        <v>4695</v>
      </c>
      <c r="C1057" s="4" t="s">
        <v>6617</v>
      </c>
      <c r="D1057" s="3" t="s">
        <v>1542</v>
      </c>
      <c r="E1057" s="3" t="s">
        <v>202</v>
      </c>
      <c r="F1057" s="3"/>
      <c r="G1057" s="3"/>
      <c r="H1057" s="3"/>
      <c r="I1057" s="3"/>
      <c r="J1057" s="3" t="s">
        <v>4696</v>
      </c>
      <c r="K1057" s="3"/>
      <c r="L1057" s="3" t="s">
        <v>4697</v>
      </c>
      <c r="M1057" s="3" t="str">
        <f>HYPERLINK("https://ceds.ed.gov/cedselementdetails.aspx?termid=5811")</f>
        <v>https://ceds.ed.gov/cedselementdetails.aspx?termid=5811</v>
      </c>
      <c r="N1057" s="3" t="str">
        <f>HYPERLINK("https://ceds.ed.gov/elementComment.aspx?elementName=Professional Development Financial Support Type &amp;elementID=5811", "Click here to submit comment")</f>
        <v>Click here to submit comment</v>
      </c>
    </row>
    <row r="1058" spans="1:14" ht="90">
      <c r="A1058" s="3" t="s">
        <v>4698</v>
      </c>
      <c r="B1058" s="3" t="s">
        <v>4699</v>
      </c>
      <c r="C1058" s="3" t="s">
        <v>13</v>
      </c>
      <c r="D1058" s="3" t="s">
        <v>6290</v>
      </c>
      <c r="E1058" s="3"/>
      <c r="F1058" s="3" t="s">
        <v>54</v>
      </c>
      <c r="G1058" s="3" t="s">
        <v>100</v>
      </c>
      <c r="H1058" s="3"/>
      <c r="I1058" s="3"/>
      <c r="J1058" s="3" t="s">
        <v>4700</v>
      </c>
      <c r="K1058" s="3"/>
      <c r="L1058" s="3" t="s">
        <v>4701</v>
      </c>
      <c r="M1058" s="3" t="str">
        <f>HYPERLINK("https://ceds.ed.gov/cedselementdetails.aspx?termid=6413")</f>
        <v>https://ceds.ed.gov/cedselementdetails.aspx?termid=6413</v>
      </c>
      <c r="N1058" s="3" t="str">
        <f>HYPERLINK("https://ceds.ed.gov/elementComment.aspx?elementName=Professional Development Funding Source &amp;elementID=6413", "Click here to submit comment")</f>
        <v>Click here to submit comment</v>
      </c>
    </row>
    <row r="1059" spans="1:14" ht="180">
      <c r="A1059" s="3" t="s">
        <v>4702</v>
      </c>
      <c r="B1059" s="3" t="s">
        <v>4703</v>
      </c>
      <c r="C1059" s="4" t="s">
        <v>6618</v>
      </c>
      <c r="D1059" s="3" t="s">
        <v>6290</v>
      </c>
      <c r="E1059" s="3"/>
      <c r="F1059" s="3" t="s">
        <v>54</v>
      </c>
      <c r="G1059" s="3"/>
      <c r="H1059" s="3"/>
      <c r="I1059" s="3"/>
      <c r="J1059" s="3" t="s">
        <v>4704</v>
      </c>
      <c r="K1059" s="3"/>
      <c r="L1059" s="3" t="s">
        <v>4705</v>
      </c>
      <c r="M1059" s="3" t="str">
        <f>HYPERLINK("https://ceds.ed.gov/cedselementdetails.aspx?termid=6429")</f>
        <v>https://ceds.ed.gov/cedselementdetails.aspx?termid=6429</v>
      </c>
      <c r="N1059" s="3" t="str">
        <f>HYPERLINK("https://ceds.ed.gov/elementComment.aspx?elementName=Professional Development Instructional Delivery Mode &amp;elementID=6429", "Click here to submit comment")</f>
        <v>Click here to submit comment</v>
      </c>
    </row>
    <row r="1060" spans="1:14" ht="90">
      <c r="A1060" s="3" t="s">
        <v>4706</v>
      </c>
      <c r="B1060" s="3" t="s">
        <v>4707</v>
      </c>
      <c r="C1060" s="3" t="s">
        <v>13</v>
      </c>
      <c r="D1060" s="3" t="s">
        <v>6290</v>
      </c>
      <c r="E1060" s="3"/>
      <c r="F1060" s="3" t="s">
        <v>54</v>
      </c>
      <c r="G1060" s="3" t="s">
        <v>100</v>
      </c>
      <c r="H1060" s="3"/>
      <c r="I1060" s="3"/>
      <c r="J1060" s="3" t="s">
        <v>4708</v>
      </c>
      <c r="K1060" s="3"/>
      <c r="L1060" s="3" t="s">
        <v>4709</v>
      </c>
      <c r="M1060" s="3" t="str">
        <f>HYPERLINK("https://ceds.ed.gov/cedselementdetails.aspx?termid=6414")</f>
        <v>https://ceds.ed.gov/cedselementdetails.aspx?termid=6414</v>
      </c>
      <c r="N1060" s="3" t="str">
        <f>HYPERLINK("https://ceds.ed.gov/elementComment.aspx?elementName=Professional Development Instructor Identifier &amp;elementID=6414", "Click here to submit comment")</f>
        <v>Click here to submit comment</v>
      </c>
    </row>
    <row r="1061" spans="1:14" ht="45">
      <c r="A1061" s="3" t="s">
        <v>4710</v>
      </c>
      <c r="B1061" s="3" t="s">
        <v>4711</v>
      </c>
      <c r="C1061" s="3" t="s">
        <v>5963</v>
      </c>
      <c r="D1061" s="3" t="s">
        <v>1542</v>
      </c>
      <c r="E1061" s="3"/>
      <c r="F1061" s="3" t="s">
        <v>54</v>
      </c>
      <c r="G1061" s="3"/>
      <c r="H1061" s="3"/>
      <c r="I1061" s="3"/>
      <c r="J1061" s="3" t="s">
        <v>4712</v>
      </c>
      <c r="K1061" s="3"/>
      <c r="L1061" s="3" t="s">
        <v>4713</v>
      </c>
      <c r="M1061" s="3" t="str">
        <f>HYPERLINK("https://ceds.ed.gov/cedselementdetails.aspx?termid=6415")</f>
        <v>https://ceds.ed.gov/cedselementdetails.aspx?termid=6415</v>
      </c>
      <c r="N1061" s="3" t="str">
        <f>HYPERLINK("https://ceds.ed.gov/elementComment.aspx?elementName=Professional Development Publish Activity Indicator &amp;elementID=6415", "Click here to submit comment")</f>
        <v>Click here to submit comment</v>
      </c>
    </row>
    <row r="1062" spans="1:14" ht="60">
      <c r="A1062" s="3" t="s">
        <v>4714</v>
      </c>
      <c r="B1062" s="3" t="s">
        <v>4715</v>
      </c>
      <c r="C1062" s="3" t="s">
        <v>5963</v>
      </c>
      <c r="D1062" s="3" t="s">
        <v>1542</v>
      </c>
      <c r="E1062" s="3" t="s">
        <v>202</v>
      </c>
      <c r="F1062" s="3"/>
      <c r="G1062" s="3"/>
      <c r="H1062" s="3"/>
      <c r="I1062" s="3"/>
      <c r="J1062" s="3" t="s">
        <v>4716</v>
      </c>
      <c r="K1062" s="3"/>
      <c r="L1062" s="3" t="s">
        <v>4717</v>
      </c>
      <c r="M1062" s="3" t="str">
        <f>HYPERLINK("https://ceds.ed.gov/cedselementdetails.aspx?termid=5810")</f>
        <v>https://ceds.ed.gov/cedselementdetails.aspx?termid=5810</v>
      </c>
      <c r="N1062" s="3" t="str">
        <f>HYPERLINK("https://ceds.ed.gov/elementComment.aspx?elementName=Professional Development Scholarship Status &amp;elementID=5810", "Click here to submit comment")</f>
        <v>Click here to submit comment</v>
      </c>
    </row>
    <row r="1063" spans="1:14" ht="90">
      <c r="A1063" s="3" t="s">
        <v>4718</v>
      </c>
      <c r="B1063" s="3" t="s">
        <v>4719</v>
      </c>
      <c r="C1063" s="3" t="s">
        <v>13</v>
      </c>
      <c r="D1063" s="3" t="s">
        <v>6290</v>
      </c>
      <c r="E1063" s="3"/>
      <c r="F1063" s="3" t="s">
        <v>54</v>
      </c>
      <c r="G1063" s="3" t="s">
        <v>575</v>
      </c>
      <c r="H1063" s="3"/>
      <c r="I1063" s="3"/>
      <c r="J1063" s="3" t="s">
        <v>4720</v>
      </c>
      <c r="K1063" s="3"/>
      <c r="L1063" s="3" t="s">
        <v>4721</v>
      </c>
      <c r="M1063" s="3" t="str">
        <f>HYPERLINK("https://ceds.ed.gov/cedselementdetails.aspx?termid=6416")</f>
        <v>https://ceds.ed.gov/cedselementdetails.aspx?termid=6416</v>
      </c>
      <c r="N1063" s="3" t="str">
        <f>HYPERLINK("https://ceds.ed.gov/elementComment.aspx?elementName=Professional Development Session Capacity &amp;elementID=6416", "Click here to submit comment")</f>
        <v>Click here to submit comment</v>
      </c>
    </row>
    <row r="1064" spans="1:14" ht="90">
      <c r="A1064" s="3" t="s">
        <v>4722</v>
      </c>
      <c r="B1064" s="3" t="s">
        <v>4723</v>
      </c>
      <c r="C1064" s="3" t="s">
        <v>13</v>
      </c>
      <c r="D1064" s="3" t="s">
        <v>6290</v>
      </c>
      <c r="E1064" s="3"/>
      <c r="F1064" s="3" t="s">
        <v>54</v>
      </c>
      <c r="G1064" s="3" t="s">
        <v>73</v>
      </c>
      <c r="H1064" s="3"/>
      <c r="I1064" s="3"/>
      <c r="J1064" s="3" t="s">
        <v>4724</v>
      </c>
      <c r="K1064" s="3"/>
      <c r="L1064" s="3" t="s">
        <v>4725</v>
      </c>
      <c r="M1064" s="3" t="str">
        <f>HYPERLINK("https://ceds.ed.gov/cedselementdetails.aspx?termid=6417")</f>
        <v>https://ceds.ed.gov/cedselementdetails.aspx?termid=6417</v>
      </c>
      <c r="N1064" s="3" t="str">
        <f>HYPERLINK("https://ceds.ed.gov/elementComment.aspx?elementName=Professional Development Session End Date &amp;elementID=6417", "Click here to submit comment")</f>
        <v>Click here to submit comment</v>
      </c>
    </row>
    <row r="1065" spans="1:14" ht="90">
      <c r="A1065" s="3" t="s">
        <v>4726</v>
      </c>
      <c r="B1065" s="3" t="s">
        <v>4727</v>
      </c>
      <c r="C1065" s="3" t="s">
        <v>13</v>
      </c>
      <c r="D1065" s="3" t="s">
        <v>6290</v>
      </c>
      <c r="E1065" s="3"/>
      <c r="F1065" s="3" t="s">
        <v>54</v>
      </c>
      <c r="G1065" s="3" t="s">
        <v>4728</v>
      </c>
      <c r="H1065" s="3"/>
      <c r="I1065" s="3"/>
      <c r="J1065" s="3" t="s">
        <v>4729</v>
      </c>
      <c r="K1065" s="3"/>
      <c r="L1065" s="3" t="s">
        <v>4730</v>
      </c>
      <c r="M1065" s="3" t="str">
        <f>HYPERLINK("https://ceds.ed.gov/cedselementdetails.aspx?termid=6418")</f>
        <v>https://ceds.ed.gov/cedselementdetails.aspx?termid=6418</v>
      </c>
      <c r="N1065" s="3" t="str">
        <f>HYPERLINK("https://ceds.ed.gov/elementComment.aspx?elementName=Professional Development Session End Time &amp;elementID=6418", "Click here to submit comment")</f>
        <v>Click here to submit comment</v>
      </c>
    </row>
    <row r="1066" spans="1:14" ht="90">
      <c r="A1066" s="3" t="s">
        <v>4731</v>
      </c>
      <c r="B1066" s="3" t="s">
        <v>4732</v>
      </c>
      <c r="C1066" s="3" t="s">
        <v>13</v>
      </c>
      <c r="D1066" s="3" t="s">
        <v>6290</v>
      </c>
      <c r="E1066" s="3"/>
      <c r="F1066" s="3" t="s">
        <v>54</v>
      </c>
      <c r="G1066" s="3" t="s">
        <v>100</v>
      </c>
      <c r="H1066" s="3"/>
      <c r="I1066" s="3"/>
      <c r="J1066" s="3" t="s">
        <v>4733</v>
      </c>
      <c r="K1066" s="3"/>
      <c r="L1066" s="3" t="s">
        <v>4734</v>
      </c>
      <c r="M1066" s="3" t="str">
        <f>HYPERLINK("https://ceds.ed.gov/cedselementdetails.aspx?termid=6419")</f>
        <v>https://ceds.ed.gov/cedselementdetails.aspx?termid=6419</v>
      </c>
      <c r="N1066" s="3" t="str">
        <f>HYPERLINK("https://ceds.ed.gov/elementComment.aspx?elementName=Professional Development Session Evaluation Method &amp;elementID=6419", "Click here to submit comment")</f>
        <v>Click here to submit comment</v>
      </c>
    </row>
    <row r="1067" spans="1:14" ht="90">
      <c r="A1067" s="3" t="s">
        <v>4735</v>
      </c>
      <c r="B1067" s="3" t="s">
        <v>4736</v>
      </c>
      <c r="C1067" s="3" t="s">
        <v>13</v>
      </c>
      <c r="D1067" s="3" t="s">
        <v>6290</v>
      </c>
      <c r="E1067" s="3"/>
      <c r="F1067" s="3" t="s">
        <v>54</v>
      </c>
      <c r="G1067" s="3" t="s">
        <v>100</v>
      </c>
      <c r="H1067" s="3"/>
      <c r="I1067" s="3"/>
      <c r="J1067" s="3" t="s">
        <v>4737</v>
      </c>
      <c r="K1067" s="3"/>
      <c r="L1067" s="3" t="s">
        <v>4738</v>
      </c>
      <c r="M1067" s="3" t="str">
        <f>HYPERLINK("https://ceds.ed.gov/cedselementdetails.aspx?termid=6420")</f>
        <v>https://ceds.ed.gov/cedselementdetails.aspx?termid=6420</v>
      </c>
      <c r="N1067" s="3" t="str">
        <f>HYPERLINK("https://ceds.ed.gov/elementComment.aspx?elementName=Professional Development Session Evaluation Score &amp;elementID=6420", "Click here to submit comment")</f>
        <v>Click here to submit comment</v>
      </c>
    </row>
    <row r="1068" spans="1:14" ht="90">
      <c r="A1068" s="3" t="s">
        <v>4739</v>
      </c>
      <c r="B1068" s="3" t="s">
        <v>4740</v>
      </c>
      <c r="C1068" s="3" t="s">
        <v>13</v>
      </c>
      <c r="D1068" s="3" t="s">
        <v>6290</v>
      </c>
      <c r="E1068" s="3"/>
      <c r="F1068" s="3" t="s">
        <v>54</v>
      </c>
      <c r="G1068" s="3" t="s">
        <v>100</v>
      </c>
      <c r="H1068" s="3"/>
      <c r="I1068" s="3"/>
      <c r="J1068" s="3" t="s">
        <v>4741</v>
      </c>
      <c r="K1068" s="3"/>
      <c r="L1068" s="3" t="s">
        <v>4742</v>
      </c>
      <c r="M1068" s="3" t="str">
        <f>HYPERLINK("https://ceds.ed.gov/cedselementdetails.aspx?termid=6422")</f>
        <v>https://ceds.ed.gov/cedselementdetails.aspx?termid=6422</v>
      </c>
      <c r="N1068" s="3" t="str">
        <f>HYPERLINK("https://ceds.ed.gov/elementComment.aspx?elementName=Professional Development Session Identifier &amp;elementID=6422", "Click here to submit comment")</f>
        <v>Click here to submit comment</v>
      </c>
    </row>
    <row r="1069" spans="1:14" ht="105">
      <c r="A1069" s="3" t="s">
        <v>4743</v>
      </c>
      <c r="B1069" s="3" t="s">
        <v>4744</v>
      </c>
      <c r="C1069" s="3" t="s">
        <v>13</v>
      </c>
      <c r="D1069" s="3" t="s">
        <v>6291</v>
      </c>
      <c r="E1069" s="3"/>
      <c r="F1069" s="3" t="s">
        <v>54</v>
      </c>
      <c r="G1069" s="3" t="s">
        <v>106</v>
      </c>
      <c r="H1069" s="3"/>
      <c r="I1069" s="3"/>
      <c r="J1069" s="3" t="s">
        <v>4745</v>
      </c>
      <c r="K1069" s="3"/>
      <c r="L1069" s="3" t="s">
        <v>4746</v>
      </c>
      <c r="M1069" s="3" t="str">
        <f>HYPERLINK("https://ceds.ed.gov/cedselementdetails.aspx?termid=6424")</f>
        <v>https://ceds.ed.gov/cedselementdetails.aspx?termid=6424</v>
      </c>
      <c r="N1069" s="3" t="str">
        <f>HYPERLINK("https://ceds.ed.gov/elementComment.aspx?elementName=Professional Development Session Location Name &amp;elementID=6424", "Click here to submit comment")</f>
        <v>Click here to submit comment</v>
      </c>
    </row>
    <row r="1070" spans="1:14" ht="90">
      <c r="A1070" s="3" t="s">
        <v>4747</v>
      </c>
      <c r="B1070" s="3" t="s">
        <v>4748</v>
      </c>
      <c r="C1070" s="3" t="s">
        <v>13</v>
      </c>
      <c r="D1070" s="3" t="s">
        <v>6290</v>
      </c>
      <c r="E1070" s="3"/>
      <c r="F1070" s="3" t="s">
        <v>54</v>
      </c>
      <c r="G1070" s="3" t="s">
        <v>73</v>
      </c>
      <c r="H1070" s="3"/>
      <c r="I1070" s="3"/>
      <c r="J1070" s="3" t="s">
        <v>4749</v>
      </c>
      <c r="K1070" s="3"/>
      <c r="L1070" s="3" t="s">
        <v>4750</v>
      </c>
      <c r="M1070" s="3" t="str">
        <f>HYPERLINK("https://ceds.ed.gov/cedselementdetails.aspx?termid=6426")</f>
        <v>https://ceds.ed.gov/cedselementdetails.aspx?termid=6426</v>
      </c>
      <c r="N1070" s="3" t="str">
        <f>HYPERLINK("https://ceds.ed.gov/elementComment.aspx?elementName=Professional Development Session Start Date &amp;elementID=6426", "Click here to submit comment")</f>
        <v>Click here to submit comment</v>
      </c>
    </row>
    <row r="1071" spans="1:14" ht="90">
      <c r="A1071" s="3" t="s">
        <v>4751</v>
      </c>
      <c r="B1071" s="3" t="s">
        <v>4752</v>
      </c>
      <c r="C1071" s="3" t="s">
        <v>13</v>
      </c>
      <c r="D1071" s="3" t="s">
        <v>6290</v>
      </c>
      <c r="E1071" s="3"/>
      <c r="F1071" s="3" t="s">
        <v>54</v>
      </c>
      <c r="G1071" s="3" t="s">
        <v>4728</v>
      </c>
      <c r="H1071" s="3"/>
      <c r="I1071" s="3"/>
      <c r="J1071" s="3" t="s">
        <v>4753</v>
      </c>
      <c r="K1071" s="3"/>
      <c r="L1071" s="3" t="s">
        <v>4754</v>
      </c>
      <c r="M1071" s="3" t="str">
        <f>HYPERLINK("https://ceds.ed.gov/cedselementdetails.aspx?termid=6427")</f>
        <v>https://ceds.ed.gov/cedselementdetails.aspx?termid=6427</v>
      </c>
      <c r="N1071" s="3" t="str">
        <f>HYPERLINK("https://ceds.ed.gov/elementComment.aspx?elementName=Professional Development Session Start Time &amp;elementID=6427", "Click here to submit comment")</f>
        <v>Click here to submit comment</v>
      </c>
    </row>
    <row r="1072" spans="1:14" ht="90">
      <c r="A1072" s="3" t="s">
        <v>4755</v>
      </c>
      <c r="B1072" s="3" t="s">
        <v>4756</v>
      </c>
      <c r="C1072" s="3" t="s">
        <v>6292</v>
      </c>
      <c r="D1072" s="3" t="s">
        <v>6290</v>
      </c>
      <c r="E1072" s="3"/>
      <c r="F1072" s="3" t="s">
        <v>54</v>
      </c>
      <c r="G1072" s="3"/>
      <c r="H1072" s="3"/>
      <c r="I1072" s="3"/>
      <c r="J1072" s="3" t="s">
        <v>4757</v>
      </c>
      <c r="K1072" s="3"/>
      <c r="L1072" s="3" t="s">
        <v>4758</v>
      </c>
      <c r="M1072" s="3" t="str">
        <f>HYPERLINK("https://ceds.ed.gov/cedselementdetails.aspx?termid=6428")</f>
        <v>https://ceds.ed.gov/cedselementdetails.aspx?termid=6428</v>
      </c>
      <c r="N1072" s="3" t="str">
        <f>HYPERLINK("https://ceds.ed.gov/elementComment.aspx?elementName=Professional Development Session Status &amp;elementID=6428", "Click here to submit comment")</f>
        <v>Click here to submit comment</v>
      </c>
    </row>
    <row r="1073" spans="1:14" ht="255">
      <c r="A1073" s="3" t="s">
        <v>4759</v>
      </c>
      <c r="B1073" s="3" t="s">
        <v>4760</v>
      </c>
      <c r="C1073" s="4" t="s">
        <v>6619</v>
      </c>
      <c r="D1073" s="3" t="s">
        <v>1723</v>
      </c>
      <c r="E1073" s="3"/>
      <c r="F1073" s="3"/>
      <c r="G1073" s="3"/>
      <c r="H1073" s="3"/>
      <c r="I1073" s="3"/>
      <c r="J1073" s="3" t="s">
        <v>4761</v>
      </c>
      <c r="K1073" s="3"/>
      <c r="L1073" s="3" t="s">
        <v>4762</v>
      </c>
      <c r="M1073" s="3" t="str">
        <f>HYPERLINK("https://ceds.ed.gov/cedselementdetails.aspx?termid=5220")</f>
        <v>https://ceds.ed.gov/cedselementdetails.aspx?termid=5220</v>
      </c>
      <c r="N1073" s="3" t="str">
        <f>HYPERLINK("https://ceds.ed.gov/elementComment.aspx?elementName=Professional Educational Job Classification &amp;elementID=5220", "Click here to submit comment")</f>
        <v>Click here to submit comment</v>
      </c>
    </row>
    <row r="1074" spans="1:14" ht="195">
      <c r="A1074" s="3" t="s">
        <v>4763</v>
      </c>
      <c r="B1074" s="3" t="s">
        <v>4764</v>
      </c>
      <c r="C1074" s="4" t="s">
        <v>6620</v>
      </c>
      <c r="D1074" s="3" t="s">
        <v>6293</v>
      </c>
      <c r="E1074" s="3"/>
      <c r="F1074" s="3" t="s">
        <v>66</v>
      </c>
      <c r="G1074" s="3"/>
      <c r="H1074" s="3" t="s">
        <v>848</v>
      </c>
      <c r="I1074" s="3"/>
      <c r="J1074" s="3" t="s">
        <v>4765</v>
      </c>
      <c r="K1074" s="3"/>
      <c r="L1074" s="3" t="s">
        <v>4766</v>
      </c>
      <c r="M1074" s="3" t="str">
        <f>HYPERLINK("https://ceds.ed.gov/cedselementdetails.aspx?termid=5780")</f>
        <v>https://ceds.ed.gov/cedselementdetails.aspx?termid=5780</v>
      </c>
      <c r="N1074" s="3" t="str">
        <f>HYPERLINK("https://ceds.ed.gov/elementComment.aspx?elementName=Professional or Technical Credential Conferred &amp;elementID=5780", "Click here to submit comment")</f>
        <v>Click here to submit comment</v>
      </c>
    </row>
    <row r="1075" spans="1:14" ht="150">
      <c r="A1075" s="3" t="s">
        <v>4767</v>
      </c>
      <c r="B1075" s="3" t="s">
        <v>4768</v>
      </c>
      <c r="C1075" s="4" t="s">
        <v>6621</v>
      </c>
      <c r="D1075" s="3" t="s">
        <v>6294</v>
      </c>
      <c r="E1075" s="3" t="s">
        <v>218</v>
      </c>
      <c r="F1075" s="3"/>
      <c r="G1075" s="3"/>
      <c r="H1075" s="3"/>
      <c r="I1075" s="3"/>
      <c r="J1075" s="3" t="s">
        <v>4769</v>
      </c>
      <c r="K1075" s="3"/>
      <c r="L1075" s="3" t="s">
        <v>4770</v>
      </c>
      <c r="M1075" s="3" t="str">
        <f>HYPERLINK("https://ceds.ed.gov/cedselementdetails.aspx?termid=5565")</f>
        <v>https://ceds.ed.gov/cedselementdetails.aspx?termid=5565</v>
      </c>
      <c r="N1075" s="3" t="str">
        <f>HYPERLINK("https://ceds.ed.gov/elementComment.aspx?elementName=Proficiency Status &amp;elementID=5565", "Click here to submit comment")</f>
        <v>Click here to submit comment</v>
      </c>
    </row>
    <row r="1076" spans="1:14" ht="195">
      <c r="A1076" s="3" t="s">
        <v>4771</v>
      </c>
      <c r="B1076" s="3" t="s">
        <v>4772</v>
      </c>
      <c r="C1076" s="4" t="s">
        <v>6622</v>
      </c>
      <c r="D1076" s="3" t="s">
        <v>5979</v>
      </c>
      <c r="E1076" s="3" t="s">
        <v>218</v>
      </c>
      <c r="F1076" s="3"/>
      <c r="G1076" s="3"/>
      <c r="H1076" s="3"/>
      <c r="I1076" s="3"/>
      <c r="J1076" s="3" t="s">
        <v>4773</v>
      </c>
      <c r="K1076" s="3"/>
      <c r="L1076" s="3" t="s">
        <v>4774</v>
      </c>
      <c r="M1076" s="3" t="str">
        <f>HYPERLINK("https://ceds.ed.gov/cedselementdetails.aspx?termid=5221")</f>
        <v>https://ceds.ed.gov/cedselementdetails.aspx?termid=5221</v>
      </c>
      <c r="N1076" s="3" t="str">
        <f>HYPERLINK("https://ceds.ed.gov/elementComment.aspx?elementName=Proficiency Target Status for Math &amp;elementID=5221", "Click here to submit comment")</f>
        <v>Click here to submit comment</v>
      </c>
    </row>
    <row r="1077" spans="1:14" ht="195">
      <c r="A1077" s="3" t="s">
        <v>4775</v>
      </c>
      <c r="B1077" s="3" t="s">
        <v>4776</v>
      </c>
      <c r="C1077" s="4" t="s">
        <v>6622</v>
      </c>
      <c r="D1077" s="3" t="s">
        <v>5979</v>
      </c>
      <c r="E1077" s="3" t="s">
        <v>218</v>
      </c>
      <c r="F1077" s="3"/>
      <c r="G1077" s="3"/>
      <c r="H1077" s="3"/>
      <c r="I1077" s="3"/>
      <c r="J1077" s="3" t="s">
        <v>4777</v>
      </c>
      <c r="K1077" s="3"/>
      <c r="L1077" s="3" t="s">
        <v>4778</v>
      </c>
      <c r="M1077" s="3" t="str">
        <f>HYPERLINK("https://ceds.ed.gov/cedselementdetails.aspx?termid=5544")</f>
        <v>https://ceds.ed.gov/cedselementdetails.aspx?termid=5544</v>
      </c>
      <c r="N1077" s="3" t="str">
        <f>HYPERLINK("https://ceds.ed.gov/elementComment.aspx?elementName=Proficiency Target Status for Reading and Language Arts &amp;elementID=5544", "Click here to submit comment")</f>
        <v>Click here to submit comment</v>
      </c>
    </row>
    <row r="1078" spans="1:14" ht="60">
      <c r="A1078" s="3" t="s">
        <v>4779</v>
      </c>
      <c r="B1078" s="3" t="s">
        <v>4780</v>
      </c>
      <c r="C1078" s="3" t="s">
        <v>5963</v>
      </c>
      <c r="D1078" s="3" t="s">
        <v>1287</v>
      </c>
      <c r="E1078" s="3" t="s">
        <v>6295</v>
      </c>
      <c r="F1078" s="3"/>
      <c r="G1078" s="3"/>
      <c r="H1078" s="3"/>
      <c r="I1078" s="3"/>
      <c r="J1078" s="3" t="s">
        <v>4781</v>
      </c>
      <c r="K1078" s="3"/>
      <c r="L1078" s="3" t="s">
        <v>4782</v>
      </c>
      <c r="M1078" s="3" t="str">
        <f>HYPERLINK("https://ceds.ed.gov/cedselementdetails.aspx?termid=5854")</f>
        <v>https://ceds.ed.gov/cedselementdetails.aspx?termid=5854</v>
      </c>
      <c r="N1078" s="3" t="str">
        <f>HYPERLINK("https://ceds.ed.gov/elementComment.aspx?elementName=Program Collects Parental Feedback &amp;elementID=5854", "Click here to submit comment")</f>
        <v>Click here to submit comment</v>
      </c>
    </row>
    <row r="1079" spans="1:14" ht="45">
      <c r="A1079" s="3" t="s">
        <v>4783</v>
      </c>
      <c r="B1079" s="3" t="s">
        <v>4784</v>
      </c>
      <c r="C1079" s="3" t="s">
        <v>5963</v>
      </c>
      <c r="D1079" s="3" t="s">
        <v>4785</v>
      </c>
      <c r="E1079" s="3" t="s">
        <v>6145</v>
      </c>
      <c r="F1079" s="3"/>
      <c r="G1079" s="3"/>
      <c r="H1079" s="3"/>
      <c r="I1079" s="3"/>
      <c r="J1079" s="3" t="s">
        <v>4786</v>
      </c>
      <c r="K1079" s="3"/>
      <c r="L1079" s="3" t="s">
        <v>4787</v>
      </c>
      <c r="M1079" s="3" t="str">
        <f>HYPERLINK("https://ceds.ed.gov/cedselementdetails.aspx?termid=5863")</f>
        <v>https://ceds.ed.gov/cedselementdetails.aspx?termid=5863</v>
      </c>
      <c r="N1079" s="3" t="str">
        <f>HYPERLINK("https://ceds.ed.gov/elementComment.aspx?elementName=Program Follows Salary Scale &amp;elementID=5863", "Click here to submit comment")</f>
        <v>Click here to submit comment</v>
      </c>
    </row>
    <row r="1080" spans="1:14" ht="409.5">
      <c r="A1080" s="3" t="s">
        <v>4788</v>
      </c>
      <c r="B1080" s="3" t="s">
        <v>4789</v>
      </c>
      <c r="C1080" s="4" t="s">
        <v>6623</v>
      </c>
      <c r="D1080" s="3" t="s">
        <v>6296</v>
      </c>
      <c r="E1080" s="3"/>
      <c r="F1080" s="3" t="s">
        <v>66</v>
      </c>
      <c r="G1080" s="3"/>
      <c r="H1080" s="3" t="s">
        <v>94</v>
      </c>
      <c r="I1080" s="3"/>
      <c r="J1080" s="3" t="s">
        <v>4790</v>
      </c>
      <c r="K1080" s="3"/>
      <c r="L1080" s="3" t="s">
        <v>4791</v>
      </c>
      <c r="M1080" s="3" t="str">
        <f>HYPERLINK("https://ceds.ed.gov/cedselementdetails.aspx?termid=6210")</f>
        <v>https://ceds.ed.gov/cedselementdetails.aspx?termid=6210</v>
      </c>
      <c r="N1080" s="3" t="str">
        <f>HYPERLINK("https://ceds.ed.gov/elementComment.aspx?elementName=Program Gifted Eligibility Criteria &amp;elementID=6210", "Click here to submit comment")</f>
        <v>Click here to submit comment</v>
      </c>
    </row>
    <row r="1081" spans="1:14" ht="45">
      <c r="A1081" s="3" t="s">
        <v>4792</v>
      </c>
      <c r="B1081" s="3" t="s">
        <v>4793</v>
      </c>
      <c r="C1081" s="3" t="s">
        <v>5963</v>
      </c>
      <c r="D1081" s="3" t="s">
        <v>4794</v>
      </c>
      <c r="E1081" s="3" t="s">
        <v>65</v>
      </c>
      <c r="F1081" s="3"/>
      <c r="G1081" s="3"/>
      <c r="H1081" s="3"/>
      <c r="I1081" s="3"/>
      <c r="J1081" s="3" t="s">
        <v>4795</v>
      </c>
      <c r="K1081" s="3"/>
      <c r="L1081" s="3" t="s">
        <v>4796</v>
      </c>
      <c r="M1081" s="3" t="str">
        <f>HYPERLINK("https://ceds.ed.gov/cedselementdetails.aspx?termid=5851")</f>
        <v>https://ceds.ed.gov/cedselementdetails.aspx?termid=5851</v>
      </c>
      <c r="N1081" s="3" t="str">
        <f>HYPERLINK("https://ceds.ed.gov/elementComment.aspx?elementName=Program Heath Safety Checklist Use Status &amp;elementID=5851", "Click here to submit comment")</f>
        <v>Click here to submit comment</v>
      </c>
    </row>
    <row r="1082" spans="1:14" ht="60">
      <c r="A1082" s="3" t="s">
        <v>4797</v>
      </c>
      <c r="B1082" s="3" t="s">
        <v>4798</v>
      </c>
      <c r="C1082" s="3" t="s">
        <v>13</v>
      </c>
      <c r="D1082" s="3" t="s">
        <v>6297</v>
      </c>
      <c r="E1082" s="3"/>
      <c r="F1082" s="3" t="s">
        <v>3</v>
      </c>
      <c r="G1082" s="3" t="s">
        <v>100</v>
      </c>
      <c r="H1082" s="3"/>
      <c r="I1082" s="3"/>
      <c r="J1082" s="3" t="s">
        <v>4799</v>
      </c>
      <c r="K1082" s="3"/>
      <c r="L1082" s="3" t="s">
        <v>4800</v>
      </c>
      <c r="M1082" s="3" t="str">
        <f>HYPERLINK("https://ceds.ed.gov/cedselementdetails.aspx?termid=5618")</f>
        <v>https://ceds.ed.gov/cedselementdetails.aspx?termid=5618</v>
      </c>
      <c r="N1082" s="3" t="str">
        <f>HYPERLINK("https://ceds.ed.gov/elementComment.aspx?elementName=Program Identifier &amp;elementID=5618", "Click here to submit comment")</f>
        <v>Click here to submit comment</v>
      </c>
    </row>
    <row r="1083" spans="1:14" ht="90">
      <c r="A1083" s="3" t="s">
        <v>4801</v>
      </c>
      <c r="B1083" s="3" t="s">
        <v>4802</v>
      </c>
      <c r="C1083" s="3" t="s">
        <v>5963</v>
      </c>
      <c r="D1083" s="3" t="s">
        <v>3399</v>
      </c>
      <c r="E1083" s="3" t="s">
        <v>207</v>
      </c>
      <c r="F1083" s="3"/>
      <c r="G1083" s="3"/>
      <c r="H1083" s="3"/>
      <c r="I1083" s="3"/>
      <c r="J1083" s="3" t="s">
        <v>4803</v>
      </c>
      <c r="K1083" s="3"/>
      <c r="L1083" s="3" t="s">
        <v>4804</v>
      </c>
      <c r="M1083" s="3" t="str">
        <f>HYPERLINK("https://ceds.ed.gov/cedselementdetails.aspx?termid=5476")</f>
        <v>https://ceds.ed.gov/cedselementdetails.aspx?termid=5476</v>
      </c>
      <c r="N1083" s="3" t="str">
        <f>HYPERLINK("https://ceds.ed.gov/elementComment.aspx?elementName=Program in Multiple Purpose Facility &amp;elementID=5476", "Click here to submit comment")</f>
        <v>Click here to submit comment</v>
      </c>
    </row>
    <row r="1084" spans="1:14" ht="75">
      <c r="A1084" s="3" t="s">
        <v>4805</v>
      </c>
      <c r="B1084" s="3" t="s">
        <v>4806</v>
      </c>
      <c r="C1084" s="3" t="s">
        <v>13</v>
      </c>
      <c r="D1084" s="3" t="s">
        <v>1708</v>
      </c>
      <c r="E1084" s="3" t="s">
        <v>1537</v>
      </c>
      <c r="F1084" s="3"/>
      <c r="G1084" s="3" t="s">
        <v>1461</v>
      </c>
      <c r="H1084" s="3"/>
      <c r="I1084" s="3"/>
      <c r="J1084" s="3" t="s">
        <v>4807</v>
      </c>
      <c r="K1084" s="3"/>
      <c r="L1084" s="3" t="s">
        <v>4808</v>
      </c>
      <c r="M1084" s="3" t="str">
        <f>HYPERLINK("https://ceds.ed.gov/cedselementdetails.aspx?termid=5223")</f>
        <v>https://ceds.ed.gov/cedselementdetails.aspx?termid=5223</v>
      </c>
      <c r="N1084" s="3" t="str">
        <f>HYPERLINK("https://ceds.ed.gov/elementComment.aspx?elementName=Program Length Hours &amp;elementID=5223", "Click here to submit comment")</f>
        <v>Click here to submit comment</v>
      </c>
    </row>
    <row r="1085" spans="1:14" ht="45">
      <c r="A1085" s="3" t="s">
        <v>4809</v>
      </c>
      <c r="B1085" s="3" t="s">
        <v>4810</v>
      </c>
      <c r="C1085" s="3" t="s">
        <v>6212</v>
      </c>
      <c r="D1085" s="3" t="s">
        <v>1708</v>
      </c>
      <c r="E1085" s="3" t="s">
        <v>1537</v>
      </c>
      <c r="F1085" s="3"/>
      <c r="G1085" s="3"/>
      <c r="H1085" s="3"/>
      <c r="I1085" s="3"/>
      <c r="J1085" s="3" t="s">
        <v>4811</v>
      </c>
      <c r="K1085" s="3"/>
      <c r="L1085" s="3" t="s">
        <v>4812</v>
      </c>
      <c r="M1085" s="3" t="str">
        <f>HYPERLINK("https://ceds.ed.gov/cedselementdetails.aspx?termid=5224")</f>
        <v>https://ceds.ed.gov/cedselementdetails.aspx?termid=5224</v>
      </c>
      <c r="N1085" s="3" t="str">
        <f>HYPERLINK("https://ceds.ed.gov/elementComment.aspx?elementName=Program Length Hours Type &amp;elementID=5224", "Click here to submit comment")</f>
        <v>Click here to submit comment</v>
      </c>
    </row>
    <row r="1086" spans="1:14" ht="75">
      <c r="A1086" s="3" t="s">
        <v>4813</v>
      </c>
      <c r="B1086" s="3" t="s">
        <v>4814</v>
      </c>
      <c r="C1086" s="3" t="s">
        <v>13</v>
      </c>
      <c r="D1086" s="3" t="s">
        <v>6298</v>
      </c>
      <c r="E1086" s="3"/>
      <c r="F1086" s="3" t="s">
        <v>3</v>
      </c>
      <c r="G1086" s="3" t="s">
        <v>106</v>
      </c>
      <c r="H1086" s="3"/>
      <c r="I1086" s="3"/>
      <c r="J1086" s="3" t="s">
        <v>4815</v>
      </c>
      <c r="K1086" s="3"/>
      <c r="L1086" s="3" t="s">
        <v>4816</v>
      </c>
      <c r="M1086" s="3" t="str">
        <f>HYPERLINK("https://ceds.ed.gov/cedselementdetails.aspx?termid=5619")</f>
        <v>https://ceds.ed.gov/cedselementdetails.aspx?termid=5619</v>
      </c>
      <c r="N1086" s="3" t="str">
        <f>HYPERLINK("https://ceds.ed.gov/elementComment.aspx?elementName=Program Name &amp;elementID=5619", "Click here to submit comment")</f>
        <v>Click here to submit comment</v>
      </c>
    </row>
    <row r="1087" spans="1:14" ht="315">
      <c r="A1087" s="3" t="s">
        <v>4817</v>
      </c>
      <c r="B1087" s="3" t="s">
        <v>4818</v>
      </c>
      <c r="C1087" s="3" t="s">
        <v>13</v>
      </c>
      <c r="D1087" s="3" t="s">
        <v>6299</v>
      </c>
      <c r="E1087" s="3" t="s">
        <v>218</v>
      </c>
      <c r="F1087" s="3"/>
      <c r="G1087" s="3" t="s">
        <v>73</v>
      </c>
      <c r="H1087" s="3"/>
      <c r="I1087" s="3"/>
      <c r="J1087" s="3" t="s">
        <v>4819</v>
      </c>
      <c r="K1087" s="3"/>
      <c r="L1087" s="3" t="s">
        <v>4820</v>
      </c>
      <c r="M1087" s="3" t="str">
        <f>HYPERLINK("https://ceds.ed.gov/cedselementdetails.aspx?termid=5584")</f>
        <v>https://ceds.ed.gov/cedselementdetails.aspx?termid=5584</v>
      </c>
      <c r="N1087" s="3" t="str">
        <f>HYPERLINK("https://ceds.ed.gov/elementComment.aspx?elementName=Program Participation Exit Date &amp;elementID=5584", "Click here to submit comment")</f>
        <v>Click here to submit comment</v>
      </c>
    </row>
    <row r="1088" spans="1:14" ht="315">
      <c r="A1088" s="3" t="s">
        <v>4821</v>
      </c>
      <c r="B1088" s="3" t="s">
        <v>4822</v>
      </c>
      <c r="C1088" s="3" t="s">
        <v>13</v>
      </c>
      <c r="D1088" s="3" t="s">
        <v>6299</v>
      </c>
      <c r="E1088" s="3" t="s">
        <v>6051</v>
      </c>
      <c r="F1088" s="3"/>
      <c r="G1088" s="3" t="s">
        <v>73</v>
      </c>
      <c r="H1088" s="3"/>
      <c r="I1088" s="3"/>
      <c r="J1088" s="3" t="s">
        <v>4823</v>
      </c>
      <c r="K1088" s="3"/>
      <c r="L1088" s="3" t="s">
        <v>4824</v>
      </c>
      <c r="M1088" s="3" t="str">
        <f>HYPERLINK("https://ceds.ed.gov/cedselementdetails.aspx?termid=5583")</f>
        <v>https://ceds.ed.gov/cedselementdetails.aspx?termid=5583</v>
      </c>
      <c r="N1088" s="3" t="str">
        <f>HYPERLINK("https://ceds.ed.gov/elementComment.aspx?elementName=Program Participation Start Date &amp;elementID=5583", "Click here to submit comment")</f>
        <v>Click here to submit comment</v>
      </c>
    </row>
    <row r="1089" spans="1:14" ht="135">
      <c r="A1089" s="3" t="s">
        <v>4825</v>
      </c>
      <c r="B1089" s="3" t="s">
        <v>4826</v>
      </c>
      <c r="C1089" s="4" t="s">
        <v>6624</v>
      </c>
      <c r="D1089" s="3" t="s">
        <v>4827</v>
      </c>
      <c r="E1089" s="3"/>
      <c r="F1089" s="3"/>
      <c r="G1089" s="3"/>
      <c r="H1089" s="3"/>
      <c r="I1089" s="3"/>
      <c r="J1089" s="3" t="s">
        <v>4828</v>
      </c>
      <c r="K1089" s="3"/>
      <c r="L1089" s="3" t="s">
        <v>4829</v>
      </c>
      <c r="M1089" s="3" t="str">
        <f>HYPERLINK("https://ceds.ed.gov/cedselementdetails.aspx?termid=6209")</f>
        <v>https://ceds.ed.gov/cedselementdetails.aspx?termid=6209</v>
      </c>
      <c r="N1089" s="3" t="str">
        <f>HYPERLINK("https://ceds.ed.gov/elementComment.aspx?elementName=Program Participation Status &amp;elementID=6209", "Click here to submit comment")</f>
        <v>Click here to submit comment</v>
      </c>
    </row>
    <row r="1090" spans="1:14" ht="45">
      <c r="A1090" s="3" t="s">
        <v>4830</v>
      </c>
      <c r="B1090" s="3" t="s">
        <v>4831</v>
      </c>
      <c r="C1090" s="3" t="s">
        <v>5963</v>
      </c>
      <c r="D1090" s="3" t="s">
        <v>1287</v>
      </c>
      <c r="E1090" s="3" t="s">
        <v>65</v>
      </c>
      <c r="F1090" s="3"/>
      <c r="G1090" s="3"/>
      <c r="H1090" s="3"/>
      <c r="I1090" s="3"/>
      <c r="J1090" s="3" t="s">
        <v>4832</v>
      </c>
      <c r="K1090" s="3"/>
      <c r="L1090" s="3" t="s">
        <v>4833</v>
      </c>
      <c r="M1090" s="3" t="str">
        <f>HYPERLINK("https://ceds.ed.gov/cedselementdetails.aspx?termid=5856")</f>
        <v>https://ceds.ed.gov/cedselementdetails.aspx?termid=5856</v>
      </c>
      <c r="N1090" s="3" t="str">
        <f>HYPERLINK("https://ceds.ed.gov/elementComment.aspx?elementName=Program Provides Parent Education &amp;elementID=5856", "Click here to submit comment")</f>
        <v>Click here to submit comment</v>
      </c>
    </row>
    <row r="1091" spans="1:14" ht="60">
      <c r="A1091" s="3" t="s">
        <v>4834</v>
      </c>
      <c r="B1091" s="3" t="s">
        <v>4835</v>
      </c>
      <c r="C1091" s="3" t="s">
        <v>5963</v>
      </c>
      <c r="D1091" s="3" t="s">
        <v>1287</v>
      </c>
      <c r="E1091" s="3" t="s">
        <v>65</v>
      </c>
      <c r="F1091" s="3"/>
      <c r="G1091" s="3"/>
      <c r="H1091" s="3"/>
      <c r="I1091" s="3"/>
      <c r="J1091" s="3" t="s">
        <v>4836</v>
      </c>
      <c r="K1091" s="3"/>
      <c r="L1091" s="3" t="s">
        <v>4837</v>
      </c>
      <c r="M1091" s="3" t="str">
        <f>HYPERLINK("https://ceds.ed.gov/cedselementdetails.aspx?termid=5855")</f>
        <v>https://ceds.ed.gov/cedselementdetails.aspx?termid=5855</v>
      </c>
      <c r="N1091" s="3" t="str">
        <f>HYPERLINK("https://ceds.ed.gov/elementComment.aspx?elementName=Program Provides Parent Involvement Opportunity &amp;elementID=5855", "Click here to submit comment")</f>
        <v>Click here to submit comment</v>
      </c>
    </row>
    <row r="1092" spans="1:14" ht="45">
      <c r="A1092" s="3" t="s">
        <v>4838</v>
      </c>
      <c r="B1092" s="3" t="s">
        <v>4839</v>
      </c>
      <c r="C1092" s="3" t="s">
        <v>5963</v>
      </c>
      <c r="D1092" s="3" t="s">
        <v>4840</v>
      </c>
      <c r="E1092" s="3" t="s">
        <v>65</v>
      </c>
      <c r="F1092" s="3"/>
      <c r="G1092" s="3"/>
      <c r="H1092" s="3"/>
      <c r="I1092" s="3"/>
      <c r="J1092" s="3" t="s">
        <v>4841</v>
      </c>
      <c r="K1092" s="3"/>
      <c r="L1092" s="3" t="s">
        <v>4842</v>
      </c>
      <c r="M1092" s="3" t="str">
        <f>HYPERLINK("https://ceds.ed.gov/cedselementdetails.aspx?termid=5845")</f>
        <v>https://ceds.ed.gov/cedselementdetails.aspx?termid=5845</v>
      </c>
      <c r="N1092" s="3" t="str">
        <f>HYPERLINK("https://ceds.ed.gov/elementComment.aspx?elementName=Program Provides Translated Materials &amp;elementID=5845", "Click here to submit comment")</f>
        <v>Click here to submit comment</v>
      </c>
    </row>
    <row r="1093" spans="1:14" ht="45">
      <c r="A1093" s="3" t="s">
        <v>4843</v>
      </c>
      <c r="B1093" s="3" t="s">
        <v>4844</v>
      </c>
      <c r="C1093" s="3" t="s">
        <v>5963</v>
      </c>
      <c r="D1093" s="3" t="s">
        <v>1287</v>
      </c>
      <c r="E1093" s="3" t="s">
        <v>65</v>
      </c>
      <c r="F1093" s="3"/>
      <c r="G1093" s="3"/>
      <c r="H1093" s="3"/>
      <c r="I1093" s="3"/>
      <c r="J1093" s="3" t="s">
        <v>4845</v>
      </c>
      <c r="K1093" s="3"/>
      <c r="L1093" s="3" t="s">
        <v>4846</v>
      </c>
      <c r="M1093" s="3" t="str">
        <f>HYPERLINK("https://ceds.ed.gov/cedselementdetails.aspx?termid=5853")</f>
        <v>https://ceds.ed.gov/cedselementdetails.aspx?termid=5853</v>
      </c>
      <c r="N1093" s="3" t="str">
        <f>HYPERLINK("https://ceds.ed.gov/elementComment.aspx?elementName=Program Provides Written Handbook &amp;elementID=5853", "Click here to submit comment")</f>
        <v>Click here to submit comment</v>
      </c>
    </row>
    <row r="1094" spans="1:14" ht="270">
      <c r="A1094" s="3" t="s">
        <v>4847</v>
      </c>
      <c r="B1094" s="3" t="s">
        <v>4848</v>
      </c>
      <c r="C1094" s="4" t="s">
        <v>6625</v>
      </c>
      <c r="D1094" s="3" t="s">
        <v>6300</v>
      </c>
      <c r="E1094" s="3"/>
      <c r="F1094" s="3" t="s">
        <v>66</v>
      </c>
      <c r="G1094" s="3"/>
      <c r="H1094" s="3" t="s">
        <v>4849</v>
      </c>
      <c r="I1094" s="3"/>
      <c r="J1094" s="3" t="s">
        <v>4850</v>
      </c>
      <c r="K1094" s="3"/>
      <c r="L1094" s="3" t="s">
        <v>4851</v>
      </c>
      <c r="M1094" s="3" t="str">
        <f>HYPERLINK("https://ceds.ed.gov/cedselementdetails.aspx?termid=5692")</f>
        <v>https://ceds.ed.gov/cedselementdetails.aspx?termid=5692</v>
      </c>
      <c r="N1094" s="3" t="str">
        <f>HYPERLINK("https://ceds.ed.gov/elementComment.aspx?elementName=Program Sponsor Type &amp;elementID=5692", "Click here to submit comment")</f>
        <v>Click here to submit comment</v>
      </c>
    </row>
    <row r="1095" spans="1:14" ht="45">
      <c r="A1095" s="3" t="s">
        <v>4852</v>
      </c>
      <c r="B1095" s="3" t="s">
        <v>4853</v>
      </c>
      <c r="C1095" s="3" t="s">
        <v>5963</v>
      </c>
      <c r="D1095" s="3" t="s">
        <v>229</v>
      </c>
      <c r="E1095" s="3" t="s">
        <v>65</v>
      </c>
      <c r="F1095" s="3"/>
      <c r="G1095" s="3"/>
      <c r="H1095" s="3"/>
      <c r="I1095" s="3"/>
      <c r="J1095" s="3" t="s">
        <v>4854</v>
      </c>
      <c r="K1095" s="3"/>
      <c r="L1095" s="3" t="s">
        <v>4855</v>
      </c>
      <c r="M1095" s="3" t="str">
        <f>HYPERLINK("https://ceds.ed.gov/cedselementdetails.aspx?termid=5859")</f>
        <v>https://ceds.ed.gov/cedselementdetails.aspx?termid=5859</v>
      </c>
      <c r="N1095" s="3" t="str">
        <f>HYPERLINK("https://ceds.ed.gov/elementComment.aspx?elementName=Program Transition Planning Policy &amp;elementID=5859", "Click here to submit comment")</f>
        <v>Click here to submit comment</v>
      </c>
    </row>
    <row r="1096" spans="1:14" ht="409.5">
      <c r="A1096" s="3" t="s">
        <v>4856</v>
      </c>
      <c r="B1096" s="3" t="s">
        <v>4857</v>
      </c>
      <c r="C1096" s="4" t="s">
        <v>6626</v>
      </c>
      <c r="D1096" s="3" t="s">
        <v>6301</v>
      </c>
      <c r="E1096" s="3" t="s">
        <v>5968</v>
      </c>
      <c r="F1096" s="3" t="s">
        <v>66</v>
      </c>
      <c r="G1096" s="3"/>
      <c r="H1096" s="3" t="s">
        <v>4858</v>
      </c>
      <c r="I1096" s="3"/>
      <c r="J1096" s="3" t="s">
        <v>4859</v>
      </c>
      <c r="K1096" s="3"/>
      <c r="L1096" s="3" t="s">
        <v>4860</v>
      </c>
      <c r="M1096" s="3" t="str">
        <f>HYPERLINK("https://ceds.ed.gov/cedselementdetails.aspx?termid=5225")</f>
        <v>https://ceds.ed.gov/cedselementdetails.aspx?termid=5225</v>
      </c>
      <c r="N1096" s="3" t="str">
        <f>HYPERLINK("https://ceds.ed.gov/elementComment.aspx?elementName=Program Type &amp;elementID=5225", "Click here to submit comment")</f>
        <v>Click here to submit comment</v>
      </c>
    </row>
    <row r="1097" spans="1:14" ht="165">
      <c r="A1097" s="3" t="s">
        <v>4861</v>
      </c>
      <c r="B1097" s="3" t="s">
        <v>4862</v>
      </c>
      <c r="C1097" s="4" t="s">
        <v>6627</v>
      </c>
      <c r="D1097" s="3" t="s">
        <v>30</v>
      </c>
      <c r="E1097" s="3" t="s">
        <v>218</v>
      </c>
      <c r="F1097" s="3"/>
      <c r="G1097" s="3"/>
      <c r="H1097" s="3"/>
      <c r="I1097" s="3"/>
      <c r="J1097" s="3" t="s">
        <v>4863</v>
      </c>
      <c r="K1097" s="3"/>
      <c r="L1097" s="3" t="s">
        <v>4864</v>
      </c>
      <c r="M1097" s="3" t="str">
        <f>HYPERLINK("https://ceds.ed.gov/cedselementdetails.aspx?termid=5553")</f>
        <v>https://ceds.ed.gov/cedselementdetails.aspx?termid=5553</v>
      </c>
      <c r="N1097" s="3" t="str">
        <f>HYPERLINK("https://ceds.ed.gov/elementComment.aspx?elementName=Progress Level &amp;elementID=5553", "Click here to submit comment")</f>
        <v>Click here to submit comment</v>
      </c>
    </row>
    <row r="1098" spans="1:14" ht="90">
      <c r="A1098" s="3" t="s">
        <v>4865</v>
      </c>
      <c r="B1098" s="3" t="s">
        <v>4866</v>
      </c>
      <c r="C1098" s="3" t="s">
        <v>13</v>
      </c>
      <c r="D1098" s="3" t="s">
        <v>30</v>
      </c>
      <c r="E1098" s="3" t="s">
        <v>5968</v>
      </c>
      <c r="F1098" s="3"/>
      <c r="G1098" s="3" t="s">
        <v>2191</v>
      </c>
      <c r="H1098" s="3"/>
      <c r="I1098" s="3"/>
      <c r="J1098" s="3" t="s">
        <v>4867</v>
      </c>
      <c r="K1098" s="3"/>
      <c r="L1098" s="3" t="s">
        <v>4868</v>
      </c>
      <c r="M1098" s="3" t="str">
        <f>HYPERLINK("https://ceds.ed.gov/cedselementdetails.aspx?termid=5226")</f>
        <v>https://ceds.ed.gov/cedselementdetails.aspx?termid=5226</v>
      </c>
      <c r="N1098" s="3" t="str">
        <f>HYPERLINK("https://ceds.ed.gov/elementComment.aspx?elementName=Projected Graduation Date &amp;elementID=5226", "Click here to submit comment")</f>
        <v>Click here to submit comment</v>
      </c>
    </row>
    <row r="1099" spans="1:14" ht="150">
      <c r="A1099" s="3" t="s">
        <v>4869</v>
      </c>
      <c r="B1099" s="3" t="s">
        <v>4870</v>
      </c>
      <c r="C1099" s="4" t="s">
        <v>6628</v>
      </c>
      <c r="D1099" s="3" t="s">
        <v>30</v>
      </c>
      <c r="E1099" s="3"/>
      <c r="F1099" s="3"/>
      <c r="G1099" s="3"/>
      <c r="H1099" s="3"/>
      <c r="I1099" s="3"/>
      <c r="J1099" s="3" t="s">
        <v>4871</v>
      </c>
      <c r="K1099" s="3"/>
      <c r="L1099" s="3" t="s">
        <v>4872</v>
      </c>
      <c r="M1099" s="3" t="str">
        <f>HYPERLINK("https://ceds.ed.gov/cedselementdetails.aspx?termid=5521")</f>
        <v>https://ceds.ed.gov/cedselementdetails.aspx?termid=5521</v>
      </c>
      <c r="N1099" s="3" t="str">
        <f>HYPERLINK("https://ceds.ed.gov/elementComment.aspx?elementName=Promotion Reason &amp;elementID=5521", "Click here to submit comment")</f>
        <v>Click here to submit comment</v>
      </c>
    </row>
    <row r="1100" spans="1:14" ht="75">
      <c r="A1100" s="3" t="s">
        <v>4873</v>
      </c>
      <c r="B1100" s="3" t="s">
        <v>4874</v>
      </c>
      <c r="C1100" s="4" t="s">
        <v>6629</v>
      </c>
      <c r="D1100" s="3" t="s">
        <v>2644</v>
      </c>
      <c r="E1100" s="3" t="s">
        <v>2147</v>
      </c>
      <c r="F1100" s="3" t="s">
        <v>66</v>
      </c>
      <c r="G1100" s="3"/>
      <c r="H1100" s="3" t="s">
        <v>4875</v>
      </c>
      <c r="I1100" s="3"/>
      <c r="J1100" s="3" t="s">
        <v>4876</v>
      </c>
      <c r="K1100" s="3"/>
      <c r="L1100" s="3" t="s">
        <v>4877</v>
      </c>
      <c r="M1100" s="3" t="str">
        <f>HYPERLINK("https://ceds.ed.gov/cedselementdetails.aspx?termid=5305")</f>
        <v>https://ceds.ed.gov/cedselementdetails.aspx?termid=5305</v>
      </c>
      <c r="N1100" s="3" t="str">
        <f>HYPERLINK("https://ceds.ed.gov/elementComment.aspx?elementName=Proof of Residency Type &amp;elementID=5305", "Click here to submit comment")</f>
        <v>Click here to submit comment</v>
      </c>
    </row>
    <row r="1101" spans="1:14" ht="45">
      <c r="A1101" s="3" t="s">
        <v>4878</v>
      </c>
      <c r="B1101" s="3" t="s">
        <v>4879</v>
      </c>
      <c r="C1101" s="3" t="s">
        <v>13</v>
      </c>
      <c r="D1101" s="3" t="s">
        <v>248</v>
      </c>
      <c r="E1101" s="3"/>
      <c r="F1101" s="3"/>
      <c r="G1101" s="3" t="s">
        <v>4880</v>
      </c>
      <c r="H1101" s="3"/>
      <c r="I1101" s="3"/>
      <c r="J1101" s="3" t="s">
        <v>4881</v>
      </c>
      <c r="K1101" s="3"/>
      <c r="L1101" s="3" t="s">
        <v>4882</v>
      </c>
      <c r="M1101" s="3" t="str">
        <f>HYPERLINK("https://ceds.ed.gov/cedselementdetails.aspx?termid=5776")</f>
        <v>https://ceds.ed.gov/cedselementdetails.aspx?termid=5776</v>
      </c>
      <c r="N1101" s="3" t="str">
        <f>HYPERLINK("https://ceds.ed.gov/elementComment.aspx?elementName=Proxy Contact Hours &amp;elementID=5776", "Click here to submit comment")</f>
        <v>Click here to submit comment</v>
      </c>
    </row>
    <row r="1102" spans="1:14" ht="75">
      <c r="A1102" s="3" t="s">
        <v>4883</v>
      </c>
      <c r="B1102" s="3" t="s">
        <v>4884</v>
      </c>
      <c r="C1102" s="3" t="s">
        <v>5963</v>
      </c>
      <c r="D1102" s="3" t="s">
        <v>2248</v>
      </c>
      <c r="E1102" s="3"/>
      <c r="F1102" s="3"/>
      <c r="G1102" s="3"/>
      <c r="H1102" s="3"/>
      <c r="I1102" s="3"/>
      <c r="J1102" s="3" t="s">
        <v>4885</v>
      </c>
      <c r="K1102" s="3"/>
      <c r="L1102" s="3" t="s">
        <v>4886</v>
      </c>
      <c r="M1102" s="3" t="str">
        <f>HYPERLINK("https://ceds.ed.gov/cedselementdetails.aspx?termid=5760")</f>
        <v>https://ceds.ed.gov/cedselementdetails.aspx?termid=5760</v>
      </c>
      <c r="N1102" s="3" t="str">
        <f>HYPERLINK("https://ceds.ed.gov/elementComment.aspx?elementName=Public Assistance Status &amp;elementID=5760", "Click here to submit comment")</f>
        <v>Click here to submit comment</v>
      </c>
    </row>
    <row r="1103" spans="1:14" ht="60">
      <c r="A1103" s="3" t="s">
        <v>4887</v>
      </c>
      <c r="B1103" s="3" t="s">
        <v>4888</v>
      </c>
      <c r="C1103" s="3" t="s">
        <v>13</v>
      </c>
      <c r="D1103" s="3" t="s">
        <v>2822</v>
      </c>
      <c r="E1103" s="3" t="s">
        <v>218</v>
      </c>
      <c r="F1103" s="3"/>
      <c r="G1103" s="3" t="s">
        <v>1461</v>
      </c>
      <c r="H1103" s="3"/>
      <c r="I1103" s="3"/>
      <c r="J1103" s="3" t="s">
        <v>4889</v>
      </c>
      <c r="K1103" s="3"/>
      <c r="L1103" s="3" t="s">
        <v>4890</v>
      </c>
      <c r="M1103" s="3" t="str">
        <f>HYPERLINK("https://ceds.ed.gov/cedselementdetails.aspx?termid=5560")</f>
        <v>https://ceds.ed.gov/cedselementdetails.aspx?termid=5560</v>
      </c>
      <c r="N1103" s="3" t="str">
        <f>HYPERLINK("https://ceds.ed.gov/elementComment.aspx?elementName=Public School Choice Funds Spent &amp;elementID=5560", "Click here to submit comment")</f>
        <v>Click here to submit comment</v>
      </c>
    </row>
    <row r="1104" spans="1:14" ht="165">
      <c r="A1104" s="3" t="s">
        <v>4891</v>
      </c>
      <c r="B1104" s="3" t="s">
        <v>4892</v>
      </c>
      <c r="C1104" s="4" t="s">
        <v>6630</v>
      </c>
      <c r="D1104" s="3" t="s">
        <v>59</v>
      </c>
      <c r="E1104" s="3" t="s">
        <v>218</v>
      </c>
      <c r="F1104" s="3"/>
      <c r="G1104" s="3"/>
      <c r="H1104" s="3"/>
      <c r="I1104" s="3"/>
      <c r="J1104" s="3" t="s">
        <v>4893</v>
      </c>
      <c r="K1104" s="3"/>
      <c r="L1104" s="3" t="s">
        <v>4894</v>
      </c>
      <c r="M1104" s="3" t="str">
        <f>HYPERLINK("https://ceds.ed.gov/cedselementdetails.aspx?termid=5227")</f>
        <v>https://ceds.ed.gov/cedselementdetails.aspx?termid=5227</v>
      </c>
      <c r="N1104" s="3" t="str">
        <f>HYPERLINK("https://ceds.ed.gov/elementComment.aspx?elementName=Public School Choice Implementation Status &amp;elementID=5227", "Click here to submit comment")</f>
        <v>Click here to submit comment</v>
      </c>
    </row>
    <row r="1105" spans="1:14" ht="150">
      <c r="A1105" s="3" t="s">
        <v>4895</v>
      </c>
      <c r="B1105" s="3" t="s">
        <v>4896</v>
      </c>
      <c r="C1105" s="4" t="s">
        <v>6631</v>
      </c>
      <c r="D1105" s="3" t="s">
        <v>1675</v>
      </c>
      <c r="E1105" s="3"/>
      <c r="F1105" s="3"/>
      <c r="G1105" s="3"/>
      <c r="H1105" s="3"/>
      <c r="I1105" s="3"/>
      <c r="J1105" s="3" t="s">
        <v>4897</v>
      </c>
      <c r="K1105" s="3"/>
      <c r="L1105" s="3" t="s">
        <v>4898</v>
      </c>
      <c r="M1105" s="3" t="str">
        <f>HYPERLINK("https://ceds.ed.gov/cedselementdetails.aspx?termid=5523")</f>
        <v>https://ceds.ed.gov/cedselementdetails.aspx?termid=5523</v>
      </c>
      <c r="N1105" s="3" t="str">
        <f>HYPERLINK("https://ceds.ed.gov/elementComment.aspx?elementName=Public School Residence Status &amp;elementID=5523", "Click here to submit comment")</f>
        <v>Click here to submit comment</v>
      </c>
    </row>
    <row r="1106" spans="1:14" ht="90">
      <c r="A1106" s="3" t="s">
        <v>4899</v>
      </c>
      <c r="B1106" s="3" t="s">
        <v>4900</v>
      </c>
      <c r="C1106" s="4" t="s">
        <v>6632</v>
      </c>
      <c r="D1106" s="3" t="s">
        <v>4166</v>
      </c>
      <c r="E1106" s="3"/>
      <c r="F1106" s="3" t="s">
        <v>54</v>
      </c>
      <c r="G1106" s="3"/>
      <c r="H1106" s="3"/>
      <c r="I1106" s="3"/>
      <c r="J1106" s="3" t="s">
        <v>4901</v>
      </c>
      <c r="K1106" s="3"/>
      <c r="L1106" s="3" t="s">
        <v>4902</v>
      </c>
      <c r="M1106" s="3" t="str">
        <f>HYPERLINK("https://ceds.ed.gov/cedselementdetails.aspx?termid=6299")</f>
        <v>https://ceds.ed.gov/cedselementdetails.aspx?termid=6299</v>
      </c>
      <c r="N1106" s="3" t="str">
        <f>HYPERLINK("https://ceds.ed.gov/elementComment.aspx?elementName=Purpose of Monitoring Visit &amp;elementID=6299", "Click here to submit comment")</f>
        <v>Click here to submit comment</v>
      </c>
    </row>
    <row r="1107" spans="1:14" ht="30">
      <c r="A1107" s="3" t="s">
        <v>4903</v>
      </c>
      <c r="B1107" s="3" t="s">
        <v>4904</v>
      </c>
      <c r="C1107" s="3" t="s">
        <v>13</v>
      </c>
      <c r="D1107" s="3" t="s">
        <v>1479</v>
      </c>
      <c r="E1107" s="3" t="s">
        <v>1480</v>
      </c>
      <c r="F1107" s="3"/>
      <c r="G1107" s="3" t="s">
        <v>100</v>
      </c>
      <c r="H1107" s="3"/>
      <c r="I1107" s="3"/>
      <c r="J1107" s="3" t="s">
        <v>4905</v>
      </c>
      <c r="K1107" s="3"/>
      <c r="L1107" s="3" t="s">
        <v>4906</v>
      </c>
      <c r="M1107" s="3" t="str">
        <f>HYPERLINK("https://ceds.ed.gov/cedselementdetails.aspx?termid=5423")</f>
        <v>https://ceds.ed.gov/cedselementdetails.aspx?termid=5423</v>
      </c>
      <c r="N1107" s="3" t="str">
        <f>HYPERLINK("https://ceds.ed.gov/elementComment.aspx?elementName=Qualifying Move From City &amp;elementID=5423", "Click here to submit comment")</f>
        <v>Click here to submit comment</v>
      </c>
    </row>
    <row r="1108" spans="1:14" ht="409.5">
      <c r="A1108" s="3" t="s">
        <v>4907</v>
      </c>
      <c r="B1108" s="3" t="s">
        <v>4908</v>
      </c>
      <c r="C1108" s="4" t="s">
        <v>6433</v>
      </c>
      <c r="D1108" s="3" t="s">
        <v>1479</v>
      </c>
      <c r="E1108" s="3" t="s">
        <v>1480</v>
      </c>
      <c r="F1108" s="3"/>
      <c r="G1108" s="3"/>
      <c r="H1108" s="3"/>
      <c r="I1108" s="3"/>
      <c r="J1108" s="3" t="s">
        <v>4909</v>
      </c>
      <c r="K1108" s="3"/>
      <c r="L1108" s="3" t="s">
        <v>4910</v>
      </c>
      <c r="M1108" s="3" t="str">
        <f>HYPERLINK("https://ceds.ed.gov/cedselementdetails.aspx?termid=5424")</f>
        <v>https://ceds.ed.gov/cedselementdetails.aspx?termid=5424</v>
      </c>
      <c r="N1108" s="3" t="str">
        <f>HYPERLINK("https://ceds.ed.gov/elementComment.aspx?elementName=Qualifying Move From Country &amp;elementID=5424", "Click here to submit comment")</f>
        <v>Click here to submit comment</v>
      </c>
    </row>
    <row r="1109" spans="1:14" ht="409.5">
      <c r="A1109" s="3" t="s">
        <v>4911</v>
      </c>
      <c r="B1109" s="3" t="s">
        <v>4912</v>
      </c>
      <c r="C1109" s="4" t="s">
        <v>6633</v>
      </c>
      <c r="D1109" s="3" t="s">
        <v>1479</v>
      </c>
      <c r="E1109" s="3" t="s">
        <v>1480</v>
      </c>
      <c r="F1109" s="3"/>
      <c r="G1109" s="3"/>
      <c r="H1109" s="3"/>
      <c r="I1109" s="3"/>
      <c r="J1109" s="3" t="s">
        <v>4913</v>
      </c>
      <c r="K1109" s="3"/>
      <c r="L1109" s="3" t="s">
        <v>4914</v>
      </c>
      <c r="M1109" s="3" t="str">
        <f>HYPERLINK("https://ceds.ed.gov/cedselementdetails.aspx?termid=5425")</f>
        <v>https://ceds.ed.gov/cedselementdetails.aspx?termid=5425</v>
      </c>
      <c r="N1109" s="3" t="str">
        <f>HYPERLINK("https://ceds.ed.gov/elementComment.aspx?elementName=Qualifying Move From State &amp;elementID=5425", "Click here to submit comment")</f>
        <v>Click here to submit comment</v>
      </c>
    </row>
    <row r="1110" spans="1:14" ht="30">
      <c r="A1110" s="3" t="s">
        <v>4915</v>
      </c>
      <c r="B1110" s="3" t="s">
        <v>4916</v>
      </c>
      <c r="C1110" s="3" t="s">
        <v>13</v>
      </c>
      <c r="D1110" s="3" t="s">
        <v>4917</v>
      </c>
      <c r="E1110" s="3"/>
      <c r="F1110" s="3" t="s">
        <v>54</v>
      </c>
      <c r="G1110" s="3" t="s">
        <v>100</v>
      </c>
      <c r="H1110" s="3"/>
      <c r="I1110" s="3"/>
      <c r="J1110" s="3" t="s">
        <v>4918</v>
      </c>
      <c r="K1110" s="3"/>
      <c r="L1110" s="3" t="s">
        <v>4919</v>
      </c>
      <c r="M1110" s="3" t="str">
        <f>HYPERLINK("https://ceds.ed.gov/cedselementdetails.aspx?termid=6432")</f>
        <v>https://ceds.ed.gov/cedselementdetails.aspx?termid=6432</v>
      </c>
      <c r="N1110" s="3" t="str">
        <f>HYPERLINK("https://ceds.ed.gov/elementComment.aspx?elementName=Quality Initiative Maximum Score &amp;elementID=6432", "Click here to submit comment")</f>
        <v>Click here to submit comment</v>
      </c>
    </row>
    <row r="1111" spans="1:14" ht="30">
      <c r="A1111" s="3" t="s">
        <v>4920</v>
      </c>
      <c r="B1111" s="3" t="s">
        <v>4921</v>
      </c>
      <c r="C1111" s="3" t="s">
        <v>13</v>
      </c>
      <c r="D1111" s="3" t="s">
        <v>4917</v>
      </c>
      <c r="E1111" s="3"/>
      <c r="F1111" s="3" t="s">
        <v>54</v>
      </c>
      <c r="G1111" s="3" t="s">
        <v>100</v>
      </c>
      <c r="H1111" s="3"/>
      <c r="I1111" s="3"/>
      <c r="J1111" s="3" t="s">
        <v>4922</v>
      </c>
      <c r="K1111" s="3"/>
      <c r="L1111" s="3" t="s">
        <v>4923</v>
      </c>
      <c r="M1111" s="3" t="str">
        <f>HYPERLINK("https://ceds.ed.gov/cedselementdetails.aspx?termid=6433")</f>
        <v>https://ceds.ed.gov/cedselementdetails.aspx?termid=6433</v>
      </c>
      <c r="N1111" s="3" t="str">
        <f>HYPERLINK("https://ceds.ed.gov/elementComment.aspx?elementName=Quality Initiative Minimum Score &amp;elementID=6433", "Click here to submit comment")</f>
        <v>Click here to submit comment</v>
      </c>
    </row>
    <row r="1112" spans="1:14" ht="30">
      <c r="A1112" s="3" t="s">
        <v>4924</v>
      </c>
      <c r="B1112" s="3" t="s">
        <v>4925</v>
      </c>
      <c r="C1112" s="3" t="s">
        <v>13</v>
      </c>
      <c r="D1112" s="3" t="s">
        <v>4917</v>
      </c>
      <c r="E1112" s="3"/>
      <c r="F1112" s="3" t="s">
        <v>54</v>
      </c>
      <c r="G1112" s="3" t="s">
        <v>73</v>
      </c>
      <c r="H1112" s="3"/>
      <c r="I1112" s="3"/>
      <c r="J1112" s="3" t="s">
        <v>4926</v>
      </c>
      <c r="K1112" s="3"/>
      <c r="L1112" s="3" t="s">
        <v>4927</v>
      </c>
      <c r="M1112" s="3" t="str">
        <f>HYPERLINK("https://ceds.ed.gov/cedselementdetails.aspx?termid=6436")</f>
        <v>https://ceds.ed.gov/cedselementdetails.aspx?termid=6436</v>
      </c>
      <c r="N1112" s="3" t="str">
        <f>HYPERLINK("https://ceds.ed.gov/elementComment.aspx?elementName=Quality Initiative Participation End Date &amp;elementID=6436", "Click here to submit comment")</f>
        <v>Click here to submit comment</v>
      </c>
    </row>
    <row r="1113" spans="1:14" ht="45">
      <c r="A1113" s="3" t="s">
        <v>4928</v>
      </c>
      <c r="B1113" s="3" t="s">
        <v>4929</v>
      </c>
      <c r="C1113" s="3" t="s">
        <v>5963</v>
      </c>
      <c r="D1113" s="3" t="s">
        <v>4917</v>
      </c>
      <c r="E1113" s="3"/>
      <c r="F1113" s="3" t="s">
        <v>54</v>
      </c>
      <c r="G1113" s="3"/>
      <c r="H1113" s="3"/>
      <c r="I1113" s="3"/>
      <c r="J1113" s="3" t="s">
        <v>4930</v>
      </c>
      <c r="K1113" s="3"/>
      <c r="L1113" s="3" t="s">
        <v>4931</v>
      </c>
      <c r="M1113" s="3" t="str">
        <f>HYPERLINK("https://ceds.ed.gov/cedselementdetails.aspx?termid=6435")</f>
        <v>https://ceds.ed.gov/cedselementdetails.aspx?termid=6435</v>
      </c>
      <c r="N1113" s="3" t="str">
        <f>HYPERLINK("https://ceds.ed.gov/elementComment.aspx?elementName=Quality Initiative Participation Indicator &amp;elementID=6435", "Click here to submit comment")</f>
        <v>Click here to submit comment</v>
      </c>
    </row>
    <row r="1114" spans="1:14" ht="30">
      <c r="A1114" s="3" t="s">
        <v>4932</v>
      </c>
      <c r="B1114" s="3" t="s">
        <v>4933</v>
      </c>
      <c r="C1114" s="3" t="s">
        <v>13</v>
      </c>
      <c r="D1114" s="3" t="s">
        <v>4917</v>
      </c>
      <c r="E1114" s="3"/>
      <c r="F1114" s="3" t="s">
        <v>54</v>
      </c>
      <c r="G1114" s="3" t="s">
        <v>73</v>
      </c>
      <c r="H1114" s="3"/>
      <c r="I1114" s="3"/>
      <c r="J1114" s="3" t="s">
        <v>4934</v>
      </c>
      <c r="K1114" s="3"/>
      <c r="L1114" s="3" t="s">
        <v>4935</v>
      </c>
      <c r="M1114" s="3" t="str">
        <f>HYPERLINK("https://ceds.ed.gov/cedselementdetails.aspx?termid=6437")</f>
        <v>https://ceds.ed.gov/cedselementdetails.aspx?termid=6437</v>
      </c>
      <c r="N1114" s="3" t="str">
        <f>HYPERLINK("https://ceds.ed.gov/elementComment.aspx?elementName=Quality Initiative Participation Start Date &amp;elementID=6437", "Click here to submit comment")</f>
        <v>Click here to submit comment</v>
      </c>
    </row>
    <row r="1115" spans="1:14" ht="60">
      <c r="A1115" s="3" t="s">
        <v>4936</v>
      </c>
      <c r="B1115" s="3" t="s">
        <v>4937</v>
      </c>
      <c r="C1115" s="3" t="s">
        <v>13</v>
      </c>
      <c r="D1115" s="3" t="s">
        <v>4917</v>
      </c>
      <c r="E1115" s="3"/>
      <c r="F1115" s="3" t="s">
        <v>54</v>
      </c>
      <c r="G1115" s="3" t="s">
        <v>100</v>
      </c>
      <c r="H1115" s="3"/>
      <c r="I1115" s="3"/>
      <c r="J1115" s="3" t="s">
        <v>4938</v>
      </c>
      <c r="K1115" s="3"/>
      <c r="L1115" s="3" t="s">
        <v>4939</v>
      </c>
      <c r="M1115" s="3" t="str">
        <f>HYPERLINK("https://ceds.ed.gov/cedselementdetails.aspx?termid=6434")</f>
        <v>https://ceds.ed.gov/cedselementdetails.aspx?termid=6434</v>
      </c>
      <c r="N1115" s="3" t="str">
        <f>HYPERLINK("https://ceds.ed.gov/elementComment.aspx?elementName=Quality Initiative Score Level &amp;elementID=6434", "Click here to submit comment")</f>
        <v>Click here to submit comment</v>
      </c>
    </row>
    <row r="1116" spans="1:14" ht="45">
      <c r="A1116" s="3" t="s">
        <v>4940</v>
      </c>
      <c r="B1116" s="3" t="s">
        <v>4941</v>
      </c>
      <c r="C1116" s="3" t="s">
        <v>13</v>
      </c>
      <c r="D1116" s="3" t="s">
        <v>4304</v>
      </c>
      <c r="E1116" s="3" t="s">
        <v>65</v>
      </c>
      <c r="F1116" s="3"/>
      <c r="G1116" s="3" t="s">
        <v>73</v>
      </c>
      <c r="H1116" s="3"/>
      <c r="I1116" s="3"/>
      <c r="J1116" s="3" t="s">
        <v>4942</v>
      </c>
      <c r="K1116" s="3" t="s">
        <v>4943</v>
      </c>
      <c r="L1116" s="3" t="s">
        <v>4944</v>
      </c>
      <c r="M1116" s="3" t="str">
        <f>HYPERLINK("https://ceds.ed.gov/cedselementdetails.aspx?termid=5830")</f>
        <v>https://ceds.ed.gov/cedselementdetails.aspx?termid=5830</v>
      </c>
      <c r="N1116" s="3" t="str">
        <f>HYPERLINK("https://ceds.ed.gov/elementComment.aspx?elementName=Quality Rating and Improvement System Award Date &amp;elementID=5830", "Click here to submit comment")</f>
        <v>Click here to submit comment</v>
      </c>
    </row>
    <row r="1117" spans="1:14" ht="30">
      <c r="A1117" s="3" t="s">
        <v>4945</v>
      </c>
      <c r="B1117" s="3" t="s">
        <v>4946</v>
      </c>
      <c r="C1117" s="3" t="s">
        <v>13</v>
      </c>
      <c r="D1117" s="3" t="s">
        <v>4304</v>
      </c>
      <c r="E1117" s="3" t="s">
        <v>65</v>
      </c>
      <c r="F1117" s="3"/>
      <c r="G1117" s="3" t="s">
        <v>73</v>
      </c>
      <c r="H1117" s="3"/>
      <c r="I1117" s="3"/>
      <c r="J1117" s="3" t="s">
        <v>4947</v>
      </c>
      <c r="K1117" s="3" t="s">
        <v>4948</v>
      </c>
      <c r="L1117" s="3" t="s">
        <v>4949</v>
      </c>
      <c r="M1117" s="3" t="str">
        <f>HYPERLINK("https://ceds.ed.gov/cedselementdetails.aspx?termid=5831")</f>
        <v>https://ceds.ed.gov/cedselementdetails.aspx?termid=5831</v>
      </c>
      <c r="N1117" s="3" t="str">
        <f>HYPERLINK("https://ceds.ed.gov/elementComment.aspx?elementName=Quality Rating and Improvement System Expiration Date &amp;elementID=5831", "Click here to submit comment")</f>
        <v>Click here to submit comment</v>
      </c>
    </row>
    <row r="1118" spans="1:14" ht="105">
      <c r="A1118" s="3" t="s">
        <v>4950</v>
      </c>
      <c r="B1118" s="3" t="s">
        <v>4951</v>
      </c>
      <c r="C1118" s="4" t="s">
        <v>6634</v>
      </c>
      <c r="D1118" s="3" t="s">
        <v>4304</v>
      </c>
      <c r="E1118" s="3" t="s">
        <v>4952</v>
      </c>
      <c r="F1118" s="3"/>
      <c r="G1118" s="3"/>
      <c r="H1118" s="3"/>
      <c r="I1118" s="3"/>
      <c r="J1118" s="3" t="s">
        <v>4953</v>
      </c>
      <c r="K1118" s="3" t="s">
        <v>4954</v>
      </c>
      <c r="L1118" s="3" t="s">
        <v>4955</v>
      </c>
      <c r="M1118" s="3" t="str">
        <f>HYPERLINK("https://ceds.ed.gov/cedselementdetails.aspx?termid=5356")</f>
        <v>https://ceds.ed.gov/cedselementdetails.aspx?termid=5356</v>
      </c>
      <c r="N1118" s="3" t="str">
        <f>HYPERLINK("https://ceds.ed.gov/elementComment.aspx?elementName=Quality Rating and Improvement System Participation &amp;elementID=5356", "Click here to submit comment")</f>
        <v>Click here to submit comment</v>
      </c>
    </row>
    <row r="1119" spans="1:14" ht="45">
      <c r="A1119" s="3" t="s">
        <v>4956</v>
      </c>
      <c r="B1119" s="3" t="s">
        <v>4957</v>
      </c>
      <c r="C1119" s="3" t="s">
        <v>13</v>
      </c>
      <c r="D1119" s="3" t="s">
        <v>4304</v>
      </c>
      <c r="E1119" s="3" t="s">
        <v>4952</v>
      </c>
      <c r="F1119" s="3"/>
      <c r="G1119" s="3" t="s">
        <v>1249</v>
      </c>
      <c r="H1119" s="3"/>
      <c r="I1119" s="3"/>
      <c r="J1119" s="3" t="s">
        <v>4958</v>
      </c>
      <c r="K1119" s="3" t="s">
        <v>4959</v>
      </c>
      <c r="L1119" s="3" t="s">
        <v>4960</v>
      </c>
      <c r="M1119" s="3" t="str">
        <f>HYPERLINK("https://ceds.ed.gov/cedselementdetails.aspx?termid=5357")</f>
        <v>https://ceds.ed.gov/cedselementdetails.aspx?termid=5357</v>
      </c>
      <c r="N1119" s="3" t="str">
        <f>HYPERLINK("https://ceds.ed.gov/elementComment.aspx?elementName=Quality Rating and Improvement System Score &amp;elementID=5357", "Click here to submit comment")</f>
        <v>Click here to submit comment</v>
      </c>
    </row>
    <row r="1120" spans="1:14" ht="210">
      <c r="A1120" s="3" t="s">
        <v>4961</v>
      </c>
      <c r="B1120" s="3" t="s">
        <v>4962</v>
      </c>
      <c r="C1120" s="3" t="s">
        <v>13</v>
      </c>
      <c r="D1120" s="3" t="s">
        <v>2483</v>
      </c>
      <c r="E1120" s="3"/>
      <c r="F1120" s="3" t="s">
        <v>66</v>
      </c>
      <c r="G1120" s="3" t="s">
        <v>3496</v>
      </c>
      <c r="H1120" s="3" t="s">
        <v>4963</v>
      </c>
      <c r="I1120" s="3" t="s">
        <v>4964</v>
      </c>
      <c r="J1120" s="3" t="s">
        <v>4965</v>
      </c>
      <c r="K1120" s="3"/>
      <c r="L1120" s="3" t="s">
        <v>4966</v>
      </c>
      <c r="M1120" s="3" t="str">
        <f>HYPERLINK("https://ceds.ed.gov/cedselementdetails.aspx?termid=5991")</f>
        <v>https://ceds.ed.gov/cedselementdetails.aspx?termid=5991</v>
      </c>
      <c r="N1120" s="3" t="str">
        <f>HYPERLINK("https://ceds.ed.gov/elementComment.aspx?elementName=Quarterly Earnings &amp;elementID=5991", "Click here to submit comment")</f>
        <v>Click here to submit comment</v>
      </c>
    </row>
    <row r="1121" spans="1:14" ht="30">
      <c r="A1121" s="3" t="s">
        <v>4967</v>
      </c>
      <c r="B1121" s="3" t="s">
        <v>4968</v>
      </c>
      <c r="C1121" s="3" t="s">
        <v>13</v>
      </c>
      <c r="D1121" s="3" t="s">
        <v>3037</v>
      </c>
      <c r="E1121" s="3"/>
      <c r="F1121" s="3" t="s">
        <v>54</v>
      </c>
      <c r="G1121" s="3" t="s">
        <v>319</v>
      </c>
      <c r="H1121" s="3"/>
      <c r="I1121" s="3"/>
      <c r="J1121" s="3" t="s">
        <v>4969</v>
      </c>
      <c r="K1121" s="3"/>
      <c r="L1121" s="3" t="s">
        <v>4970</v>
      </c>
      <c r="M1121" s="3" t="str">
        <f>HYPERLINK("https://ceds.ed.gov/cedselementdetails.aspx?termid=6460")</f>
        <v>https://ceds.ed.gov/cedselementdetails.aspx?termid=6460</v>
      </c>
      <c r="N1121" s="3" t="str">
        <f>HYPERLINK("https://ceds.ed.gov/elementComment.aspx?elementName=Reason for Declined Services &amp;elementID=6460", "Click here to submit comment")</f>
        <v>Click here to submit comment</v>
      </c>
    </row>
    <row r="1122" spans="1:14" ht="90">
      <c r="A1122" s="3" t="s">
        <v>4971</v>
      </c>
      <c r="B1122" s="3" t="s">
        <v>4972</v>
      </c>
      <c r="C1122" s="4" t="s">
        <v>6635</v>
      </c>
      <c r="D1122" s="3" t="s">
        <v>3037</v>
      </c>
      <c r="E1122" s="3"/>
      <c r="F1122" s="3" t="s">
        <v>54</v>
      </c>
      <c r="G1122" s="3"/>
      <c r="H1122" s="3"/>
      <c r="I1122" s="3"/>
      <c r="J1122" s="3" t="s">
        <v>4973</v>
      </c>
      <c r="K1122" s="3"/>
      <c r="L1122" s="3" t="s">
        <v>4974</v>
      </c>
      <c r="M1122" s="3" t="str">
        <f>HYPERLINK("https://ceds.ed.gov/cedselementdetails.aspx?termid=6494")</f>
        <v>https://ceds.ed.gov/cedselementdetails.aspx?termid=6494</v>
      </c>
      <c r="N1122" s="3" t="str">
        <f>HYPERLINK("https://ceds.ed.gov/elementComment.aspx?elementName=Reason for Delay of Transition Conference &amp;elementID=6494", "Click here to submit comment")</f>
        <v>Click here to submit comment</v>
      </c>
    </row>
    <row r="1123" spans="1:14" ht="135">
      <c r="A1123" s="3" t="s">
        <v>4975</v>
      </c>
      <c r="B1123" s="3" t="s">
        <v>4976</v>
      </c>
      <c r="C1123" s="4" t="s">
        <v>6636</v>
      </c>
      <c r="D1123" s="3" t="s">
        <v>6049</v>
      </c>
      <c r="E1123" s="3"/>
      <c r="F1123" s="3"/>
      <c r="G1123" s="3"/>
      <c r="H1123" s="3"/>
      <c r="I1123" s="3"/>
      <c r="J1123" s="3" t="s">
        <v>4977</v>
      </c>
      <c r="K1123" s="3"/>
      <c r="L1123" s="3" t="s">
        <v>4978</v>
      </c>
      <c r="M1123" s="3" t="str">
        <f>HYPERLINK("https://ceds.ed.gov/cedselementdetails.aspx?termid=5228")</f>
        <v>https://ceds.ed.gov/cedselementdetails.aspx?termid=5228</v>
      </c>
      <c r="N1123" s="3" t="str">
        <f>HYPERLINK("https://ceds.ed.gov/elementComment.aspx?elementName=Reason Not Tested &amp;elementID=5228", "Click here to submit comment")</f>
        <v>Click here to submit comment</v>
      </c>
    </row>
    <row r="1124" spans="1:14" ht="180">
      <c r="A1124" s="3" t="s">
        <v>4979</v>
      </c>
      <c r="B1124" s="3" t="s">
        <v>4980</v>
      </c>
      <c r="C1124" s="4" t="s">
        <v>6637</v>
      </c>
      <c r="D1124" s="3" t="s">
        <v>6302</v>
      </c>
      <c r="E1124" s="3"/>
      <c r="F1124" s="3"/>
      <c r="G1124" s="3"/>
      <c r="H1124" s="3"/>
      <c r="I1124" s="3"/>
      <c r="J1124" s="3" t="s">
        <v>4981</v>
      </c>
      <c r="K1124" s="3"/>
      <c r="L1124" s="3" t="s">
        <v>4982</v>
      </c>
      <c r="M1124" s="3" t="str">
        <f>HYPERLINK("https://ceds.ed.gov/cedselementdetails.aspx?termid=5515")</f>
        <v>https://ceds.ed.gov/cedselementdetails.aspx?termid=5515</v>
      </c>
      <c r="N1124" s="3" t="str">
        <f>HYPERLINK("https://ceds.ed.gov/elementComment.aspx?elementName=Receiving Location of Instruction &amp;elementID=5515", "Click here to submit comment")</f>
        <v>Click here to submit comment</v>
      </c>
    </row>
    <row r="1125" spans="1:14" ht="210">
      <c r="A1125" s="3" t="s">
        <v>4983</v>
      </c>
      <c r="B1125" s="3" t="s">
        <v>4984</v>
      </c>
      <c r="C1125" s="4" t="s">
        <v>6638</v>
      </c>
      <c r="D1125" s="3" t="s">
        <v>30</v>
      </c>
      <c r="E1125" s="3" t="s">
        <v>5968</v>
      </c>
      <c r="F1125" s="3"/>
      <c r="G1125" s="3"/>
      <c r="H1125" s="3"/>
      <c r="I1125" s="3"/>
      <c r="J1125" s="3" t="s">
        <v>4985</v>
      </c>
      <c r="K1125" s="3"/>
      <c r="L1125" s="3" t="s">
        <v>4986</v>
      </c>
      <c r="M1125" s="3" t="str">
        <f>HYPERLINK("https://ceds.ed.gov/cedselementdetails.aspx?termid=5229")</f>
        <v>https://ceds.ed.gov/cedselementdetails.aspx?termid=5229</v>
      </c>
      <c r="N1125" s="3" t="str">
        <f>HYPERLINK("https://ceds.ed.gov/elementComment.aspx?elementName=Recognition for Participation or Performance in an Activity &amp;elementID=5229", "Click here to submit comment")</f>
        <v>Click here to submit comment</v>
      </c>
    </row>
    <row r="1126" spans="1:14" ht="90">
      <c r="A1126" s="3" t="s">
        <v>4987</v>
      </c>
      <c r="B1126" s="3" t="s">
        <v>4988</v>
      </c>
      <c r="C1126" s="4" t="s">
        <v>6639</v>
      </c>
      <c r="D1126" s="3" t="s">
        <v>1806</v>
      </c>
      <c r="E1126" s="3" t="s">
        <v>218</v>
      </c>
      <c r="F1126" s="3" t="s">
        <v>66</v>
      </c>
      <c r="G1126" s="3"/>
      <c r="H1126" s="3" t="s">
        <v>4989</v>
      </c>
      <c r="I1126" s="3"/>
      <c r="J1126" s="3" t="s">
        <v>4990</v>
      </c>
      <c r="K1126" s="3"/>
      <c r="L1126" s="3" t="s">
        <v>4991</v>
      </c>
      <c r="M1126" s="3" t="str">
        <f>HYPERLINK("https://ceds.ed.gov/cedselementdetails.aspx?termid=5230")</f>
        <v>https://ceds.ed.gov/cedselementdetails.aspx?termid=5230</v>
      </c>
      <c r="N1126" s="3" t="str">
        <f>HYPERLINK("https://ceds.ed.gov/elementComment.aspx?elementName=Reconstituted Status &amp;elementID=5230", "Click here to submit comment")</f>
        <v>Click here to submit comment</v>
      </c>
    </row>
    <row r="1127" spans="1:14">
      <c r="A1127" s="3" t="s">
        <v>4992</v>
      </c>
      <c r="B1127" s="3" t="s">
        <v>4993</v>
      </c>
      <c r="C1127" s="3" t="s">
        <v>13</v>
      </c>
      <c r="D1127" s="3" t="s">
        <v>4994</v>
      </c>
      <c r="E1127" s="3"/>
      <c r="F1127" s="3" t="s">
        <v>54</v>
      </c>
      <c r="G1127" s="3" t="s">
        <v>73</v>
      </c>
      <c r="H1127" s="3"/>
      <c r="I1127" s="3"/>
      <c r="J1127" s="3" t="s">
        <v>4995</v>
      </c>
      <c r="K1127" s="3"/>
      <c r="L1127" s="3" t="s">
        <v>4996</v>
      </c>
      <c r="M1127" s="3" t="str">
        <f>HYPERLINK("https://ceds.ed.gov/cedselementdetails.aspx?termid=6453")</f>
        <v>https://ceds.ed.gov/cedselementdetails.aspx?termid=6453</v>
      </c>
      <c r="N1127" s="3" t="str">
        <f>HYPERLINK("https://ceds.ed.gov/elementComment.aspx?elementName=Referral Date &amp;elementID=6453", "Click here to submit comment")</f>
        <v>Click here to submit comment</v>
      </c>
    </row>
    <row r="1128" spans="1:14" ht="135">
      <c r="A1128" s="3" t="s">
        <v>4997</v>
      </c>
      <c r="B1128" s="3" t="s">
        <v>4998</v>
      </c>
      <c r="C1128" s="4" t="s">
        <v>6640</v>
      </c>
      <c r="D1128" s="3" t="s">
        <v>4994</v>
      </c>
      <c r="E1128" s="3"/>
      <c r="F1128" s="3" t="s">
        <v>54</v>
      </c>
      <c r="G1128" s="3"/>
      <c r="H1128" s="3"/>
      <c r="I1128" s="3"/>
      <c r="J1128" s="3" t="s">
        <v>4999</v>
      </c>
      <c r="K1128" s="3"/>
      <c r="L1128" s="3" t="s">
        <v>5000</v>
      </c>
      <c r="M1128" s="3" t="str">
        <f>HYPERLINK("https://ceds.ed.gov/cedselementdetails.aspx?termid=6454")</f>
        <v>https://ceds.ed.gov/cedselementdetails.aspx?termid=6454</v>
      </c>
      <c r="N1128" s="3" t="str">
        <f>HYPERLINK("https://ceds.ed.gov/elementComment.aspx?elementName=Referral Outcome &amp;elementID=6454", "Click here to submit comment")</f>
        <v>Click here to submit comment</v>
      </c>
    </row>
    <row r="1129" spans="1:14" ht="45">
      <c r="A1129" s="3" t="s">
        <v>5001</v>
      </c>
      <c r="B1129" s="3" t="s">
        <v>5002</v>
      </c>
      <c r="C1129" s="3" t="s">
        <v>5963</v>
      </c>
      <c r="D1129" s="3" t="s">
        <v>2387</v>
      </c>
      <c r="E1129" s="3" t="s">
        <v>65</v>
      </c>
      <c r="F1129" s="3"/>
      <c r="G1129" s="3"/>
      <c r="H1129" s="3"/>
      <c r="I1129" s="3"/>
      <c r="J1129" s="3" t="s">
        <v>5003</v>
      </c>
      <c r="K1129" s="3"/>
      <c r="L1129" s="3" t="s">
        <v>5004</v>
      </c>
      <c r="M1129" s="3" t="str">
        <f>HYPERLINK("https://ceds.ed.gov/cedselementdetails.aspx?termid=5850")</f>
        <v>https://ceds.ed.gov/cedselementdetails.aspx?termid=5850</v>
      </c>
      <c r="N1129" s="3" t="str">
        <f>HYPERLINK("https://ceds.ed.gov/elementComment.aspx?elementName=Referral Policy &amp;elementID=5850", "Click here to submit comment")</f>
        <v>Click here to submit comment</v>
      </c>
    </row>
    <row r="1130" spans="1:14">
      <c r="A1130" s="3" t="s">
        <v>5005</v>
      </c>
      <c r="B1130" s="3" t="s">
        <v>5006</v>
      </c>
      <c r="C1130" s="3" t="s">
        <v>13</v>
      </c>
      <c r="D1130" s="3" t="s">
        <v>4994</v>
      </c>
      <c r="E1130" s="3"/>
      <c r="F1130" s="3" t="s">
        <v>54</v>
      </c>
      <c r="G1130" s="3" t="s">
        <v>319</v>
      </c>
      <c r="H1130" s="3"/>
      <c r="I1130" s="3"/>
      <c r="J1130" s="3" t="s">
        <v>5007</v>
      </c>
      <c r="K1130" s="3"/>
      <c r="L1130" s="3" t="s">
        <v>5008</v>
      </c>
      <c r="M1130" s="3" t="str">
        <f>HYPERLINK("https://ceds.ed.gov/cedselementdetails.aspx?termid=6455")</f>
        <v>https://ceds.ed.gov/cedselementdetails.aspx?termid=6455</v>
      </c>
      <c r="N1130" s="3" t="str">
        <f>HYPERLINK("https://ceds.ed.gov/elementComment.aspx?elementName=Referral Reason &amp;elementID=6455", "Click here to submit comment")</f>
        <v>Click here to submit comment</v>
      </c>
    </row>
    <row r="1131" spans="1:14" ht="30">
      <c r="A1131" s="3" t="s">
        <v>5009</v>
      </c>
      <c r="B1131" s="3" t="s">
        <v>5010</v>
      </c>
      <c r="C1131" s="3" t="s">
        <v>13</v>
      </c>
      <c r="D1131" s="3" t="s">
        <v>4994</v>
      </c>
      <c r="E1131" s="3"/>
      <c r="F1131" s="3" t="s">
        <v>54</v>
      </c>
      <c r="G1131" s="3" t="s">
        <v>106</v>
      </c>
      <c r="H1131" s="3"/>
      <c r="I1131" s="3"/>
      <c r="J1131" s="3" t="s">
        <v>5011</v>
      </c>
      <c r="K1131" s="3"/>
      <c r="L1131" s="3" t="s">
        <v>5012</v>
      </c>
      <c r="M1131" s="3" t="str">
        <f>HYPERLINK("https://ceds.ed.gov/cedselementdetails.aspx?termid=6456")</f>
        <v>https://ceds.ed.gov/cedselementdetails.aspx?termid=6456</v>
      </c>
      <c r="N1131" s="3" t="str">
        <f>HYPERLINK("https://ceds.ed.gov/elementComment.aspx?elementName=Referral Source &amp;elementID=6456", "Click here to submit comment")</f>
        <v>Click here to submit comment</v>
      </c>
    </row>
    <row r="1132" spans="1:14">
      <c r="A1132" s="3" t="s">
        <v>5013</v>
      </c>
      <c r="B1132" s="3" t="s">
        <v>5014</v>
      </c>
      <c r="C1132" s="3" t="s">
        <v>13</v>
      </c>
      <c r="D1132" s="3" t="s">
        <v>4994</v>
      </c>
      <c r="E1132" s="3"/>
      <c r="F1132" s="3" t="s">
        <v>54</v>
      </c>
      <c r="G1132" s="3" t="s">
        <v>106</v>
      </c>
      <c r="H1132" s="3"/>
      <c r="I1132" s="3"/>
      <c r="J1132" s="3" t="s">
        <v>5015</v>
      </c>
      <c r="K1132" s="3"/>
      <c r="L1132" s="3" t="s">
        <v>5016</v>
      </c>
      <c r="M1132" s="3" t="str">
        <f>HYPERLINK("https://ceds.ed.gov/cedselementdetails.aspx?termid=6457")</f>
        <v>https://ceds.ed.gov/cedselementdetails.aspx?termid=6457</v>
      </c>
      <c r="N1132" s="3" t="str">
        <f>HYPERLINK("https://ceds.ed.gov/elementComment.aspx?elementName=Referral Type &amp;elementID=6457", "Click here to submit comment")</f>
        <v>Click here to submit comment</v>
      </c>
    </row>
    <row r="1133" spans="1:14" ht="30">
      <c r="A1133" s="3" t="s">
        <v>5017</v>
      </c>
      <c r="B1133" s="3" t="s">
        <v>5018</v>
      </c>
      <c r="C1133" s="3" t="s">
        <v>13</v>
      </c>
      <c r="D1133" s="3" t="s">
        <v>4994</v>
      </c>
      <c r="E1133" s="3"/>
      <c r="F1133" s="3" t="s">
        <v>54</v>
      </c>
      <c r="G1133" s="3" t="s">
        <v>106</v>
      </c>
      <c r="H1133" s="3"/>
      <c r="I1133" s="3"/>
      <c r="J1133" s="3" t="s">
        <v>5019</v>
      </c>
      <c r="K1133" s="3"/>
      <c r="L1133" s="3" t="s">
        <v>5020</v>
      </c>
      <c r="M1133" s="3" t="str">
        <f>HYPERLINK("https://ceds.ed.gov/cedselementdetails.aspx?termid=6458")</f>
        <v>https://ceds.ed.gov/cedselementdetails.aspx?termid=6458</v>
      </c>
      <c r="N1133" s="3" t="str">
        <f>HYPERLINK("https://ceds.ed.gov/elementComment.aspx?elementName=Referred To &amp;elementID=6458", "Click here to submit comment")</f>
        <v>Click here to submit comment</v>
      </c>
    </row>
    <row r="1134" spans="1:14" ht="45">
      <c r="A1134" s="3" t="s">
        <v>5021</v>
      </c>
      <c r="B1134" s="3" t="s">
        <v>5022</v>
      </c>
      <c r="C1134" s="3" t="s">
        <v>13</v>
      </c>
      <c r="D1134" s="3" t="s">
        <v>6303</v>
      </c>
      <c r="E1134" s="3"/>
      <c r="F1134" s="3"/>
      <c r="G1134" s="3" t="s">
        <v>106</v>
      </c>
      <c r="H1134" s="3"/>
      <c r="I1134" s="3"/>
      <c r="J1134" s="3" t="s">
        <v>5023</v>
      </c>
      <c r="K1134" s="3"/>
      <c r="L1134" s="3" t="s">
        <v>5024</v>
      </c>
      <c r="M1134" s="3" t="str">
        <f>HYPERLINK("https://ceds.ed.gov/cedselementdetails.aspx?termid=5231")</f>
        <v>https://ceds.ed.gov/cedselementdetails.aspx?termid=5231</v>
      </c>
      <c r="N1134" s="3" t="str">
        <f>HYPERLINK("https://ceds.ed.gov/elementComment.aspx?elementName=Related Learning Standards &amp;elementID=5231", "Click here to submit comment")</f>
        <v>Click here to submit comment</v>
      </c>
    </row>
    <row r="1135" spans="1:14" ht="75">
      <c r="A1135" s="3" t="s">
        <v>5025</v>
      </c>
      <c r="B1135" s="3" t="s">
        <v>5026</v>
      </c>
      <c r="C1135" s="3" t="s">
        <v>5963</v>
      </c>
      <c r="D1135" s="3" t="s">
        <v>6138</v>
      </c>
      <c r="E1135" s="3"/>
      <c r="F1135" s="3"/>
      <c r="G1135" s="3"/>
      <c r="H1135" s="3"/>
      <c r="I1135" s="3"/>
      <c r="J1135" s="3" t="s">
        <v>5027</v>
      </c>
      <c r="K1135" s="3"/>
      <c r="L1135" s="3" t="s">
        <v>5028</v>
      </c>
      <c r="M1135" s="3" t="str">
        <f>HYPERLINK("https://ceds.ed.gov/cedselementdetails.aspx?termid=5503")</f>
        <v>https://ceds.ed.gov/cedselementdetails.aspx?termid=5503</v>
      </c>
      <c r="N1135" s="3" t="str">
        <f>HYPERLINK("https://ceds.ed.gov/elementComment.aspx?elementName=Related to Zero Tolerance Policy &amp;elementID=5503", "Click here to submit comment")</f>
        <v>Click here to submit comment</v>
      </c>
    </row>
    <row r="1136" spans="1:14" ht="75">
      <c r="A1136" s="3" t="s">
        <v>5029</v>
      </c>
      <c r="B1136" s="3" t="s">
        <v>5030</v>
      </c>
      <c r="C1136" s="3" t="s">
        <v>13</v>
      </c>
      <c r="D1136" s="3" t="s">
        <v>2760</v>
      </c>
      <c r="E1136" s="3"/>
      <c r="F1136" s="3"/>
      <c r="G1136" s="3" t="s">
        <v>149</v>
      </c>
      <c r="H1136" s="3"/>
      <c r="I1136" s="3"/>
      <c r="J1136" s="3" t="s">
        <v>5031</v>
      </c>
      <c r="K1136" s="3"/>
      <c r="L1136" s="3" t="s">
        <v>5032</v>
      </c>
      <c r="M1136" s="3" t="str">
        <f>HYPERLINK("https://ceds.ed.gov/cedselementdetails.aspx?termid=5498")</f>
        <v>https://ceds.ed.gov/cedselementdetails.aspx?termid=5498</v>
      </c>
      <c r="N1136" s="3" t="str">
        <f>HYPERLINK("https://ceds.ed.gov/elementComment.aspx?elementName=Reporter Identifier &amp;elementID=5498", "Click here to submit comment")</f>
        <v>Click here to submit comment</v>
      </c>
    </row>
    <row r="1137" spans="1:14" ht="345">
      <c r="A1137" s="3" t="s">
        <v>5033</v>
      </c>
      <c r="B1137" s="3" t="s">
        <v>5034</v>
      </c>
      <c r="C1137" s="4" t="s">
        <v>6540</v>
      </c>
      <c r="D1137" s="3" t="s">
        <v>2387</v>
      </c>
      <c r="E1137" s="3" t="s">
        <v>2158</v>
      </c>
      <c r="F1137" s="3"/>
      <c r="G1137" s="3"/>
      <c r="H1137" s="3"/>
      <c r="I1137" s="3"/>
      <c r="J1137" s="3" t="s">
        <v>5035</v>
      </c>
      <c r="K1137" s="3"/>
      <c r="L1137" s="3" t="s">
        <v>5036</v>
      </c>
      <c r="M1137" s="3" t="str">
        <f>HYPERLINK("https://ceds.ed.gov/cedselementdetails.aspx?termid=5307")</f>
        <v>https://ceds.ed.gov/cedselementdetails.aspx?termid=5307</v>
      </c>
      <c r="N1137" s="3" t="str">
        <f>HYPERLINK("https://ceds.ed.gov/elementComment.aspx?elementName=Required Immunization &amp;elementID=5307", "Click here to submit comment")</f>
        <v>Click here to submit comment</v>
      </c>
    </row>
    <row r="1138" spans="1:14" ht="75">
      <c r="A1138" s="3" t="s">
        <v>5037</v>
      </c>
      <c r="B1138" s="3" t="s">
        <v>5038</v>
      </c>
      <c r="C1138" s="3" t="s">
        <v>13</v>
      </c>
      <c r="D1138" s="3" t="s">
        <v>1494</v>
      </c>
      <c r="E1138" s="3" t="s">
        <v>1495</v>
      </c>
      <c r="F1138" s="3"/>
      <c r="G1138" s="3" t="s">
        <v>1461</v>
      </c>
      <c r="H1138" s="3"/>
      <c r="I1138" s="3" t="s">
        <v>358</v>
      </c>
      <c r="J1138" s="3" t="s">
        <v>5039</v>
      </c>
      <c r="K1138" s="3"/>
      <c r="L1138" s="3" t="s">
        <v>5040</v>
      </c>
      <c r="M1138" s="3" t="str">
        <f>HYPERLINK("https://ceds.ed.gov/cedselementdetails.aspx?termid=5726")</f>
        <v>https://ceds.ed.gov/cedselementdetails.aspx?termid=5726</v>
      </c>
      <c r="N1138" s="3" t="str">
        <f>HYPERLINK("https://ceds.ed.gov/elementComment.aspx?elementName=Required Student Fees &amp;elementID=5726", "Click here to submit comment")</f>
        <v>Click here to submit comment</v>
      </c>
    </row>
    <row r="1139" spans="1:14" ht="45">
      <c r="A1139" s="3" t="s">
        <v>5041</v>
      </c>
      <c r="B1139" s="3" t="s">
        <v>5042</v>
      </c>
      <c r="C1139" s="3" t="s">
        <v>13</v>
      </c>
      <c r="D1139" s="3" t="s">
        <v>1542</v>
      </c>
      <c r="E1139" s="3" t="s">
        <v>202</v>
      </c>
      <c r="F1139" s="3"/>
      <c r="G1139" s="3" t="s">
        <v>389</v>
      </c>
      <c r="H1139" s="3"/>
      <c r="I1139" s="3"/>
      <c r="J1139" s="3" t="s">
        <v>5043</v>
      </c>
      <c r="K1139" s="3"/>
      <c r="L1139" s="3" t="s">
        <v>5044</v>
      </c>
      <c r="M1139" s="3" t="str">
        <f>HYPERLINK("https://ceds.ed.gov/cedselementdetails.aspx?termid=5803")</f>
        <v>https://ceds.ed.gov/cedselementdetails.aspx?termid=5803</v>
      </c>
      <c r="N1139" s="3" t="str">
        <f>HYPERLINK("https://ceds.ed.gov/elementComment.aspx?elementName=Required Training Clock Hours &amp;elementID=5803", "Click here to submit comment")</f>
        <v>Click here to submit comment</v>
      </c>
    </row>
    <row r="1140" spans="1:14" ht="45">
      <c r="A1140" s="3" t="s">
        <v>5045</v>
      </c>
      <c r="B1140" s="3" t="s">
        <v>5046</v>
      </c>
      <c r="C1140" s="3" t="s">
        <v>13</v>
      </c>
      <c r="D1140" s="3" t="s">
        <v>154</v>
      </c>
      <c r="E1140" s="3" t="s">
        <v>218</v>
      </c>
      <c r="F1140" s="3"/>
      <c r="G1140" s="3" t="s">
        <v>100</v>
      </c>
      <c r="H1140" s="3"/>
      <c r="I1140" s="3"/>
      <c r="J1140" s="3" t="s">
        <v>5047</v>
      </c>
      <c r="K1140" s="3"/>
      <c r="L1140" s="3" t="s">
        <v>5048</v>
      </c>
      <c r="M1140" s="3" t="str">
        <f>HYPERLINK("https://ceds.ed.gov/cedselementdetails.aspx?termid=5639")</f>
        <v>https://ceds.ed.gov/cedselementdetails.aspx?termid=5639</v>
      </c>
      <c r="N1140" s="3" t="str">
        <f>HYPERLINK("https://ceds.ed.gov/elementComment.aspx?elementName=Responsible District Identifier &amp;elementID=5639", "Click here to submit comment")</f>
        <v>Click here to submit comment</v>
      </c>
    </row>
    <row r="1141" spans="1:14" ht="120">
      <c r="A1141" s="3" t="s">
        <v>5049</v>
      </c>
      <c r="B1141" s="3" t="s">
        <v>5050</v>
      </c>
      <c r="C1141" s="4" t="s">
        <v>6641</v>
      </c>
      <c r="D1141" s="3" t="s">
        <v>6304</v>
      </c>
      <c r="E1141" s="3" t="s">
        <v>218</v>
      </c>
      <c r="F1141" s="3" t="s">
        <v>3</v>
      </c>
      <c r="G1141" s="3"/>
      <c r="H1141" s="3"/>
      <c r="I1141" s="3"/>
      <c r="J1141" s="3" t="s">
        <v>5051</v>
      </c>
      <c r="K1141" s="3"/>
      <c r="L1141" s="3" t="s">
        <v>5052</v>
      </c>
      <c r="M1141" s="3" t="str">
        <f>HYPERLINK("https://ceds.ed.gov/cedselementdetails.aspx?termid=5587")</f>
        <v>https://ceds.ed.gov/cedselementdetails.aspx?termid=5587</v>
      </c>
      <c r="N1141" s="3" t="str">
        <f>HYPERLINK("https://ceds.ed.gov/elementComment.aspx?elementName=Responsible District Type &amp;elementID=5587", "Click here to submit comment")</f>
        <v>Click here to submit comment</v>
      </c>
    </row>
    <row r="1142" spans="1:14" ht="75">
      <c r="A1142" s="3" t="s">
        <v>5053</v>
      </c>
      <c r="B1142" s="3" t="s">
        <v>5054</v>
      </c>
      <c r="C1142" s="3" t="s">
        <v>13</v>
      </c>
      <c r="D1142" s="3" t="s">
        <v>5055</v>
      </c>
      <c r="E1142" s="3"/>
      <c r="F1142" s="3" t="s">
        <v>54</v>
      </c>
      <c r="G1142" s="3" t="s">
        <v>100</v>
      </c>
      <c r="H1142" s="3"/>
      <c r="I1142" s="3" t="s">
        <v>5056</v>
      </c>
      <c r="J1142" s="3" t="s">
        <v>5057</v>
      </c>
      <c r="K1142" s="3"/>
      <c r="L1142" s="3" t="s">
        <v>5058</v>
      </c>
      <c r="M1142" s="3" t="str">
        <f>HYPERLINK("https://ceds.ed.gov/cedselementdetails.aspx?termid=6438")</f>
        <v>https://ceds.ed.gov/cedselementdetails.aspx?termid=6438</v>
      </c>
      <c r="N1142" s="3" t="str">
        <f>HYPERLINK("https://ceds.ed.gov/elementComment.aspx?elementName=Responsible Organization Identifier &amp;elementID=6438", "Click here to submit comment")</f>
        <v>Click here to submit comment</v>
      </c>
    </row>
    <row r="1143" spans="1:14" ht="60">
      <c r="A1143" s="3" t="s">
        <v>5059</v>
      </c>
      <c r="B1143" s="3" t="s">
        <v>5060</v>
      </c>
      <c r="C1143" s="3" t="s">
        <v>13</v>
      </c>
      <c r="D1143" s="3" t="s">
        <v>6305</v>
      </c>
      <c r="E1143" s="3" t="s">
        <v>6104</v>
      </c>
      <c r="F1143" s="3" t="s">
        <v>3</v>
      </c>
      <c r="G1143" s="3" t="s">
        <v>106</v>
      </c>
      <c r="H1143" s="3"/>
      <c r="I1143" s="3"/>
      <c r="J1143" s="3" t="s">
        <v>5061</v>
      </c>
      <c r="K1143" s="3"/>
      <c r="L1143" s="3" t="s">
        <v>5062</v>
      </c>
      <c r="M1143" s="3" t="str">
        <f>HYPERLINK("https://ceds.ed.gov/cedselementdetails.aspx?termid=5624")</f>
        <v>https://ceds.ed.gov/cedselementdetails.aspx?termid=5624</v>
      </c>
      <c r="N1143" s="3" t="str">
        <f>HYPERLINK("https://ceds.ed.gov/elementComment.aspx?elementName=Responsible Organization Name &amp;elementID=5624", "Click here to submit comment")</f>
        <v>Click here to submit comment</v>
      </c>
    </row>
    <row r="1144" spans="1:14" ht="120">
      <c r="A1144" s="3" t="s">
        <v>5063</v>
      </c>
      <c r="B1144" s="3" t="s">
        <v>5050</v>
      </c>
      <c r="C1144" s="4" t="s">
        <v>6641</v>
      </c>
      <c r="D1144" s="3" t="s">
        <v>5055</v>
      </c>
      <c r="E1144" s="3"/>
      <c r="F1144" s="3" t="s">
        <v>54</v>
      </c>
      <c r="G1144" s="3"/>
      <c r="H1144" s="3"/>
      <c r="I1144" s="3" t="s">
        <v>5056</v>
      </c>
      <c r="J1144" s="3" t="s">
        <v>5064</v>
      </c>
      <c r="K1144" s="3"/>
      <c r="L1144" s="3" t="s">
        <v>5065</v>
      </c>
      <c r="M1144" s="3" t="str">
        <f>HYPERLINK("https://ceds.ed.gov/cedselementdetails.aspx?termid=6439")</f>
        <v>https://ceds.ed.gov/cedselementdetails.aspx?termid=6439</v>
      </c>
      <c r="N1144" s="3" t="str">
        <f>HYPERLINK("https://ceds.ed.gov/elementComment.aspx?elementName=Responsible Organization Type &amp;elementID=6439", "Click here to submit comment")</f>
        <v>Click here to submit comment</v>
      </c>
    </row>
    <row r="1145" spans="1:14" ht="45">
      <c r="A1145" s="3" t="s">
        <v>5066</v>
      </c>
      <c r="B1145" s="3" t="s">
        <v>5067</v>
      </c>
      <c r="C1145" s="3" t="s">
        <v>13</v>
      </c>
      <c r="D1145" s="3" t="s">
        <v>154</v>
      </c>
      <c r="E1145" s="3" t="s">
        <v>218</v>
      </c>
      <c r="F1145" s="3"/>
      <c r="G1145" s="3" t="s">
        <v>100</v>
      </c>
      <c r="H1145" s="3"/>
      <c r="I1145" s="3"/>
      <c r="J1145" s="3" t="s">
        <v>5068</v>
      </c>
      <c r="K1145" s="3"/>
      <c r="L1145" s="3" t="s">
        <v>5069</v>
      </c>
      <c r="M1145" s="3" t="str">
        <f>HYPERLINK("https://ceds.ed.gov/cedselementdetails.aspx?termid=5640")</f>
        <v>https://ceds.ed.gov/cedselementdetails.aspx?termid=5640</v>
      </c>
      <c r="N1145" s="3" t="str">
        <f>HYPERLINK("https://ceds.ed.gov/elementComment.aspx?elementName=Responsible School Identifier &amp;elementID=5640", "Click here to submit comment")</f>
        <v>Click here to submit comment</v>
      </c>
    </row>
    <row r="1146" spans="1:14" ht="120">
      <c r="A1146" s="3" t="s">
        <v>5070</v>
      </c>
      <c r="B1146" s="3" t="s">
        <v>5071</v>
      </c>
      <c r="C1146" s="4" t="s">
        <v>6641</v>
      </c>
      <c r="D1146" s="3" t="s">
        <v>6304</v>
      </c>
      <c r="E1146" s="3" t="s">
        <v>218</v>
      </c>
      <c r="F1146" s="3" t="s">
        <v>66</v>
      </c>
      <c r="G1146" s="3"/>
      <c r="H1146" s="3" t="s">
        <v>94</v>
      </c>
      <c r="I1146" s="3"/>
      <c r="J1146" s="3" t="s">
        <v>5072</v>
      </c>
      <c r="K1146" s="3"/>
      <c r="L1146" s="3" t="s">
        <v>5073</v>
      </c>
      <c r="M1146" s="3" t="str">
        <f>HYPERLINK("https://ceds.ed.gov/cedselementdetails.aspx?termid=5588")</f>
        <v>https://ceds.ed.gov/cedselementdetails.aspx?termid=5588</v>
      </c>
      <c r="N1146" s="3" t="str">
        <f>HYPERLINK("https://ceds.ed.gov/elementComment.aspx?elementName=Responsible School Type &amp;elementID=5588", "Click here to submit comment")</f>
        <v>Click here to submit comment</v>
      </c>
    </row>
    <row r="1147" spans="1:14" ht="165">
      <c r="A1147" s="3" t="s">
        <v>5074</v>
      </c>
      <c r="B1147" s="3" t="s">
        <v>5075</v>
      </c>
      <c r="C1147" s="4" t="s">
        <v>6642</v>
      </c>
      <c r="D1147" s="3" t="s">
        <v>1806</v>
      </c>
      <c r="E1147" s="3" t="s">
        <v>218</v>
      </c>
      <c r="F1147" s="3"/>
      <c r="G1147" s="3"/>
      <c r="H1147" s="3"/>
      <c r="I1147" s="3"/>
      <c r="J1147" s="3" t="s">
        <v>5076</v>
      </c>
      <c r="K1147" s="3"/>
      <c r="L1147" s="3" t="s">
        <v>5077</v>
      </c>
      <c r="M1147" s="3" t="str">
        <f>HYPERLINK("https://ceds.ed.gov/cedselementdetails.aspx?termid=5232")</f>
        <v>https://ceds.ed.gov/cedselementdetails.aspx?termid=5232</v>
      </c>
      <c r="N1147" s="3" t="str">
        <f>HYPERLINK("https://ceds.ed.gov/elementComment.aspx?elementName=Restructuring Action &amp;elementID=5232", "Click here to submit comment")</f>
        <v>Click here to submit comment</v>
      </c>
    </row>
    <row r="1148" spans="1:14" ht="60">
      <c r="A1148" s="3" t="s">
        <v>5078</v>
      </c>
      <c r="B1148" s="3" t="s">
        <v>5079</v>
      </c>
      <c r="C1148" s="3" t="s">
        <v>13</v>
      </c>
      <c r="D1148" s="3" t="s">
        <v>1494</v>
      </c>
      <c r="E1148" s="3" t="s">
        <v>1495</v>
      </c>
      <c r="F1148" s="3"/>
      <c r="G1148" s="3" t="s">
        <v>1461</v>
      </c>
      <c r="H1148" s="3"/>
      <c r="I1148" s="3" t="s">
        <v>358</v>
      </c>
      <c r="J1148" s="3" t="s">
        <v>5080</v>
      </c>
      <c r="K1148" s="3"/>
      <c r="L1148" s="3" t="s">
        <v>5081</v>
      </c>
      <c r="M1148" s="3" t="str">
        <f>HYPERLINK("https://ceds.ed.gov/cedselementdetails.aspx?termid=5728")</f>
        <v>https://ceds.ed.gov/cedselementdetails.aspx?termid=5728</v>
      </c>
      <c r="N1148" s="3" t="str">
        <f>HYPERLINK("https://ceds.ed.gov/elementComment.aspx?elementName=Room Charges &amp;elementID=5728", "Click here to submit comment")</f>
        <v>Click here to submit comment</v>
      </c>
    </row>
    <row r="1149" spans="1:14" ht="90">
      <c r="A1149" s="3" t="s">
        <v>5082</v>
      </c>
      <c r="B1149" s="3" t="s">
        <v>5083</v>
      </c>
      <c r="C1149" s="3" t="s">
        <v>13</v>
      </c>
      <c r="D1149" s="3" t="s">
        <v>6306</v>
      </c>
      <c r="E1149" s="3"/>
      <c r="F1149" s="3" t="s">
        <v>54</v>
      </c>
      <c r="G1149" s="3" t="s">
        <v>100</v>
      </c>
      <c r="H1149" s="3"/>
      <c r="I1149" s="3"/>
      <c r="J1149" s="3" t="s">
        <v>5084</v>
      </c>
      <c r="K1149" s="3"/>
      <c r="L1149" s="3" t="s">
        <v>5085</v>
      </c>
      <c r="M1149" s="3" t="str">
        <f>HYPERLINK("https://ceds.ed.gov/cedselementdetails.aspx?termid=6441")</f>
        <v>https://ceds.ed.gov/cedselementdetails.aspx?termid=6441</v>
      </c>
      <c r="N1149" s="3" t="str">
        <f>HYPERLINK("https://ceds.ed.gov/elementComment.aspx?elementName=Rubric Criterion Category &amp;elementID=6441", "Click here to submit comment")</f>
        <v>Click here to submit comment</v>
      </c>
    </row>
    <row r="1150" spans="1:14" ht="90">
      <c r="A1150" s="3" t="s">
        <v>5086</v>
      </c>
      <c r="B1150" s="3" t="s">
        <v>5087</v>
      </c>
      <c r="C1150" s="3" t="s">
        <v>13</v>
      </c>
      <c r="D1150" s="3" t="s">
        <v>6306</v>
      </c>
      <c r="E1150" s="3"/>
      <c r="F1150" s="3" t="s">
        <v>54</v>
      </c>
      <c r="G1150" s="3" t="s">
        <v>319</v>
      </c>
      <c r="H1150" s="3"/>
      <c r="I1150" s="3"/>
      <c r="J1150" s="3" t="s">
        <v>5088</v>
      </c>
      <c r="K1150" s="3"/>
      <c r="L1150" s="3" t="s">
        <v>5089</v>
      </c>
      <c r="M1150" s="3" t="str">
        <f>HYPERLINK("https://ceds.ed.gov/cedselementdetails.aspx?termid=6442")</f>
        <v>https://ceds.ed.gov/cedselementdetails.aspx?termid=6442</v>
      </c>
      <c r="N1150" s="3" t="str">
        <f>HYPERLINK("https://ceds.ed.gov/elementComment.aspx?elementName=Rubric Criterion Description &amp;elementID=6442", "Click here to submit comment")</f>
        <v>Click here to submit comment</v>
      </c>
    </row>
    <row r="1151" spans="1:14" ht="90">
      <c r="A1151" s="3" t="s">
        <v>5090</v>
      </c>
      <c r="B1151" s="3" t="s">
        <v>5091</v>
      </c>
      <c r="C1151" s="3" t="s">
        <v>13</v>
      </c>
      <c r="D1151" s="3" t="s">
        <v>6306</v>
      </c>
      <c r="E1151" s="3"/>
      <c r="F1151" s="3" t="s">
        <v>54</v>
      </c>
      <c r="G1151" s="3" t="s">
        <v>319</v>
      </c>
      <c r="H1151" s="3"/>
      <c r="I1151" s="3"/>
      <c r="J1151" s="3" t="s">
        <v>5092</v>
      </c>
      <c r="K1151" s="3"/>
      <c r="L1151" s="3" t="s">
        <v>5093</v>
      </c>
      <c r="M1151" s="3" t="str">
        <f>HYPERLINK("https://ceds.ed.gov/cedselementdetails.aspx?termid=6443")</f>
        <v>https://ceds.ed.gov/cedselementdetails.aspx?termid=6443</v>
      </c>
      <c r="N1151" s="3" t="str">
        <f>HYPERLINK("https://ceds.ed.gov/elementComment.aspx?elementName=Rubric Criterion Level Description &amp;elementID=6443", "Click here to submit comment")</f>
        <v>Click here to submit comment</v>
      </c>
    </row>
    <row r="1152" spans="1:14" ht="90">
      <c r="A1152" s="3" t="s">
        <v>5094</v>
      </c>
      <c r="B1152" s="3" t="s">
        <v>5095</v>
      </c>
      <c r="C1152" s="3" t="s">
        <v>13</v>
      </c>
      <c r="D1152" s="3" t="s">
        <v>6306</v>
      </c>
      <c r="E1152" s="3"/>
      <c r="F1152" s="3" t="s">
        <v>54</v>
      </c>
      <c r="G1152" s="3" t="s">
        <v>319</v>
      </c>
      <c r="H1152" s="3"/>
      <c r="I1152" s="3"/>
      <c r="J1152" s="3" t="s">
        <v>5096</v>
      </c>
      <c r="K1152" s="3"/>
      <c r="L1152" s="3" t="s">
        <v>5097</v>
      </c>
      <c r="M1152" s="3" t="str">
        <f>HYPERLINK("https://ceds.ed.gov/cedselementdetails.aspx?termid=6444")</f>
        <v>https://ceds.ed.gov/cedselementdetails.aspx?termid=6444</v>
      </c>
      <c r="N1152" s="3" t="str">
        <f>HYPERLINK("https://ceds.ed.gov/elementComment.aspx?elementName=Rubric Criterion Level Feedback &amp;elementID=6444", "Click here to submit comment")</f>
        <v>Click here to submit comment</v>
      </c>
    </row>
    <row r="1153" spans="1:14" ht="90">
      <c r="A1153" s="3" t="s">
        <v>5098</v>
      </c>
      <c r="B1153" s="3" t="s">
        <v>5099</v>
      </c>
      <c r="C1153" s="3" t="s">
        <v>13</v>
      </c>
      <c r="D1153" s="3" t="s">
        <v>6306</v>
      </c>
      <c r="E1153" s="3"/>
      <c r="F1153" s="3" t="s">
        <v>54</v>
      </c>
      <c r="G1153" s="3" t="s">
        <v>545</v>
      </c>
      <c r="H1153" s="3"/>
      <c r="I1153" s="3"/>
      <c r="J1153" s="3" t="s">
        <v>5100</v>
      </c>
      <c r="K1153" s="3"/>
      <c r="L1153" s="3" t="s">
        <v>5101</v>
      </c>
      <c r="M1153" s="3" t="str">
        <f>HYPERLINK("https://ceds.ed.gov/cedselementdetails.aspx?termid=6445")</f>
        <v>https://ceds.ed.gov/cedselementdetails.aspx?termid=6445</v>
      </c>
      <c r="N1153" s="3" t="str">
        <f>HYPERLINK("https://ceds.ed.gov/elementComment.aspx?elementName=Rubric Criterion Level Position &amp;elementID=6445", "Click here to submit comment")</f>
        <v>Click here to submit comment</v>
      </c>
    </row>
    <row r="1154" spans="1:14" ht="90">
      <c r="A1154" s="3" t="s">
        <v>5102</v>
      </c>
      <c r="B1154" s="3" t="s">
        <v>5103</v>
      </c>
      <c r="C1154" s="3" t="s">
        <v>13</v>
      </c>
      <c r="D1154" s="3" t="s">
        <v>6306</v>
      </c>
      <c r="E1154" s="3"/>
      <c r="F1154" s="3" t="s">
        <v>54</v>
      </c>
      <c r="G1154" s="3" t="s">
        <v>106</v>
      </c>
      <c r="H1154" s="3"/>
      <c r="I1154" s="3"/>
      <c r="J1154" s="3" t="s">
        <v>5104</v>
      </c>
      <c r="K1154" s="3"/>
      <c r="L1154" s="3" t="s">
        <v>5105</v>
      </c>
      <c r="M1154" s="3" t="str">
        <f>HYPERLINK("https://ceds.ed.gov/cedselementdetails.aspx?termid=6446")</f>
        <v>https://ceds.ed.gov/cedselementdetails.aspx?termid=6446</v>
      </c>
      <c r="N1154" s="3" t="str">
        <f>HYPERLINK("https://ceds.ed.gov/elementComment.aspx?elementName=Rubric Criterion Level Quality Label &amp;elementID=6446", "Click here to submit comment")</f>
        <v>Click here to submit comment</v>
      </c>
    </row>
    <row r="1155" spans="1:14" ht="90">
      <c r="A1155" s="3" t="s">
        <v>5106</v>
      </c>
      <c r="B1155" s="3" t="s">
        <v>5107</v>
      </c>
      <c r="C1155" s="3" t="s">
        <v>13</v>
      </c>
      <c r="D1155" s="3" t="s">
        <v>6306</v>
      </c>
      <c r="E1155" s="3"/>
      <c r="F1155" s="3" t="s">
        <v>54</v>
      </c>
      <c r="G1155" s="3" t="s">
        <v>545</v>
      </c>
      <c r="H1155" s="3"/>
      <c r="I1155" s="3"/>
      <c r="J1155" s="3" t="s">
        <v>5108</v>
      </c>
      <c r="K1155" s="3"/>
      <c r="L1155" s="3" t="s">
        <v>5109</v>
      </c>
      <c r="M1155" s="3" t="str">
        <f>HYPERLINK("https://ceds.ed.gov/cedselementdetails.aspx?termid=6447")</f>
        <v>https://ceds.ed.gov/cedselementdetails.aspx?termid=6447</v>
      </c>
      <c r="N1155" s="3" t="str">
        <f>HYPERLINK("https://ceds.ed.gov/elementComment.aspx?elementName=Rubric Criterion Level Score &amp;elementID=6447", "Click here to submit comment")</f>
        <v>Click here to submit comment</v>
      </c>
    </row>
    <row r="1156" spans="1:14" ht="90">
      <c r="A1156" s="3" t="s">
        <v>5110</v>
      </c>
      <c r="B1156" s="3" t="s">
        <v>5111</v>
      </c>
      <c r="C1156" s="3" t="s">
        <v>13</v>
      </c>
      <c r="D1156" s="3" t="s">
        <v>6306</v>
      </c>
      <c r="E1156" s="3"/>
      <c r="F1156" s="3" t="s">
        <v>54</v>
      </c>
      <c r="G1156" s="3" t="s">
        <v>545</v>
      </c>
      <c r="H1156" s="3"/>
      <c r="I1156" s="3"/>
      <c r="J1156" s="3" t="s">
        <v>5112</v>
      </c>
      <c r="K1156" s="3"/>
      <c r="L1156" s="3" t="s">
        <v>5113</v>
      </c>
      <c r="M1156" s="3" t="str">
        <f>HYPERLINK("https://ceds.ed.gov/cedselementdetails.aspx?termid=6448")</f>
        <v>https://ceds.ed.gov/cedselementdetails.aspx?termid=6448</v>
      </c>
      <c r="N1156" s="3" t="str">
        <f>HYPERLINK("https://ceds.ed.gov/elementComment.aspx?elementName=Rubric Criterion Position &amp;elementID=6448", "Click here to submit comment")</f>
        <v>Click here to submit comment</v>
      </c>
    </row>
    <row r="1157" spans="1:14" ht="90">
      <c r="A1157" s="3" t="s">
        <v>5114</v>
      </c>
      <c r="B1157" s="3" t="s">
        <v>5115</v>
      </c>
      <c r="C1157" s="3" t="s">
        <v>13</v>
      </c>
      <c r="D1157" s="3" t="s">
        <v>6306</v>
      </c>
      <c r="E1157" s="3"/>
      <c r="F1157" s="3" t="s">
        <v>54</v>
      </c>
      <c r="G1157" s="3" t="s">
        <v>106</v>
      </c>
      <c r="H1157" s="3"/>
      <c r="I1157" s="3"/>
      <c r="J1157" s="3" t="s">
        <v>5116</v>
      </c>
      <c r="K1157" s="3"/>
      <c r="L1157" s="3" t="s">
        <v>5117</v>
      </c>
      <c r="M1157" s="3" t="str">
        <f>HYPERLINK("https://ceds.ed.gov/cedselementdetails.aspx?termid=6449")</f>
        <v>https://ceds.ed.gov/cedselementdetails.aspx?termid=6449</v>
      </c>
      <c r="N1157" s="3" t="str">
        <f>HYPERLINK("https://ceds.ed.gov/elementComment.aspx?elementName=Rubric Criterion Title &amp;elementID=6449", "Click here to submit comment")</f>
        <v>Click here to submit comment</v>
      </c>
    </row>
    <row r="1158" spans="1:14" ht="90">
      <c r="A1158" s="3" t="s">
        <v>5118</v>
      </c>
      <c r="B1158" s="3" t="s">
        <v>5119</v>
      </c>
      <c r="C1158" s="3" t="s">
        <v>13</v>
      </c>
      <c r="D1158" s="3" t="s">
        <v>6306</v>
      </c>
      <c r="E1158" s="3"/>
      <c r="F1158" s="3" t="s">
        <v>54</v>
      </c>
      <c r="G1158" s="3" t="s">
        <v>545</v>
      </c>
      <c r="H1158" s="3"/>
      <c r="I1158" s="3"/>
      <c r="J1158" s="3" t="s">
        <v>5120</v>
      </c>
      <c r="K1158" s="3"/>
      <c r="L1158" s="3" t="s">
        <v>5121</v>
      </c>
      <c r="M1158" s="3" t="str">
        <f>HYPERLINK("https://ceds.ed.gov/cedselementdetails.aspx?termid=6450")</f>
        <v>https://ceds.ed.gov/cedselementdetails.aspx?termid=6450</v>
      </c>
      <c r="N1158" s="3" t="str">
        <f>HYPERLINK("https://ceds.ed.gov/elementComment.aspx?elementName=Rubric Criterion Weight &amp;elementID=6450", "Click here to submit comment")</f>
        <v>Click here to submit comment</v>
      </c>
    </row>
    <row r="1159" spans="1:14" ht="90">
      <c r="A1159" s="3" t="s">
        <v>5122</v>
      </c>
      <c r="B1159" s="3" t="s">
        <v>5123</v>
      </c>
      <c r="C1159" s="3" t="s">
        <v>13</v>
      </c>
      <c r="D1159" s="3" t="s">
        <v>6306</v>
      </c>
      <c r="E1159" s="3"/>
      <c r="F1159" s="3" t="s">
        <v>54</v>
      </c>
      <c r="G1159" s="3" t="s">
        <v>319</v>
      </c>
      <c r="H1159" s="3"/>
      <c r="I1159" s="3"/>
      <c r="J1159" s="3" t="s">
        <v>5124</v>
      </c>
      <c r="K1159" s="3"/>
      <c r="L1159" s="3" t="s">
        <v>5125</v>
      </c>
      <c r="M1159" s="3" t="str">
        <f>HYPERLINK("https://ceds.ed.gov/cedselementdetails.aspx?termid=6451")</f>
        <v>https://ceds.ed.gov/cedselementdetails.aspx?termid=6451</v>
      </c>
      <c r="N1159" s="3" t="str">
        <f>HYPERLINK("https://ceds.ed.gov/elementComment.aspx?elementName=Rubric Description &amp;elementID=6451", "Click here to submit comment")</f>
        <v>Click here to submit comment</v>
      </c>
    </row>
    <row r="1160" spans="1:14" ht="105">
      <c r="A1160" s="3" t="s">
        <v>5126</v>
      </c>
      <c r="B1160" s="3" t="s">
        <v>5127</v>
      </c>
      <c r="C1160" s="4" t="s">
        <v>6371</v>
      </c>
      <c r="D1160" s="3" t="s">
        <v>1471</v>
      </c>
      <c r="E1160" s="3" t="s">
        <v>218</v>
      </c>
      <c r="F1160" s="3"/>
      <c r="G1160" s="3"/>
      <c r="H1160" s="3"/>
      <c r="I1160" s="3"/>
      <c r="J1160" s="3" t="s">
        <v>5128</v>
      </c>
      <c r="K1160" s="3" t="s">
        <v>5129</v>
      </c>
      <c r="L1160" s="3" t="s">
        <v>5130</v>
      </c>
      <c r="M1160" s="3" t="str">
        <f>HYPERLINK("https://ceds.ed.gov/cedselementdetails.aspx?termid=5552")</f>
        <v>https://ceds.ed.gov/cedselementdetails.aspx?termid=5552</v>
      </c>
      <c r="N1160" s="3" t="str">
        <f>HYPERLINK("https://ceds.ed.gov/elementComment.aspx?elementName=Rural Education Achievement Program Alternative Funding Status &amp;elementID=5552", "Click here to submit comment")</f>
        <v>Click here to submit comment</v>
      </c>
    </row>
    <row r="1161" spans="1:14" ht="90">
      <c r="A1161" s="3" t="s">
        <v>5131</v>
      </c>
      <c r="B1161" s="3" t="s">
        <v>5132</v>
      </c>
      <c r="C1161" s="3" t="s">
        <v>5963</v>
      </c>
      <c r="D1161" s="3" t="s">
        <v>2248</v>
      </c>
      <c r="E1161" s="3"/>
      <c r="F1161" s="3"/>
      <c r="G1161" s="3"/>
      <c r="H1161" s="3"/>
      <c r="I1161" s="3"/>
      <c r="J1161" s="3" t="s">
        <v>5133</v>
      </c>
      <c r="K1161" s="3"/>
      <c r="L1161" s="3" t="s">
        <v>5134</v>
      </c>
      <c r="M1161" s="3" t="str">
        <f>HYPERLINK("https://ceds.ed.gov/cedselementdetails.aspx?termid=5761")</f>
        <v>https://ceds.ed.gov/cedselementdetails.aspx?termid=5761</v>
      </c>
      <c r="N1161" s="3" t="str">
        <f>HYPERLINK("https://ceds.ed.gov/elementComment.aspx?elementName=Rural Residency Status &amp;elementID=5761", "Click here to submit comment")</f>
        <v>Click here to submit comment</v>
      </c>
    </row>
    <row r="1162" spans="1:14" ht="60">
      <c r="A1162" s="3" t="s">
        <v>5135</v>
      </c>
      <c r="B1162" s="3" t="s">
        <v>5136</v>
      </c>
      <c r="C1162" s="3" t="s">
        <v>13</v>
      </c>
      <c r="D1162" s="3" t="s">
        <v>5137</v>
      </c>
      <c r="E1162" s="3" t="s">
        <v>207</v>
      </c>
      <c r="F1162" s="3"/>
      <c r="G1162" s="3" t="s">
        <v>106</v>
      </c>
      <c r="H1162" s="3"/>
      <c r="I1162" s="3"/>
      <c r="J1162" s="3" t="s">
        <v>5138</v>
      </c>
      <c r="K1162" s="3"/>
      <c r="L1162" s="3" t="s">
        <v>5139</v>
      </c>
      <c r="M1162" s="3" t="str">
        <f>HYPERLINK("https://ceds.ed.gov/cedselementdetails.aspx?termid=5468")</f>
        <v>https://ceds.ed.gov/cedselementdetails.aspx?termid=5468</v>
      </c>
      <c r="N1162" s="3" t="str">
        <f>HYPERLINK("https://ceds.ed.gov/elementComment.aspx?elementName=Safe and Drug Free Baseline &amp;elementID=5468", "Click here to submit comment")</f>
        <v>Click here to submit comment</v>
      </c>
    </row>
    <row r="1163" spans="1:14" ht="30">
      <c r="A1163" s="3" t="s">
        <v>5140</v>
      </c>
      <c r="B1163" s="3" t="s">
        <v>5141</v>
      </c>
      <c r="C1163" s="3" t="s">
        <v>13</v>
      </c>
      <c r="D1163" s="3" t="s">
        <v>5137</v>
      </c>
      <c r="E1163" s="3" t="s">
        <v>207</v>
      </c>
      <c r="F1163" s="3"/>
      <c r="G1163" s="3" t="s">
        <v>1127</v>
      </c>
      <c r="H1163" s="3"/>
      <c r="I1163" s="3"/>
      <c r="J1163" s="3" t="s">
        <v>5142</v>
      </c>
      <c r="K1163" s="3"/>
      <c r="L1163" s="3" t="s">
        <v>5143</v>
      </c>
      <c r="M1163" s="3" t="str">
        <f>HYPERLINK("https://ceds.ed.gov/cedselementdetails.aspx?termid=5469")</f>
        <v>https://ceds.ed.gov/cedselementdetails.aspx?termid=5469</v>
      </c>
      <c r="N1163" s="3" t="str">
        <f>HYPERLINK("https://ceds.ed.gov/elementComment.aspx?elementName=Safe and Drug Free Baseline Year &amp;elementID=5469", "Click here to submit comment")</f>
        <v>Click here to submit comment</v>
      </c>
    </row>
    <row r="1164" spans="1:14" ht="60">
      <c r="A1164" s="3" t="s">
        <v>5144</v>
      </c>
      <c r="B1164" s="3" t="s">
        <v>5145</v>
      </c>
      <c r="C1164" s="3" t="s">
        <v>13</v>
      </c>
      <c r="D1164" s="3" t="s">
        <v>5137</v>
      </c>
      <c r="E1164" s="3" t="s">
        <v>207</v>
      </c>
      <c r="F1164" s="3"/>
      <c r="G1164" s="3" t="s">
        <v>106</v>
      </c>
      <c r="H1164" s="3"/>
      <c r="I1164" s="3"/>
      <c r="J1164" s="3" t="s">
        <v>5146</v>
      </c>
      <c r="K1164" s="3"/>
      <c r="L1164" s="3" t="s">
        <v>5147</v>
      </c>
      <c r="M1164" s="3" t="str">
        <f>HYPERLINK("https://ceds.ed.gov/cedselementdetails.aspx?termid=5463")</f>
        <v>https://ceds.ed.gov/cedselementdetails.aspx?termid=5463</v>
      </c>
      <c r="N1164" s="3" t="str">
        <f>HYPERLINK("https://ceds.ed.gov/elementComment.aspx?elementName=Safe and Drug Free Collection Frequency &amp;elementID=5463", "Click here to submit comment")</f>
        <v>Click here to submit comment</v>
      </c>
    </row>
    <row r="1165" spans="1:14" ht="60">
      <c r="A1165" s="3" t="s">
        <v>5148</v>
      </c>
      <c r="B1165" s="3" t="s">
        <v>5149</v>
      </c>
      <c r="C1165" s="3" t="s">
        <v>13</v>
      </c>
      <c r="D1165" s="3" t="s">
        <v>5137</v>
      </c>
      <c r="E1165" s="3" t="s">
        <v>207</v>
      </c>
      <c r="F1165" s="3"/>
      <c r="G1165" s="3" t="s">
        <v>106</v>
      </c>
      <c r="H1165" s="3"/>
      <c r="I1165" s="3"/>
      <c r="J1165" s="3" t="s">
        <v>5150</v>
      </c>
      <c r="K1165" s="3"/>
      <c r="L1165" s="3" t="s">
        <v>5151</v>
      </c>
      <c r="M1165" s="3" t="str">
        <f>HYPERLINK("https://ceds.ed.gov/cedselementdetails.aspx?termid=5461")</f>
        <v>https://ceds.ed.gov/cedselementdetails.aspx?termid=5461</v>
      </c>
      <c r="N1165" s="3" t="str">
        <f>HYPERLINK("https://ceds.ed.gov/elementComment.aspx?elementName=Safe and Drug Free Indicator Name &amp;elementID=5461", "Click here to submit comment")</f>
        <v>Click here to submit comment</v>
      </c>
    </row>
    <row r="1166" spans="1:14" ht="75">
      <c r="A1166" s="3" t="s">
        <v>5152</v>
      </c>
      <c r="B1166" s="3" t="s">
        <v>5153</v>
      </c>
      <c r="C1166" s="3" t="s">
        <v>13</v>
      </c>
      <c r="D1166" s="3" t="s">
        <v>5137</v>
      </c>
      <c r="E1166" s="3" t="s">
        <v>207</v>
      </c>
      <c r="F1166" s="3"/>
      <c r="G1166" s="3" t="s">
        <v>745</v>
      </c>
      <c r="H1166" s="3"/>
      <c r="I1166" s="3"/>
      <c r="J1166" s="3" t="s">
        <v>5154</v>
      </c>
      <c r="K1166" s="3"/>
      <c r="L1166" s="3" t="s">
        <v>5155</v>
      </c>
      <c r="M1166" s="3" t="str">
        <f>HYPERLINK("https://ceds.ed.gov/cedselementdetails.aspx?termid=5462")</f>
        <v>https://ceds.ed.gov/cedselementdetails.aspx?termid=5462</v>
      </c>
      <c r="N1166" s="3" t="str">
        <f>HYPERLINK("https://ceds.ed.gov/elementComment.aspx?elementName=Safe and Drug Free Instrument &amp;elementID=5462", "Click here to submit comment")</f>
        <v>Click here to submit comment</v>
      </c>
    </row>
    <row r="1167" spans="1:14" ht="60">
      <c r="A1167" s="3" t="s">
        <v>5156</v>
      </c>
      <c r="B1167" s="3" t="s">
        <v>5157</v>
      </c>
      <c r="C1167" s="3" t="s">
        <v>13</v>
      </c>
      <c r="D1167" s="3" t="s">
        <v>5137</v>
      </c>
      <c r="E1167" s="3" t="s">
        <v>207</v>
      </c>
      <c r="F1167" s="3"/>
      <c r="G1167" s="3" t="s">
        <v>1127</v>
      </c>
      <c r="H1167" s="3"/>
      <c r="I1167" s="3"/>
      <c r="J1167" s="3" t="s">
        <v>5158</v>
      </c>
      <c r="K1167" s="3"/>
      <c r="L1167" s="3" t="s">
        <v>5159</v>
      </c>
      <c r="M1167" s="3" t="str">
        <f>HYPERLINK("https://ceds.ed.gov/cedselementdetails.aspx?termid=5466")</f>
        <v>https://ceds.ed.gov/cedselementdetails.aspx?termid=5466</v>
      </c>
      <c r="N1167" s="3" t="str">
        <f>HYPERLINK("https://ceds.ed.gov/elementComment.aspx?elementName=Safe and Drug Free Performance &amp;elementID=5466", "Click here to submit comment")</f>
        <v>Click here to submit comment</v>
      </c>
    </row>
    <row r="1168" spans="1:14" ht="60">
      <c r="A1168" s="3" t="s">
        <v>5160</v>
      </c>
      <c r="B1168" s="3" t="s">
        <v>5161</v>
      </c>
      <c r="C1168" s="3" t="s">
        <v>13</v>
      </c>
      <c r="D1168" s="3" t="s">
        <v>5137</v>
      </c>
      <c r="E1168" s="3" t="s">
        <v>207</v>
      </c>
      <c r="F1168" s="3"/>
      <c r="G1168" s="3" t="s">
        <v>1127</v>
      </c>
      <c r="H1168" s="3"/>
      <c r="I1168" s="3"/>
      <c r="J1168" s="3" t="s">
        <v>5162</v>
      </c>
      <c r="K1168" s="3"/>
      <c r="L1168" s="3" t="s">
        <v>5163</v>
      </c>
      <c r="M1168" s="3" t="str">
        <f>HYPERLINK("https://ceds.ed.gov/cedselementdetails.aspx?termid=5465")</f>
        <v>https://ceds.ed.gov/cedselementdetails.aspx?termid=5465</v>
      </c>
      <c r="N1168" s="3" t="str">
        <f>HYPERLINK("https://ceds.ed.gov/elementComment.aspx?elementName=Safe and Drug Free Target &amp;elementID=5465", "Click here to submit comment")</f>
        <v>Click here to submit comment</v>
      </c>
    </row>
    <row r="1169" spans="1:14" ht="60">
      <c r="A1169" s="3" t="s">
        <v>5164</v>
      </c>
      <c r="B1169" s="3" t="s">
        <v>5165</v>
      </c>
      <c r="C1169" s="3" t="s">
        <v>13</v>
      </c>
      <c r="D1169" s="3" t="s">
        <v>5137</v>
      </c>
      <c r="E1169" s="3" t="s">
        <v>207</v>
      </c>
      <c r="F1169" s="3"/>
      <c r="G1169" s="3" t="s">
        <v>1127</v>
      </c>
      <c r="H1169" s="3"/>
      <c r="I1169" s="3"/>
      <c r="J1169" s="3" t="s">
        <v>5166</v>
      </c>
      <c r="K1169" s="3"/>
      <c r="L1169" s="3" t="s">
        <v>5167</v>
      </c>
      <c r="M1169" s="3" t="str">
        <f>HYPERLINK("https://ceds.ed.gov/cedselementdetails.aspx?termid=5464")</f>
        <v>https://ceds.ed.gov/cedselementdetails.aspx?termid=5464</v>
      </c>
      <c r="N1169" s="3" t="str">
        <f>HYPERLINK("https://ceds.ed.gov/elementComment.aspx?elementName=Safe and Drug Free Year Most Recent Collection &amp;elementID=5464", "Click here to submit comment")</f>
        <v>Click here to submit comment</v>
      </c>
    </row>
    <row r="1170" spans="1:14" ht="45">
      <c r="A1170" s="3" t="s">
        <v>5168</v>
      </c>
      <c r="B1170" s="3" t="s">
        <v>5169</v>
      </c>
      <c r="C1170" s="3" t="s">
        <v>5963</v>
      </c>
      <c r="D1170" s="3" t="s">
        <v>1779</v>
      </c>
      <c r="E1170" s="3" t="s">
        <v>1780</v>
      </c>
      <c r="F1170" s="3"/>
      <c r="G1170" s="3"/>
      <c r="H1170" s="3"/>
      <c r="I1170" s="3"/>
      <c r="J1170" s="3" t="s">
        <v>5170</v>
      </c>
      <c r="K1170" s="3"/>
      <c r="L1170" s="3" t="s">
        <v>5171</v>
      </c>
      <c r="M1170" s="3" t="str">
        <f>HYPERLINK("https://ceds.ed.gov/cedselementdetails.aspx?termid=5234")</f>
        <v>https://ceds.ed.gov/cedselementdetails.aspx?termid=5234</v>
      </c>
      <c r="N1170" s="3" t="str">
        <f>HYPERLINK("https://ceds.ed.gov/elementComment.aspx?elementName=Salary For Teaching Assignment Only Indicator &amp;elementID=5234", "Click here to submit comment")</f>
        <v>Click here to submit comment</v>
      </c>
    </row>
    <row r="1171" spans="1:14" ht="105">
      <c r="A1171" s="3" t="s">
        <v>5172</v>
      </c>
      <c r="B1171" s="3" t="s">
        <v>5173</v>
      </c>
      <c r="C1171" s="3" t="s">
        <v>5963</v>
      </c>
      <c r="D1171" s="3" t="s">
        <v>5174</v>
      </c>
      <c r="E1171" s="3" t="s">
        <v>218</v>
      </c>
      <c r="F1171" s="3"/>
      <c r="G1171" s="3"/>
      <c r="H1171" s="3"/>
      <c r="I1171" s="3"/>
      <c r="J1171" s="3" t="s">
        <v>5175</v>
      </c>
      <c r="K1171" s="3"/>
      <c r="L1171" s="3" t="s">
        <v>5176</v>
      </c>
      <c r="M1171" s="3" t="str">
        <f>HYPERLINK("https://ceds.ed.gov/cedselementdetails.aspx?termid=5235")</f>
        <v>https://ceds.ed.gov/cedselementdetails.aspx?termid=5235</v>
      </c>
      <c r="N1171" s="3" t="str">
        <f>HYPERLINK("https://ceds.ed.gov/elementComment.aspx?elementName=School Choice Applied for Transfer Status &amp;elementID=5235", "Click here to submit comment")</f>
        <v>Click here to submit comment</v>
      </c>
    </row>
    <row r="1172" spans="1:14" ht="165">
      <c r="A1172" s="3" t="s">
        <v>5177</v>
      </c>
      <c r="B1172" s="3" t="s">
        <v>5178</v>
      </c>
      <c r="C1172" s="3" t="s">
        <v>5963</v>
      </c>
      <c r="D1172" s="3" t="s">
        <v>5174</v>
      </c>
      <c r="E1172" s="3" t="s">
        <v>218</v>
      </c>
      <c r="F1172" s="3"/>
      <c r="G1172" s="3"/>
      <c r="H1172" s="3"/>
      <c r="I1172" s="3" t="s">
        <v>5179</v>
      </c>
      <c r="J1172" s="3" t="s">
        <v>5180</v>
      </c>
      <c r="K1172" s="3"/>
      <c r="L1172" s="3" t="s">
        <v>5181</v>
      </c>
      <c r="M1172" s="3" t="str">
        <f>HYPERLINK("https://ceds.ed.gov/cedselementdetails.aspx?termid=5236")</f>
        <v>https://ceds.ed.gov/cedselementdetails.aspx?termid=5236</v>
      </c>
      <c r="N1172" s="3" t="str">
        <f>HYPERLINK("https://ceds.ed.gov/elementComment.aspx?elementName=School Choice Eligible for Transfer Status &amp;elementID=5236", "Click here to submit comment")</f>
        <v>Click here to submit comment</v>
      </c>
    </row>
    <row r="1173" spans="1:14" ht="90">
      <c r="A1173" s="3" t="s">
        <v>5182</v>
      </c>
      <c r="B1173" s="3" t="s">
        <v>5183</v>
      </c>
      <c r="C1173" s="3" t="s">
        <v>5963</v>
      </c>
      <c r="D1173" s="3" t="s">
        <v>5174</v>
      </c>
      <c r="E1173" s="3" t="s">
        <v>5968</v>
      </c>
      <c r="F1173" s="3"/>
      <c r="G1173" s="3"/>
      <c r="H1173" s="3"/>
      <c r="I1173" s="3"/>
      <c r="J1173" s="3" t="s">
        <v>5184</v>
      </c>
      <c r="K1173" s="3"/>
      <c r="L1173" s="3" t="s">
        <v>5185</v>
      </c>
      <c r="M1173" s="3" t="str">
        <f>HYPERLINK("https://ceds.ed.gov/cedselementdetails.aspx?termid=5237")</f>
        <v>https://ceds.ed.gov/cedselementdetails.aspx?termid=5237</v>
      </c>
      <c r="N1173" s="3" t="str">
        <f>HYPERLINK("https://ceds.ed.gov/elementComment.aspx?elementName=School Choice Transfer Status &amp;elementID=5237", "Click here to submit comment")</f>
        <v>Click here to submit comment</v>
      </c>
    </row>
    <row r="1174" spans="1:14" ht="120">
      <c r="A1174" s="3" t="s">
        <v>5186</v>
      </c>
      <c r="B1174" s="3" t="s">
        <v>5187</v>
      </c>
      <c r="C1174" s="5" t="s">
        <v>5188</v>
      </c>
      <c r="D1174" s="3" t="s">
        <v>6105</v>
      </c>
      <c r="E1174" s="3"/>
      <c r="F1174" s="3" t="s">
        <v>54</v>
      </c>
      <c r="G1174" s="3" t="s">
        <v>5189</v>
      </c>
      <c r="H1174" s="3"/>
      <c r="I1174" s="3" t="s">
        <v>5190</v>
      </c>
      <c r="J1174" s="3" t="s">
        <v>5191</v>
      </c>
      <c r="K1174" s="3" t="s">
        <v>5192</v>
      </c>
      <c r="L1174" s="3" t="s">
        <v>5193</v>
      </c>
      <c r="M1174" s="3" t="str">
        <f>HYPERLINK("https://ceds.ed.gov/cedselementdetails.aspx?termid=6490")</f>
        <v>https://ceds.ed.gov/cedselementdetails.aspx?termid=6490</v>
      </c>
      <c r="N1174" s="3" t="str">
        <f>HYPERLINK("https://ceds.ed.gov/elementComment.aspx?elementName=School Codes for the Exchange of Data Course Code &amp;elementID=6490", "Click here to submit comment")</f>
        <v>Click here to submit comment</v>
      </c>
    </row>
    <row r="1175" spans="1:14" ht="105">
      <c r="A1175" s="3" t="s">
        <v>5194</v>
      </c>
      <c r="B1175" s="3" t="s">
        <v>5195</v>
      </c>
      <c r="C1175" s="4" t="s">
        <v>6643</v>
      </c>
      <c r="D1175" s="3" t="s">
        <v>6105</v>
      </c>
      <c r="E1175" s="3"/>
      <c r="F1175" s="3" t="s">
        <v>54</v>
      </c>
      <c r="G1175" s="3" t="s">
        <v>5196</v>
      </c>
      <c r="H1175" s="3"/>
      <c r="I1175" s="3"/>
      <c r="J1175" s="3" t="s">
        <v>5197</v>
      </c>
      <c r="K1175" s="3" t="s">
        <v>5198</v>
      </c>
      <c r="L1175" s="3" t="s">
        <v>5199</v>
      </c>
      <c r="M1175" s="3" t="str">
        <f>HYPERLINK("https://ceds.ed.gov/cedselementdetails.aspx?termid=6488")</f>
        <v>https://ceds.ed.gov/cedselementdetails.aspx?termid=6488</v>
      </c>
      <c r="N1175" s="3" t="str">
        <f>HYPERLINK("https://ceds.ed.gov/elementComment.aspx?elementName=School Codes for the Exchange of Data Course Level &amp;elementID=6488", "Click here to submit comment")</f>
        <v>Click here to submit comment</v>
      </c>
    </row>
    <row r="1176" spans="1:14" ht="409.5">
      <c r="A1176" s="3" t="s">
        <v>5200</v>
      </c>
      <c r="B1176" s="3" t="s">
        <v>5201</v>
      </c>
      <c r="C1176" s="4" t="s">
        <v>6644</v>
      </c>
      <c r="D1176" s="3" t="s">
        <v>6105</v>
      </c>
      <c r="E1176" s="3"/>
      <c r="F1176" s="3" t="s">
        <v>54</v>
      </c>
      <c r="G1176" s="3" t="s">
        <v>5202</v>
      </c>
      <c r="H1176" s="3"/>
      <c r="I1176" s="3" t="s">
        <v>5203</v>
      </c>
      <c r="J1176" s="3" t="s">
        <v>5204</v>
      </c>
      <c r="K1176" s="3" t="s">
        <v>5205</v>
      </c>
      <c r="L1176" s="3" t="s">
        <v>5206</v>
      </c>
      <c r="M1176" s="3" t="str">
        <f>HYPERLINK("https://ceds.ed.gov/cedselementdetails.aspx?termid=6491")</f>
        <v>https://ceds.ed.gov/cedselementdetails.aspx?termid=6491</v>
      </c>
      <c r="N1176" s="3" t="str">
        <f>HYPERLINK("https://ceds.ed.gov/elementComment.aspx?elementName=School Codes for the Exchange of Data Course Subject Area &amp;elementID=6491", "Click here to submit comment")</f>
        <v>Click here to submit comment</v>
      </c>
    </row>
    <row r="1177" spans="1:14" ht="105">
      <c r="A1177" s="3" t="s">
        <v>5207</v>
      </c>
      <c r="B1177" s="3" t="s">
        <v>5208</v>
      </c>
      <c r="C1177" s="3" t="s">
        <v>13</v>
      </c>
      <c r="D1177" s="3" t="s">
        <v>3394</v>
      </c>
      <c r="E1177" s="3"/>
      <c r="F1177" s="3" t="s">
        <v>54</v>
      </c>
      <c r="G1177" s="3" t="s">
        <v>5209</v>
      </c>
      <c r="H1177" s="3"/>
      <c r="I1177" s="3" t="s">
        <v>5210</v>
      </c>
      <c r="J1177" s="3" t="s">
        <v>5211</v>
      </c>
      <c r="K1177" s="3" t="s">
        <v>5212</v>
      </c>
      <c r="L1177" s="3" t="s">
        <v>5213</v>
      </c>
      <c r="M1177" s="3" t="str">
        <f>HYPERLINK("https://ceds.ed.gov/cedselementdetails.aspx?termid=6452")</f>
        <v>https://ceds.ed.gov/cedselementdetails.aspx?termid=6452</v>
      </c>
      <c r="N1177" s="3" t="str">
        <f>HYPERLINK("https://ceds.ed.gov/elementComment.aspx?elementName=School Codes for the Exchange of Data Grade Span &amp;elementID=6452", "Click here to submit comment")</f>
        <v>Click here to submit comment</v>
      </c>
    </row>
    <row r="1178" spans="1:14" ht="120">
      <c r="A1178" s="3" t="s">
        <v>5214</v>
      </c>
      <c r="B1178" s="3" t="s">
        <v>5215</v>
      </c>
      <c r="C1178" s="3" t="s">
        <v>13</v>
      </c>
      <c r="D1178" s="3" t="s">
        <v>6077</v>
      </c>
      <c r="E1178" s="3" t="s">
        <v>6078</v>
      </c>
      <c r="F1178" s="3" t="s">
        <v>66</v>
      </c>
      <c r="G1178" s="3" t="s">
        <v>2031</v>
      </c>
      <c r="H1178" s="3" t="s">
        <v>5216</v>
      </c>
      <c r="I1178" s="3" t="s">
        <v>5217</v>
      </c>
      <c r="J1178" s="3" t="s">
        <v>5218</v>
      </c>
      <c r="K1178" s="3" t="s">
        <v>5219</v>
      </c>
      <c r="L1178" s="3" t="s">
        <v>5220</v>
      </c>
      <c r="M1178" s="3" t="str">
        <f>HYPERLINK("https://ceds.ed.gov/cedselementdetails.aspx?termid=5250")</f>
        <v>https://ceds.ed.gov/cedselementdetails.aspx?termid=5250</v>
      </c>
      <c r="N1178" s="3" t="str">
        <f>HYPERLINK("https://ceds.ed.gov/elementComment.aspx?elementName=School Codes for the Exchange of Data Sequence of Course &amp;elementID=5250", "Click here to submit comment")</f>
        <v>Click here to submit comment</v>
      </c>
    </row>
    <row r="1179" spans="1:14" ht="375">
      <c r="A1179" s="3" t="s">
        <v>5221</v>
      </c>
      <c r="B1179" s="3" t="s">
        <v>265</v>
      </c>
      <c r="C1179" s="4" t="s">
        <v>6645</v>
      </c>
      <c r="D1179" s="3" t="s">
        <v>6307</v>
      </c>
      <c r="E1179" s="3" t="s">
        <v>6308</v>
      </c>
      <c r="F1179" s="3"/>
      <c r="G1179" s="3"/>
      <c r="H1179" s="3"/>
      <c r="I1179" s="3"/>
      <c r="J1179" s="3" t="s">
        <v>5222</v>
      </c>
      <c r="K1179" s="3"/>
      <c r="L1179" s="3" t="s">
        <v>5223</v>
      </c>
      <c r="M1179" s="3" t="str">
        <f>HYPERLINK("https://ceds.ed.gov/cedselementdetails.aspx?termid=5161")</f>
        <v>https://ceds.ed.gov/cedselementdetails.aspx?termid=5161</v>
      </c>
      <c r="N1179" s="3" t="str">
        <f>HYPERLINK("https://ceds.ed.gov/elementComment.aspx?elementName=School Identification System &amp;elementID=5161", "Click here to submit comment")</f>
        <v>Click here to submit comment</v>
      </c>
    </row>
    <row r="1180" spans="1:14" ht="375">
      <c r="A1180" s="3" t="s">
        <v>5224</v>
      </c>
      <c r="B1180" s="3" t="s">
        <v>269</v>
      </c>
      <c r="C1180" s="3" t="s">
        <v>13</v>
      </c>
      <c r="D1180" s="3" t="s">
        <v>6307</v>
      </c>
      <c r="E1180" s="3" t="s">
        <v>6308</v>
      </c>
      <c r="F1180" s="3"/>
      <c r="G1180" s="3" t="s">
        <v>100</v>
      </c>
      <c r="H1180" s="3"/>
      <c r="I1180" s="3"/>
      <c r="J1180" s="3" t="s">
        <v>5225</v>
      </c>
      <c r="K1180" s="3"/>
      <c r="L1180" s="3" t="s">
        <v>5226</v>
      </c>
      <c r="M1180" s="3" t="str">
        <f>HYPERLINK("https://ceds.ed.gov/cedselementdetails.aspx?termid=5155")</f>
        <v>https://ceds.ed.gov/cedselementdetails.aspx?termid=5155</v>
      </c>
      <c r="N1180" s="3" t="str">
        <f>HYPERLINK("https://ceds.ed.gov/elementComment.aspx?elementName=School Identifier &amp;elementID=5155", "Click here to submit comment")</f>
        <v>Click here to submit comment</v>
      </c>
    </row>
    <row r="1181" spans="1:14" ht="30">
      <c r="A1181" s="3" t="s">
        <v>5227</v>
      </c>
      <c r="B1181" s="3" t="s">
        <v>5228</v>
      </c>
      <c r="C1181" s="3" t="s">
        <v>13</v>
      </c>
      <c r="D1181" s="3" t="s">
        <v>2822</v>
      </c>
      <c r="E1181" s="3" t="s">
        <v>207</v>
      </c>
      <c r="F1181" s="3"/>
      <c r="G1181" s="3" t="s">
        <v>1461</v>
      </c>
      <c r="H1181" s="3"/>
      <c r="I1181" s="3"/>
      <c r="J1181" s="3" t="s">
        <v>5229</v>
      </c>
      <c r="K1181" s="3"/>
      <c r="L1181" s="3" t="s">
        <v>5230</v>
      </c>
      <c r="M1181" s="3" t="str">
        <f>HYPERLINK("https://ceds.ed.gov/cedselementdetails.aspx?termid=5471")</f>
        <v>https://ceds.ed.gov/cedselementdetails.aspx?termid=5471</v>
      </c>
      <c r="N1181" s="3" t="str">
        <f>HYPERLINK("https://ceds.ed.gov/elementComment.aspx?elementName=School Improvement Allocation &amp;elementID=5471", "Click here to submit comment")</f>
        <v>Click here to submit comment</v>
      </c>
    </row>
    <row r="1182" spans="1:14" ht="30">
      <c r="A1182" s="3" t="s">
        <v>5231</v>
      </c>
      <c r="B1182" s="3" t="s">
        <v>5232</v>
      </c>
      <c r="C1182" s="3" t="s">
        <v>13</v>
      </c>
      <c r="D1182" s="3" t="s">
        <v>1806</v>
      </c>
      <c r="E1182" s="3" t="s">
        <v>207</v>
      </c>
      <c r="F1182" s="3"/>
      <c r="G1182" s="3" t="s">
        <v>73</v>
      </c>
      <c r="H1182" s="3"/>
      <c r="I1182" s="3"/>
      <c r="J1182" s="3" t="s">
        <v>5233</v>
      </c>
      <c r="K1182" s="3"/>
      <c r="L1182" s="3" t="s">
        <v>5234</v>
      </c>
      <c r="M1182" s="3" t="str">
        <f>HYPERLINK("https://ceds.ed.gov/cedselementdetails.aspx?termid=5472")</f>
        <v>https://ceds.ed.gov/cedselementdetails.aspx?termid=5472</v>
      </c>
      <c r="N1182" s="3" t="str">
        <f>HYPERLINK("https://ceds.ed.gov/elementComment.aspx?elementName=School Improvement Exit Date &amp;elementID=5472", "Click here to submit comment")</f>
        <v>Click here to submit comment</v>
      </c>
    </row>
    <row r="1183" spans="1:14" ht="45">
      <c r="A1183" s="3" t="s">
        <v>5235</v>
      </c>
      <c r="B1183" s="3" t="s">
        <v>5236</v>
      </c>
      <c r="C1183" s="3" t="s">
        <v>5963</v>
      </c>
      <c r="D1183" s="3" t="s">
        <v>1806</v>
      </c>
      <c r="E1183" s="3" t="s">
        <v>218</v>
      </c>
      <c r="F1183" s="3"/>
      <c r="G1183" s="3"/>
      <c r="H1183" s="3"/>
      <c r="I1183" s="3"/>
      <c r="J1183" s="3" t="s">
        <v>5237</v>
      </c>
      <c r="K1183" s="3"/>
      <c r="L1183" s="3" t="s">
        <v>5238</v>
      </c>
      <c r="M1183" s="3" t="str">
        <f>HYPERLINK("https://ceds.ed.gov/cedselementdetails.aspx?termid=5238")</f>
        <v>https://ceds.ed.gov/cedselementdetails.aspx?termid=5238</v>
      </c>
      <c r="N1183" s="3" t="str">
        <f>HYPERLINK("https://ceds.ed.gov/elementComment.aspx?elementName=School Improvement Funds Status &amp;elementID=5238", "Click here to submit comment")</f>
        <v>Click here to submit comment</v>
      </c>
    </row>
    <row r="1184" spans="1:14" ht="90">
      <c r="A1184" s="3" t="s">
        <v>5239</v>
      </c>
      <c r="B1184" s="3" t="s">
        <v>5240</v>
      </c>
      <c r="C1184" s="4" t="s">
        <v>6646</v>
      </c>
      <c r="D1184" s="3" t="s">
        <v>1764</v>
      </c>
      <c r="E1184" s="3" t="s">
        <v>218</v>
      </c>
      <c r="F1184" s="3"/>
      <c r="G1184" s="3"/>
      <c r="H1184" s="3"/>
      <c r="I1184" s="3"/>
      <c r="J1184" s="3" t="s">
        <v>5241</v>
      </c>
      <c r="K1184" s="3"/>
      <c r="L1184" s="3" t="s">
        <v>5242</v>
      </c>
      <c r="M1184" s="3" t="str">
        <f>HYPERLINK("https://ceds.ed.gov/cedselementdetails.aspx?termid=5239")</f>
        <v>https://ceds.ed.gov/cedselementdetails.aspx?termid=5239</v>
      </c>
      <c r="N1184" s="3" t="str">
        <f>HYPERLINK("https://ceds.ed.gov/elementComment.aspx?elementName=School Improvement Grant Intervention Type &amp;elementID=5239", "Click here to submit comment")</f>
        <v>Click here to submit comment</v>
      </c>
    </row>
    <row r="1185" spans="1:14" ht="105">
      <c r="A1185" s="3" t="s">
        <v>5243</v>
      </c>
      <c r="B1185" s="3" t="s">
        <v>5244</v>
      </c>
      <c r="C1185" s="3" t="s">
        <v>13</v>
      </c>
      <c r="D1185" s="3" t="s">
        <v>2822</v>
      </c>
      <c r="E1185" s="3" t="s">
        <v>207</v>
      </c>
      <c r="F1185" s="3"/>
      <c r="G1185" s="3" t="s">
        <v>740</v>
      </c>
      <c r="H1185" s="3"/>
      <c r="I1185" s="3"/>
      <c r="J1185" s="3" t="s">
        <v>5245</v>
      </c>
      <c r="K1185" s="3"/>
      <c r="L1185" s="3" t="s">
        <v>5246</v>
      </c>
      <c r="M1185" s="3" t="str">
        <f>HYPERLINK("https://ceds.ed.gov/cedselementdetails.aspx?termid=5470")</f>
        <v>https://ceds.ed.gov/cedselementdetails.aspx?termid=5470</v>
      </c>
      <c r="N1185" s="3" t="str">
        <f>HYPERLINK("https://ceds.ed.gov/elementComment.aspx?elementName=School Improvement Reserved Funds Percentage &amp;elementID=5470", "Click here to submit comment")</f>
        <v>Click here to submit comment</v>
      </c>
    </row>
    <row r="1186" spans="1:14" ht="105">
      <c r="A1186" s="3" t="s">
        <v>5247</v>
      </c>
      <c r="B1186" s="3" t="s">
        <v>5248</v>
      </c>
      <c r="C1186" s="4" t="s">
        <v>6647</v>
      </c>
      <c r="D1186" s="3" t="s">
        <v>224</v>
      </c>
      <c r="E1186" s="3" t="s">
        <v>218</v>
      </c>
      <c r="F1186" s="3"/>
      <c r="G1186" s="3"/>
      <c r="H1186" s="3"/>
      <c r="I1186" s="3"/>
      <c r="J1186" s="3" t="s">
        <v>5249</v>
      </c>
      <c r="K1186" s="3"/>
      <c r="L1186" s="3" t="s">
        <v>5250</v>
      </c>
      <c r="M1186" s="3" t="str">
        <f>HYPERLINK("https://ceds.ed.gov/cedselementdetails.aspx?termid=5240")</f>
        <v>https://ceds.ed.gov/cedselementdetails.aspx?termid=5240</v>
      </c>
      <c r="N1186" s="3" t="str">
        <f>HYPERLINK("https://ceds.ed.gov/elementComment.aspx?elementName=School Improvement Status &amp;elementID=5240", "Click here to submit comment")</f>
        <v>Click here to submit comment</v>
      </c>
    </row>
    <row r="1187" spans="1:14" ht="225">
      <c r="A1187" s="3" t="s">
        <v>5251</v>
      </c>
      <c r="B1187" s="3" t="s">
        <v>5252</v>
      </c>
      <c r="C1187" s="4" t="s">
        <v>6648</v>
      </c>
      <c r="D1187" s="3" t="s">
        <v>224</v>
      </c>
      <c r="E1187" s="3"/>
      <c r="F1187" s="3"/>
      <c r="G1187" s="3"/>
      <c r="H1187" s="3"/>
      <c r="I1187" s="3"/>
      <c r="J1187" s="3" t="s">
        <v>5253</v>
      </c>
      <c r="K1187" s="3"/>
      <c r="L1187" s="3" t="s">
        <v>5254</v>
      </c>
      <c r="M1187" s="3" t="str">
        <f>HYPERLINK("https://ceds.ed.gov/cedselementdetails.aspx?termid=5241")</f>
        <v>https://ceds.ed.gov/cedselementdetails.aspx?termid=5241</v>
      </c>
      <c r="N1187" s="3" t="str">
        <f>HYPERLINK("https://ceds.ed.gov/elementComment.aspx?elementName=School Level &amp;elementID=5241", "Click here to submit comment")</f>
        <v>Click here to submit comment</v>
      </c>
    </row>
    <row r="1188" spans="1:14" ht="135">
      <c r="A1188" s="3" t="s">
        <v>5255</v>
      </c>
      <c r="B1188" s="3" t="s">
        <v>5256</v>
      </c>
      <c r="C1188" s="4" t="s">
        <v>6649</v>
      </c>
      <c r="D1188" s="3" t="s">
        <v>224</v>
      </c>
      <c r="E1188" s="3" t="s">
        <v>218</v>
      </c>
      <c r="F1188" s="3"/>
      <c r="G1188" s="3"/>
      <c r="H1188" s="3"/>
      <c r="I1188" s="3"/>
      <c r="J1188" s="3" t="s">
        <v>5257</v>
      </c>
      <c r="K1188" s="3"/>
      <c r="L1188" s="3" t="s">
        <v>5258</v>
      </c>
      <c r="M1188" s="3" t="str">
        <f>HYPERLINK("https://ceds.ed.gov/cedselementdetails.aspx?termid=5524")</f>
        <v>https://ceds.ed.gov/cedselementdetails.aspx?termid=5524</v>
      </c>
      <c r="N1188" s="3" t="str">
        <f>HYPERLINK("https://ceds.ed.gov/elementComment.aspx?elementName=School Operational Status &amp;elementID=5524", "Click here to submit comment")</f>
        <v>Click here to submit comment</v>
      </c>
    </row>
    <row r="1189" spans="1:14" ht="90">
      <c r="A1189" s="3" t="s">
        <v>5259</v>
      </c>
      <c r="B1189" s="3" t="s">
        <v>5260</v>
      </c>
      <c r="C1189" s="4" t="s">
        <v>6650</v>
      </c>
      <c r="D1189" s="3" t="s">
        <v>224</v>
      </c>
      <c r="E1189" s="3" t="s">
        <v>5968</v>
      </c>
      <c r="F1189" s="3"/>
      <c r="G1189" s="3"/>
      <c r="H1189" s="3"/>
      <c r="I1189" s="3"/>
      <c r="J1189" s="3" t="s">
        <v>5261</v>
      </c>
      <c r="K1189" s="3"/>
      <c r="L1189" s="3" t="s">
        <v>5262</v>
      </c>
      <c r="M1189" s="3" t="str">
        <f>HYPERLINK("https://ceds.ed.gov/cedselementdetails.aspx?termid=5242")</f>
        <v>https://ceds.ed.gov/cedselementdetails.aspx?termid=5242</v>
      </c>
      <c r="N1189" s="3" t="str">
        <f>HYPERLINK("https://ceds.ed.gov/elementComment.aspx?elementName=School Type &amp;elementID=5242", "Click here to submit comment")</f>
        <v>Click here to submit comment</v>
      </c>
    </row>
    <row r="1190" spans="1:14" ht="45">
      <c r="A1190" s="3" t="s">
        <v>5263</v>
      </c>
      <c r="B1190" s="3" t="s">
        <v>5264</v>
      </c>
      <c r="C1190" s="3" t="s">
        <v>13</v>
      </c>
      <c r="D1190" s="3" t="s">
        <v>6309</v>
      </c>
      <c r="E1190" s="3" t="s">
        <v>1780</v>
      </c>
      <c r="F1190" s="3"/>
      <c r="G1190" s="3" t="s">
        <v>1736</v>
      </c>
      <c r="H1190" s="3"/>
      <c r="I1190" s="3" t="s">
        <v>5265</v>
      </c>
      <c r="J1190" s="3" t="s">
        <v>5266</v>
      </c>
      <c r="K1190" s="3"/>
      <c r="L1190" s="3" t="s">
        <v>5267</v>
      </c>
      <c r="M1190" s="3" t="str">
        <f>HYPERLINK("https://ceds.ed.gov/cedselementdetails.aspx?termid=5243")</f>
        <v>https://ceds.ed.gov/cedselementdetails.aspx?termid=5243</v>
      </c>
      <c r="N1190" s="3" t="str">
        <f>HYPERLINK("https://ceds.ed.gov/elementComment.aspx?elementName=School Year &amp;elementID=5243", "Click here to submit comment")</f>
        <v>Click here to submit comment</v>
      </c>
    </row>
    <row r="1191" spans="1:14" ht="105">
      <c r="A1191" s="3" t="s">
        <v>5268</v>
      </c>
      <c r="B1191" s="3" t="s">
        <v>5269</v>
      </c>
      <c r="C1191" s="3" t="s">
        <v>13</v>
      </c>
      <c r="D1191" s="3" t="s">
        <v>2116</v>
      </c>
      <c r="E1191" s="3" t="s">
        <v>218</v>
      </c>
      <c r="F1191" s="3"/>
      <c r="G1191" s="3" t="s">
        <v>308</v>
      </c>
      <c r="H1191" s="3"/>
      <c r="I1191" s="3"/>
      <c r="J1191" s="3" t="s">
        <v>5270</v>
      </c>
      <c r="K1191" s="3"/>
      <c r="L1191" s="3" t="s">
        <v>5271</v>
      </c>
      <c r="M1191" s="3" t="str">
        <f>HYPERLINK("https://ceds.ed.gov/cedselementdetails.aspx?termid=5244")</f>
        <v>https://ceds.ed.gov/cedselementdetails.aspx?termid=5244</v>
      </c>
      <c r="N1191" s="3" t="str">
        <f>HYPERLINK("https://ceds.ed.gov/elementComment.aspx?elementName=School Year Minutes &amp;elementID=5244", "Click here to submit comment")</f>
        <v>Click here to submit comment</v>
      </c>
    </row>
    <row r="1192" spans="1:14" ht="150">
      <c r="A1192" s="3" t="s">
        <v>5285</v>
      </c>
      <c r="B1192" s="3" t="s">
        <v>5286</v>
      </c>
      <c r="C1192" s="4" t="s">
        <v>6653</v>
      </c>
      <c r="D1192" s="3" t="s">
        <v>2760</v>
      </c>
      <c r="E1192" s="3"/>
      <c r="F1192" s="3"/>
      <c r="G1192" s="3"/>
      <c r="H1192" s="3"/>
      <c r="I1192" s="3"/>
      <c r="J1192" s="3" t="s">
        <v>5287</v>
      </c>
      <c r="K1192" s="3"/>
      <c r="L1192" s="3" t="s">
        <v>5288</v>
      </c>
      <c r="M1192" s="3" t="str">
        <f>HYPERLINK("https://ceds.ed.gov/cedselementdetails.aspx?termid=5620")</f>
        <v>https://ceds.ed.gov/cedselementdetails.aspx?termid=5620</v>
      </c>
      <c r="N1192" s="3" t="str">
        <f>HYPERLINK("https://ceds.ed.gov/elementComment.aspx?elementName=Secondary Incident Behavior &amp;elementID=5620", "Click here to submit comment")</f>
        <v>Click here to submit comment</v>
      </c>
    </row>
    <row r="1193" spans="1:14" ht="90">
      <c r="A1193" s="3" t="s">
        <v>5289</v>
      </c>
      <c r="B1193" s="3" t="s">
        <v>5290</v>
      </c>
      <c r="C1193" s="3" t="s">
        <v>5963</v>
      </c>
      <c r="D1193" s="3" t="s">
        <v>1466</v>
      </c>
      <c r="E1193" s="3" t="s">
        <v>6200</v>
      </c>
      <c r="F1193" s="3"/>
      <c r="G1193" s="3"/>
      <c r="H1193" s="3"/>
      <c r="I1193" s="3"/>
      <c r="J1193" s="3" t="s">
        <v>5291</v>
      </c>
      <c r="K1193" s="3"/>
      <c r="L1193" s="3" t="s">
        <v>5292</v>
      </c>
      <c r="M1193" s="3" t="str">
        <f>HYPERLINK("https://ceds.ed.gov/cedselementdetails.aspx?termid=5249")</f>
        <v>https://ceds.ed.gov/cedselementdetails.aspx?termid=5249</v>
      </c>
      <c r="N1193" s="3" t="str">
        <f>HYPERLINK("https://ceds.ed.gov/elementComment.aspx?elementName=Section 504 Status &amp;elementID=5249", "Click here to submit comment")</f>
        <v>Click here to submit comment</v>
      </c>
    </row>
    <row r="1194" spans="1:14" ht="45">
      <c r="A1194" s="3" t="s">
        <v>5293</v>
      </c>
      <c r="B1194" s="3" t="s">
        <v>5294</v>
      </c>
      <c r="C1194" s="3" t="s">
        <v>5963</v>
      </c>
      <c r="D1194" s="3" t="s">
        <v>2356</v>
      </c>
      <c r="E1194" s="3" t="s">
        <v>6097</v>
      </c>
      <c r="F1194" s="3"/>
      <c r="G1194" s="3"/>
      <c r="H1194" s="3"/>
      <c r="I1194" s="3"/>
      <c r="J1194" s="3" t="s">
        <v>5295</v>
      </c>
      <c r="K1194" s="3"/>
      <c r="L1194" s="3" t="s">
        <v>5296</v>
      </c>
      <c r="M1194" s="3" t="str">
        <f>HYPERLINK("https://ceds.ed.gov/cedselementdetails.aspx?termid=5821")</f>
        <v>https://ceds.ed.gov/cedselementdetails.aspx?termid=5821</v>
      </c>
      <c r="N1194" s="3" t="str">
        <f>HYPERLINK("https://ceds.ed.gov/elementComment.aspx?elementName=Serves Children with Special Needs &amp;elementID=5821", "Click here to submit comment")</f>
        <v>Click here to submit comment</v>
      </c>
    </row>
    <row r="1195" spans="1:14" ht="60">
      <c r="A1195" s="3" t="s">
        <v>5297</v>
      </c>
      <c r="B1195" s="3" t="s">
        <v>5298</v>
      </c>
      <c r="C1195" s="3" t="s">
        <v>13</v>
      </c>
      <c r="D1195" s="3" t="s">
        <v>383</v>
      </c>
      <c r="E1195" s="3"/>
      <c r="F1195" s="3"/>
      <c r="G1195" s="3" t="s">
        <v>73</v>
      </c>
      <c r="H1195" s="3"/>
      <c r="I1195" s="3"/>
      <c r="J1195" s="3" t="s">
        <v>5299</v>
      </c>
      <c r="K1195" s="3"/>
      <c r="L1195" s="3" t="s">
        <v>5300</v>
      </c>
      <c r="M1195" s="3" t="str">
        <f>HYPERLINK("https://ceds.ed.gov/cedselementdetails.aspx?termid=5326")</f>
        <v>https://ceds.ed.gov/cedselementdetails.aspx?termid=5326</v>
      </c>
      <c r="N1195" s="3" t="str">
        <f>HYPERLINK("https://ceds.ed.gov/elementComment.aspx?elementName=Service Entry Date &amp;elementID=5326", "Click here to submit comment")</f>
        <v>Click here to submit comment</v>
      </c>
    </row>
    <row r="1196" spans="1:14" ht="60">
      <c r="A1196" s="3" t="s">
        <v>5301</v>
      </c>
      <c r="B1196" s="3" t="s">
        <v>5302</v>
      </c>
      <c r="C1196" s="3" t="s">
        <v>13</v>
      </c>
      <c r="D1196" s="3" t="s">
        <v>383</v>
      </c>
      <c r="E1196" s="3"/>
      <c r="F1196" s="3"/>
      <c r="G1196" s="3" t="s">
        <v>73</v>
      </c>
      <c r="H1196" s="3"/>
      <c r="I1196" s="3"/>
      <c r="J1196" s="3" t="s">
        <v>5303</v>
      </c>
      <c r="K1196" s="3"/>
      <c r="L1196" s="3" t="s">
        <v>5304</v>
      </c>
      <c r="M1196" s="3" t="str">
        <f>HYPERLINK("https://ceds.ed.gov/cedselementdetails.aspx?termid=5327")</f>
        <v>https://ceds.ed.gov/cedselementdetails.aspx?termid=5327</v>
      </c>
      <c r="N1196" s="3" t="str">
        <f>HYPERLINK("https://ceds.ed.gov/elementComment.aspx?elementName=Service Exit Date &amp;elementID=5327", "Click here to submit comment")</f>
        <v>Click here to submit comment</v>
      </c>
    </row>
    <row r="1197" spans="1:14" ht="105">
      <c r="A1197" s="3" t="s">
        <v>5305</v>
      </c>
      <c r="B1197" s="3" t="s">
        <v>5306</v>
      </c>
      <c r="C1197" s="4" t="s">
        <v>6654</v>
      </c>
      <c r="D1197" s="3" t="s">
        <v>6128</v>
      </c>
      <c r="E1197" s="3" t="s">
        <v>6129</v>
      </c>
      <c r="F1197" s="3"/>
      <c r="G1197" s="3"/>
      <c r="H1197" s="3"/>
      <c r="I1197" s="3"/>
      <c r="J1197" s="3" t="s">
        <v>5307</v>
      </c>
      <c r="K1197" s="3"/>
      <c r="L1197" s="3" t="s">
        <v>5308</v>
      </c>
      <c r="M1197" s="3" t="str">
        <f>HYPERLINK("https://ceds.ed.gov/cedselementdetails.aspx?termid=5352")</f>
        <v>https://ceds.ed.gov/cedselementdetails.aspx?termid=5352</v>
      </c>
      <c r="N1197" s="3" t="str">
        <f>HYPERLINK("https://ceds.ed.gov/elementComment.aspx?elementName=Service Option Variation &amp;elementID=5352", "Click here to submit comment")</f>
        <v>Click here to submit comment</v>
      </c>
    </row>
    <row r="1198" spans="1:14" ht="45">
      <c r="A1198" s="3" t="s">
        <v>5309</v>
      </c>
      <c r="B1198" s="3" t="s">
        <v>5310</v>
      </c>
      <c r="C1198" s="3" t="s">
        <v>5963</v>
      </c>
      <c r="D1198" s="3" t="s">
        <v>2116</v>
      </c>
      <c r="E1198" s="3"/>
      <c r="F1198" s="3"/>
      <c r="G1198" s="3"/>
      <c r="H1198" s="3"/>
      <c r="I1198" s="3"/>
      <c r="J1198" s="3" t="s">
        <v>5311</v>
      </c>
      <c r="K1198" s="3"/>
      <c r="L1198" s="3" t="s">
        <v>5312</v>
      </c>
      <c r="M1198" s="3" t="str">
        <f>HYPERLINK("https://ceds.ed.gov/cedselementdetails.aspx?termid=6240")</f>
        <v>https://ceds.ed.gov/cedselementdetails.aspx?termid=6240</v>
      </c>
      <c r="N1198" s="3" t="str">
        <f>HYPERLINK("https://ceds.ed.gov/elementComment.aspx?elementName=Session Attendance Term Indicator &amp;elementID=6240", "Click here to submit comment")</f>
        <v>Click here to submit comment</v>
      </c>
    </row>
    <row r="1199" spans="1:14" ht="120">
      <c r="A1199" s="3" t="s">
        <v>5313</v>
      </c>
      <c r="B1199" s="3" t="s">
        <v>5314</v>
      </c>
      <c r="C1199" s="3" t="s">
        <v>13</v>
      </c>
      <c r="D1199" s="3" t="s">
        <v>6098</v>
      </c>
      <c r="E1199" s="3" t="s">
        <v>6078</v>
      </c>
      <c r="F1199" s="3"/>
      <c r="G1199" s="3" t="s">
        <v>73</v>
      </c>
      <c r="H1199" s="3"/>
      <c r="I1199" s="3"/>
      <c r="J1199" s="3" t="s">
        <v>5315</v>
      </c>
      <c r="K1199" s="3"/>
      <c r="L1199" s="3" t="s">
        <v>5316</v>
      </c>
      <c r="M1199" s="3" t="str">
        <f>HYPERLINK("https://ceds.ed.gov/cedselementdetails.aspx?termid=5251")</f>
        <v>https://ceds.ed.gov/cedselementdetails.aspx?termid=5251</v>
      </c>
      <c r="N1199" s="3" t="str">
        <f>HYPERLINK("https://ceds.ed.gov/elementComment.aspx?elementName=Session Begin Date &amp;elementID=5251", "Click here to submit comment")</f>
        <v>Click here to submit comment</v>
      </c>
    </row>
    <row r="1200" spans="1:14" ht="60">
      <c r="A1200" s="3" t="s">
        <v>5317</v>
      </c>
      <c r="B1200" s="3" t="s">
        <v>5318</v>
      </c>
      <c r="C1200" s="3" t="s">
        <v>13</v>
      </c>
      <c r="D1200" s="3" t="s">
        <v>6309</v>
      </c>
      <c r="E1200" s="3"/>
      <c r="F1200" s="3"/>
      <c r="G1200" s="3" t="s">
        <v>100</v>
      </c>
      <c r="H1200" s="3"/>
      <c r="I1200" s="3"/>
      <c r="J1200" s="3" t="s">
        <v>5319</v>
      </c>
      <c r="K1200" s="3"/>
      <c r="L1200" s="3" t="s">
        <v>5320</v>
      </c>
      <c r="M1200" s="3" t="str">
        <f>HYPERLINK("https://ceds.ed.gov/cedselementdetails.aspx?termid=6236")</f>
        <v>https://ceds.ed.gov/cedselementdetails.aspx?termid=6236</v>
      </c>
      <c r="N1200" s="3" t="str">
        <f>HYPERLINK("https://ceds.ed.gov/elementComment.aspx?elementName=Session Code &amp;elementID=6236", "Click here to submit comment")</f>
        <v>Click here to submit comment</v>
      </c>
    </row>
    <row r="1201" spans="1:14" ht="45">
      <c r="A1201" s="3" t="s">
        <v>5321</v>
      </c>
      <c r="B1201" s="3" t="s">
        <v>5322</v>
      </c>
      <c r="C1201" s="3" t="s">
        <v>13</v>
      </c>
      <c r="D1201" s="3" t="s">
        <v>6309</v>
      </c>
      <c r="E1201" s="3"/>
      <c r="F1201" s="3"/>
      <c r="G1201" s="3" t="s">
        <v>319</v>
      </c>
      <c r="H1201" s="3"/>
      <c r="I1201" s="3"/>
      <c r="J1201" s="3" t="s">
        <v>5323</v>
      </c>
      <c r="K1201" s="3"/>
      <c r="L1201" s="3" t="s">
        <v>5324</v>
      </c>
      <c r="M1201" s="3" t="str">
        <f>HYPERLINK("https://ceds.ed.gov/cedselementdetails.aspx?termid=6237")</f>
        <v>https://ceds.ed.gov/cedselementdetails.aspx?termid=6237</v>
      </c>
      <c r="N1201" s="3" t="str">
        <f>HYPERLINK("https://ceds.ed.gov/elementComment.aspx?elementName=Session Description &amp;elementID=6237", "Click here to submit comment")</f>
        <v>Click here to submit comment</v>
      </c>
    </row>
    <row r="1202" spans="1:14" ht="90">
      <c r="A1202" s="3" t="s">
        <v>5325</v>
      </c>
      <c r="B1202" s="3" t="s">
        <v>5326</v>
      </c>
      <c r="C1202" s="3" t="s">
        <v>13</v>
      </c>
      <c r="D1202" s="3" t="s">
        <v>6310</v>
      </c>
      <c r="E1202" s="3" t="s">
        <v>6093</v>
      </c>
      <c r="F1202" s="3"/>
      <c r="G1202" s="3" t="s">
        <v>2191</v>
      </c>
      <c r="H1202" s="3"/>
      <c r="I1202" s="3"/>
      <c r="J1202" s="3" t="s">
        <v>5327</v>
      </c>
      <c r="K1202" s="3"/>
      <c r="L1202" s="3" t="s">
        <v>5328</v>
      </c>
      <c r="M1202" s="3" t="str">
        <f>HYPERLINK("https://ceds.ed.gov/cedselementdetails.aspx?termid=5252")</f>
        <v>https://ceds.ed.gov/cedselementdetails.aspx?termid=5252</v>
      </c>
      <c r="N1202" s="3" t="str">
        <f>HYPERLINK("https://ceds.ed.gov/elementComment.aspx?elementName=Session Designator &amp;elementID=5252", "Click here to submit comment")</f>
        <v>Click here to submit comment</v>
      </c>
    </row>
    <row r="1203" spans="1:14" ht="120">
      <c r="A1203" s="3" t="s">
        <v>5329</v>
      </c>
      <c r="B1203" s="3" t="s">
        <v>5330</v>
      </c>
      <c r="C1203" s="3" t="s">
        <v>13</v>
      </c>
      <c r="D1203" s="3" t="s">
        <v>6098</v>
      </c>
      <c r="E1203" s="3" t="s">
        <v>6078</v>
      </c>
      <c r="F1203" s="3"/>
      <c r="G1203" s="3" t="s">
        <v>73</v>
      </c>
      <c r="H1203" s="3"/>
      <c r="I1203" s="3"/>
      <c r="J1203" s="3" t="s">
        <v>5331</v>
      </c>
      <c r="K1203" s="3"/>
      <c r="L1203" s="3" t="s">
        <v>5332</v>
      </c>
      <c r="M1203" s="3" t="str">
        <f>HYPERLINK("https://ceds.ed.gov/cedselementdetails.aspx?termid=5253")</f>
        <v>https://ceds.ed.gov/cedselementdetails.aspx?termid=5253</v>
      </c>
      <c r="N1203" s="3" t="str">
        <f>HYPERLINK("https://ceds.ed.gov/elementComment.aspx?elementName=Session End Date &amp;elementID=5253", "Click here to submit comment")</f>
        <v>Click here to submit comment</v>
      </c>
    </row>
    <row r="1204" spans="1:14" ht="30">
      <c r="A1204" s="3" t="s">
        <v>5333</v>
      </c>
      <c r="B1204" s="3" t="s">
        <v>5334</v>
      </c>
      <c r="C1204" s="3" t="s">
        <v>13</v>
      </c>
      <c r="D1204" s="3" t="s">
        <v>2186</v>
      </c>
      <c r="E1204" s="3" t="s">
        <v>6097</v>
      </c>
      <c r="F1204" s="3"/>
      <c r="G1204" s="3" t="s">
        <v>426</v>
      </c>
      <c r="H1204" s="3"/>
      <c r="I1204" s="3"/>
      <c r="J1204" s="3" t="s">
        <v>5335</v>
      </c>
      <c r="K1204" s="3"/>
      <c r="L1204" s="3" t="s">
        <v>5336</v>
      </c>
      <c r="M1204" s="3" t="str">
        <f>HYPERLINK("https://ceds.ed.gov/cedselementdetails.aspx?termid=5988")</f>
        <v>https://ceds.ed.gov/cedselementdetails.aspx?termid=5988</v>
      </c>
      <c r="N1204" s="3" t="str">
        <f>HYPERLINK("https://ceds.ed.gov/elementComment.aspx?elementName=Session End Time &amp;elementID=5988", "Click here to submit comment")</f>
        <v>Click here to submit comment</v>
      </c>
    </row>
    <row r="1205" spans="1:14" ht="45">
      <c r="A1205" s="3" t="s">
        <v>5337</v>
      </c>
      <c r="B1205" s="3" t="s">
        <v>5338</v>
      </c>
      <c r="C1205" s="3" t="s">
        <v>5963</v>
      </c>
      <c r="D1205" s="3" t="s">
        <v>6309</v>
      </c>
      <c r="E1205" s="3"/>
      <c r="F1205" s="3"/>
      <c r="G1205" s="3"/>
      <c r="H1205" s="3"/>
      <c r="I1205" s="3"/>
      <c r="J1205" s="3" t="s">
        <v>5339</v>
      </c>
      <c r="K1205" s="3"/>
      <c r="L1205" s="3" t="s">
        <v>5340</v>
      </c>
      <c r="M1205" s="3" t="str">
        <f>HYPERLINK("https://ceds.ed.gov/cedselementdetails.aspx?termid=6238")</f>
        <v>https://ceds.ed.gov/cedselementdetails.aspx?termid=6238</v>
      </c>
      <c r="N1205" s="3" t="str">
        <f>HYPERLINK("https://ceds.ed.gov/elementComment.aspx?elementName=Session Marking Term Indicator &amp;elementID=6238", "Click here to submit comment")</f>
        <v>Click here to submit comment</v>
      </c>
    </row>
    <row r="1206" spans="1:14" ht="45">
      <c r="A1206" s="3" t="s">
        <v>5341</v>
      </c>
      <c r="B1206" s="3" t="s">
        <v>5342</v>
      </c>
      <c r="C1206" s="3" t="s">
        <v>5963</v>
      </c>
      <c r="D1206" s="3" t="s">
        <v>6309</v>
      </c>
      <c r="E1206" s="3"/>
      <c r="F1206" s="3"/>
      <c r="G1206" s="3"/>
      <c r="H1206" s="3"/>
      <c r="I1206" s="3"/>
      <c r="J1206" s="3" t="s">
        <v>5343</v>
      </c>
      <c r="K1206" s="3"/>
      <c r="L1206" s="3" t="s">
        <v>5344</v>
      </c>
      <c r="M1206" s="3" t="str">
        <f>HYPERLINK("https://ceds.ed.gov/cedselementdetails.aspx?termid=6239")</f>
        <v>https://ceds.ed.gov/cedselementdetails.aspx?termid=6239</v>
      </c>
      <c r="N1206" s="3" t="str">
        <f>HYPERLINK("https://ceds.ed.gov/elementComment.aspx?elementName=Session Scheduling Term Indicator &amp;elementID=6239", "Click here to submit comment")</f>
        <v>Click here to submit comment</v>
      </c>
    </row>
    <row r="1207" spans="1:14" ht="30">
      <c r="A1207" s="3" t="s">
        <v>5345</v>
      </c>
      <c r="B1207" s="3" t="s">
        <v>5346</v>
      </c>
      <c r="C1207" s="3" t="s">
        <v>13</v>
      </c>
      <c r="D1207" s="3" t="s">
        <v>2186</v>
      </c>
      <c r="E1207" s="3" t="s">
        <v>6097</v>
      </c>
      <c r="F1207" s="3"/>
      <c r="G1207" s="3" t="s">
        <v>426</v>
      </c>
      <c r="H1207" s="3"/>
      <c r="I1207" s="3"/>
      <c r="J1207" s="3" t="s">
        <v>5347</v>
      </c>
      <c r="K1207" s="3"/>
      <c r="L1207" s="3" t="s">
        <v>5348</v>
      </c>
      <c r="M1207" s="3" t="str">
        <f>HYPERLINK("https://ceds.ed.gov/cedselementdetails.aspx?termid=5986")</f>
        <v>https://ceds.ed.gov/cedselementdetails.aspx?termid=5986</v>
      </c>
      <c r="N1207" s="3" t="str">
        <f>HYPERLINK("https://ceds.ed.gov/elementComment.aspx?elementName=Session Start Time &amp;elementID=5986", "Click here to submit comment")</f>
        <v>Click here to submit comment</v>
      </c>
    </row>
    <row r="1208" spans="1:14" ht="180">
      <c r="A1208" s="3" t="s">
        <v>5349</v>
      </c>
      <c r="B1208" s="3" t="s">
        <v>5350</v>
      </c>
      <c r="C1208" s="4" t="s">
        <v>6655</v>
      </c>
      <c r="D1208" s="3" t="s">
        <v>6098</v>
      </c>
      <c r="E1208" s="3" t="s">
        <v>6078</v>
      </c>
      <c r="F1208" s="3"/>
      <c r="G1208" s="3"/>
      <c r="H1208" s="3"/>
      <c r="I1208" s="3"/>
      <c r="J1208" s="3" t="s">
        <v>5351</v>
      </c>
      <c r="K1208" s="3"/>
      <c r="L1208" s="3" t="s">
        <v>5352</v>
      </c>
      <c r="M1208" s="3" t="str">
        <f>HYPERLINK("https://ceds.ed.gov/cedselementdetails.aspx?termid=5254")</f>
        <v>https://ceds.ed.gov/cedselementdetails.aspx?termid=5254</v>
      </c>
      <c r="N1208" s="3" t="str">
        <f>HYPERLINK("https://ceds.ed.gov/elementComment.aspx?elementName=Session Type &amp;elementID=5254", "Click here to submit comment")</f>
        <v>Click here to submit comment</v>
      </c>
    </row>
    <row r="1209" spans="1:14" ht="360">
      <c r="A1209" s="3" t="s">
        <v>5353</v>
      </c>
      <c r="B1209" s="3" t="s">
        <v>5354</v>
      </c>
      <c r="C1209" s="4" t="s">
        <v>6656</v>
      </c>
      <c r="D1209" s="3" t="s">
        <v>6311</v>
      </c>
      <c r="E1209" s="3" t="s">
        <v>6312</v>
      </c>
      <c r="F1209" s="3" t="s">
        <v>3</v>
      </c>
      <c r="G1209" s="3"/>
      <c r="H1209" s="3"/>
      <c r="I1209" s="3" t="s">
        <v>5355</v>
      </c>
      <c r="J1209" s="3" t="s">
        <v>5356</v>
      </c>
      <c r="K1209" s="3"/>
      <c r="L1209" s="3" t="s">
        <v>5353</v>
      </c>
      <c r="M1209" s="3" t="str">
        <f>HYPERLINK("https://ceds.ed.gov/cedselementdetails.aspx?termid=5255")</f>
        <v>https://ceds.ed.gov/cedselementdetails.aspx?termid=5255</v>
      </c>
      <c r="N1209" s="3" t="str">
        <f>HYPERLINK("https://ceds.ed.gov/elementComment.aspx?elementName=Sex &amp;elementID=5255", "Click here to submit comment")</f>
        <v>Click here to submit comment</v>
      </c>
    </row>
    <row r="1210" spans="1:14" ht="90">
      <c r="A1210" s="3" t="s">
        <v>5357</v>
      </c>
      <c r="B1210" s="3" t="s">
        <v>5358</v>
      </c>
      <c r="C1210" s="3" t="s">
        <v>5963</v>
      </c>
      <c r="D1210" s="3" t="s">
        <v>224</v>
      </c>
      <c r="E1210" s="3" t="s">
        <v>218</v>
      </c>
      <c r="F1210" s="3"/>
      <c r="G1210" s="3"/>
      <c r="H1210" s="3"/>
      <c r="I1210" s="3"/>
      <c r="J1210" s="3" t="s">
        <v>5359</v>
      </c>
      <c r="K1210" s="3"/>
      <c r="L1210" s="3" t="s">
        <v>5360</v>
      </c>
      <c r="M1210" s="3" t="str">
        <f>HYPERLINK("https://ceds.ed.gov/cedselementdetails.aspx?termid=5257")</f>
        <v>https://ceds.ed.gov/cedselementdetails.aspx?termid=5257</v>
      </c>
      <c r="N1210" s="3" t="str">
        <f>HYPERLINK("https://ceds.ed.gov/elementComment.aspx?elementName=Shared Time Indicator &amp;elementID=5257", "Click here to submit comment")</f>
        <v>Click here to submit comment</v>
      </c>
    </row>
    <row r="1211" spans="1:14" ht="165">
      <c r="A1211" s="3" t="s">
        <v>5361</v>
      </c>
      <c r="B1211" s="3" t="s">
        <v>5362</v>
      </c>
      <c r="C1211" s="3" t="s">
        <v>13</v>
      </c>
      <c r="D1211" s="3" t="s">
        <v>6256</v>
      </c>
      <c r="E1211" s="3"/>
      <c r="F1211" s="3" t="s">
        <v>54</v>
      </c>
      <c r="G1211" s="3" t="s">
        <v>100</v>
      </c>
      <c r="H1211" s="3"/>
      <c r="I1211" s="3" t="s">
        <v>5363</v>
      </c>
      <c r="J1211" s="3" t="s">
        <v>5364</v>
      </c>
      <c r="K1211" s="3"/>
      <c r="L1211" s="3" t="s">
        <v>5365</v>
      </c>
      <c r="M1211" s="3" t="str">
        <f>HYPERLINK("https://ceds.ed.gov/cedselementdetails.aspx?termid=6459")</f>
        <v>https://ceds.ed.gov/cedselementdetails.aspx?termid=6459</v>
      </c>
      <c r="N1211" s="3" t="str">
        <f>HYPERLINK("https://ceds.ed.gov/elementComment.aspx?elementName=Short Name of Institution &amp;elementID=6459", "Click here to submit comment")</f>
        <v>Click here to submit comment</v>
      </c>
    </row>
    <row r="1212" spans="1:14" ht="60">
      <c r="A1212" s="3" t="s">
        <v>5366</v>
      </c>
      <c r="B1212" s="3" t="s">
        <v>5367</v>
      </c>
      <c r="C1212" s="3" t="s">
        <v>5963</v>
      </c>
      <c r="D1212" s="3" t="s">
        <v>6138</v>
      </c>
      <c r="E1212" s="3"/>
      <c r="F1212" s="3"/>
      <c r="G1212" s="3"/>
      <c r="H1212" s="3"/>
      <c r="I1212" s="3"/>
      <c r="J1212" s="3" t="s">
        <v>5368</v>
      </c>
      <c r="K1212" s="3"/>
      <c r="L1212" s="3" t="s">
        <v>5369</v>
      </c>
      <c r="M1212" s="3" t="str">
        <f>HYPERLINK("https://ceds.ed.gov/cedselementdetails.aspx?termid=5505")</f>
        <v>https://ceds.ed.gov/cedselementdetails.aspx?termid=5505</v>
      </c>
      <c r="N1212" s="3" t="str">
        <f>HYPERLINK("https://ceds.ed.gov/elementComment.aspx?elementName=Shortened Expulsion &amp;elementID=5505", "Click here to submit comment")</f>
        <v>Click here to submit comment</v>
      </c>
    </row>
    <row r="1213" spans="1:14" ht="135">
      <c r="A1213" s="3" t="s">
        <v>5370</v>
      </c>
      <c r="B1213" s="3" t="s">
        <v>5371</v>
      </c>
      <c r="C1213" s="3" t="s">
        <v>5963</v>
      </c>
      <c r="D1213" s="3" t="s">
        <v>6313</v>
      </c>
      <c r="E1213" s="3" t="s">
        <v>6101</v>
      </c>
      <c r="F1213" s="3" t="s">
        <v>3</v>
      </c>
      <c r="G1213" s="3"/>
      <c r="H1213" s="3"/>
      <c r="I1213" s="3"/>
      <c r="J1213" s="3" t="s">
        <v>5372</v>
      </c>
      <c r="K1213" s="3"/>
      <c r="L1213" s="3" t="s">
        <v>5373</v>
      </c>
      <c r="M1213" s="3" t="str">
        <f>HYPERLINK("https://ceds.ed.gov/cedselementdetails.aspx?termid=5573")</f>
        <v>https://ceds.ed.gov/cedselementdetails.aspx?termid=5573</v>
      </c>
      <c r="N1213" s="3" t="str">
        <f>HYPERLINK("https://ceds.ed.gov/elementComment.aspx?elementName=Single Parent Or Single Pregnant Woman Status &amp;elementID=5573", "Click here to submit comment")</f>
        <v>Click here to submit comment</v>
      </c>
    </row>
    <row r="1214" spans="1:14" ht="30">
      <c r="A1214" s="3" t="s">
        <v>5374</v>
      </c>
      <c r="B1214" s="3" t="s">
        <v>5375</v>
      </c>
      <c r="C1214" s="3" t="s">
        <v>13</v>
      </c>
      <c r="D1214" s="3" t="s">
        <v>5376</v>
      </c>
      <c r="E1214" s="3" t="s">
        <v>6104</v>
      </c>
      <c r="F1214" s="3"/>
      <c r="G1214" s="3" t="s">
        <v>106</v>
      </c>
      <c r="H1214" s="3"/>
      <c r="I1214" s="3"/>
      <c r="J1214" s="3" t="s">
        <v>5377</v>
      </c>
      <c r="K1214" s="3"/>
      <c r="L1214" s="3" t="s">
        <v>5378</v>
      </c>
      <c r="M1214" s="3" t="str">
        <f>HYPERLINK("https://ceds.ed.gov/cedselementdetails.aspx?termid=5625")</f>
        <v>https://ceds.ed.gov/cedselementdetails.aspx?termid=5625</v>
      </c>
      <c r="N1214" s="3" t="str">
        <f>HYPERLINK("https://ceds.ed.gov/elementComment.aspx?elementName=Site Name &amp;elementID=5625", "Click here to submit comment")</f>
        <v>Click here to submit comment</v>
      </c>
    </row>
    <row r="1215" spans="1:14" ht="120">
      <c r="A1215" s="3" t="s">
        <v>5379</v>
      </c>
      <c r="B1215" s="3" t="s">
        <v>5380</v>
      </c>
      <c r="C1215" s="3" t="s">
        <v>13</v>
      </c>
      <c r="D1215" s="3" t="s">
        <v>6192</v>
      </c>
      <c r="E1215" s="3" t="s">
        <v>6193</v>
      </c>
      <c r="F1215" s="3"/>
      <c r="G1215" s="3" t="s">
        <v>308</v>
      </c>
      <c r="H1215" s="3"/>
      <c r="I1215" s="3"/>
      <c r="J1215" s="3" t="s">
        <v>5381</v>
      </c>
      <c r="K1215" s="3"/>
      <c r="L1215" s="3" t="s">
        <v>5382</v>
      </c>
      <c r="M1215" s="3" t="str">
        <f>HYPERLINK("https://ceds.ed.gov/cedselementdetails.aspx?termid=5294")</f>
        <v>https://ceds.ed.gov/cedselementdetails.aspx?termid=5294</v>
      </c>
      <c r="N1215" s="3" t="str">
        <f>HYPERLINK("https://ceds.ed.gov/elementComment.aspx?elementName=Size of High School Graduating Class &amp;elementID=5294", "Click here to submit comment")</f>
        <v>Click here to submit comment</v>
      </c>
    </row>
    <row r="1216" spans="1:14" ht="409.5">
      <c r="A1216" s="3" t="s">
        <v>5383</v>
      </c>
      <c r="B1216" s="3" t="s">
        <v>5384</v>
      </c>
      <c r="C1216" s="3" t="s">
        <v>13</v>
      </c>
      <c r="D1216" s="3" t="s">
        <v>6314</v>
      </c>
      <c r="E1216" s="3" t="s">
        <v>6315</v>
      </c>
      <c r="F1216" s="3" t="s">
        <v>3</v>
      </c>
      <c r="G1216" s="3" t="s">
        <v>5385</v>
      </c>
      <c r="H1216" s="3"/>
      <c r="I1216" s="3" t="s">
        <v>5386</v>
      </c>
      <c r="J1216" s="3" t="s">
        <v>5387</v>
      </c>
      <c r="K1216" s="3" t="s">
        <v>5388</v>
      </c>
      <c r="L1216" s="3" t="s">
        <v>5389</v>
      </c>
      <c r="M1216" s="3" t="str">
        <f>HYPERLINK("https://ceds.ed.gov/cedselementdetails.aspx?termid=5259")</f>
        <v>https://ceds.ed.gov/cedselementdetails.aspx?termid=5259</v>
      </c>
      <c r="N1216" s="3" t="str">
        <f>HYPERLINK("https://ceds.ed.gov/elementComment.aspx?elementName=Social Security Number &amp;elementID=5259", "Click here to submit comment")</f>
        <v>Click here to submit comment</v>
      </c>
    </row>
    <row r="1217" spans="1:14" ht="60">
      <c r="A1217" s="3" t="s">
        <v>5390</v>
      </c>
      <c r="B1217" s="3" t="s">
        <v>5391</v>
      </c>
      <c r="C1217" s="3" t="s">
        <v>5963</v>
      </c>
      <c r="D1217" s="3" t="s">
        <v>1708</v>
      </c>
      <c r="E1217" s="3" t="s">
        <v>237</v>
      </c>
      <c r="F1217" s="3" t="s">
        <v>66</v>
      </c>
      <c r="G1217" s="3"/>
      <c r="H1217" s="3" t="s">
        <v>94</v>
      </c>
      <c r="I1217" s="3"/>
      <c r="J1217" s="3" t="s">
        <v>5392</v>
      </c>
      <c r="K1217" s="3"/>
      <c r="L1217" s="3" t="s">
        <v>5393</v>
      </c>
      <c r="M1217" s="3" t="str">
        <f>HYPERLINK("https://ceds.ed.gov/cedselementdetails.aspx?termid=5744")</f>
        <v>https://ceds.ed.gov/cedselementdetails.aspx?termid=5744</v>
      </c>
      <c r="N1217" s="3" t="str">
        <f>HYPERLINK("https://ceds.ed.gov/elementComment.aspx?elementName=Sorority Participation Status &amp;elementID=5744", "Click here to submit comment")</f>
        <v>Click here to submit comment</v>
      </c>
    </row>
    <row r="1218" spans="1:14" ht="180">
      <c r="A1218" s="3" t="s">
        <v>5394</v>
      </c>
      <c r="B1218" s="3" t="s">
        <v>5395</v>
      </c>
      <c r="C1218" s="4" t="s">
        <v>6657</v>
      </c>
      <c r="D1218" s="3" t="s">
        <v>2644</v>
      </c>
      <c r="E1218" s="3" t="s">
        <v>5988</v>
      </c>
      <c r="F1218" s="3"/>
      <c r="G1218" s="3"/>
      <c r="H1218" s="3"/>
      <c r="I1218" s="3"/>
      <c r="J1218" s="3" t="s">
        <v>5396</v>
      </c>
      <c r="K1218" s="3"/>
      <c r="L1218" s="3" t="s">
        <v>5397</v>
      </c>
      <c r="M1218" s="3" t="str">
        <f>HYPERLINK("https://ceds.ed.gov/cedselementdetails.aspx?termid=5332")</f>
        <v>https://ceds.ed.gov/cedselementdetails.aspx?termid=5332</v>
      </c>
      <c r="N1218" s="3" t="str">
        <f>HYPERLINK("https://ceds.ed.gov/elementComment.aspx?elementName=Source of Family Income &amp;elementID=5332", "Click here to submit comment")</f>
        <v>Click here to submit comment</v>
      </c>
    </row>
    <row r="1219" spans="1:14" ht="135">
      <c r="A1219" s="3" t="s">
        <v>5398</v>
      </c>
      <c r="B1219" s="3" t="s">
        <v>5399</v>
      </c>
      <c r="C1219" s="4" t="s">
        <v>6658</v>
      </c>
      <c r="D1219" s="3" t="s">
        <v>2439</v>
      </c>
      <c r="E1219" s="3" t="s">
        <v>65</v>
      </c>
      <c r="F1219" s="3"/>
      <c r="G1219" s="3"/>
      <c r="H1219" s="3"/>
      <c r="I1219" s="3"/>
      <c r="J1219" s="3" t="s">
        <v>5400</v>
      </c>
      <c r="K1219" s="3"/>
      <c r="L1219" s="3" t="s">
        <v>5401</v>
      </c>
      <c r="M1219" s="3" t="str">
        <f>HYPERLINK("https://ceds.ed.gov/cedselementdetails.aspx?termid=5852")</f>
        <v>https://ceds.ed.gov/cedselementdetails.aspx?termid=5852</v>
      </c>
      <c r="N1219" s="3" t="str">
        <f>HYPERLINK("https://ceds.ed.gov/elementComment.aspx?elementName=Special Circumstances Population Served &amp;elementID=5852", "Click here to submit comment")</f>
        <v>Click here to submit comment</v>
      </c>
    </row>
    <row r="1220" spans="1:14" ht="45">
      <c r="A1220" s="3" t="s">
        <v>5402</v>
      </c>
      <c r="B1220" s="3" t="s">
        <v>5403</v>
      </c>
      <c r="C1220" s="4" t="s">
        <v>6659</v>
      </c>
      <c r="D1220" s="3" t="s">
        <v>1723</v>
      </c>
      <c r="E1220" s="3" t="s">
        <v>218</v>
      </c>
      <c r="F1220" s="3"/>
      <c r="G1220" s="3"/>
      <c r="H1220" s="3"/>
      <c r="I1220" s="3"/>
      <c r="J1220" s="3" t="s">
        <v>5404</v>
      </c>
      <c r="K1220" s="3"/>
      <c r="L1220" s="3" t="s">
        <v>5405</v>
      </c>
      <c r="M1220" s="3" t="str">
        <f>HYPERLINK("https://ceds.ed.gov/cedselementdetails.aspx?termid=5556")</f>
        <v>https://ceds.ed.gov/cedselementdetails.aspx?termid=5556</v>
      </c>
      <c r="N1220" s="3" t="str">
        <f>HYPERLINK("https://ceds.ed.gov/elementComment.aspx?elementName=Special Education Age Group Taught &amp;elementID=5556", "Click here to submit comment")</f>
        <v>Click here to submit comment</v>
      </c>
    </row>
    <row r="1221" spans="1:14" ht="409.5">
      <c r="A1221" s="3" t="s">
        <v>5406</v>
      </c>
      <c r="B1221" s="3" t="s">
        <v>5407</v>
      </c>
      <c r="C1221" s="4" t="s">
        <v>6660</v>
      </c>
      <c r="D1221" s="3" t="s">
        <v>6316</v>
      </c>
      <c r="E1221" s="3" t="s">
        <v>218</v>
      </c>
      <c r="F1221" s="3" t="s">
        <v>66</v>
      </c>
      <c r="G1221" s="3"/>
      <c r="H1221" s="3" t="s">
        <v>5408</v>
      </c>
      <c r="I1221" s="3"/>
      <c r="J1221" s="3" t="s">
        <v>5409</v>
      </c>
      <c r="K1221" s="3"/>
      <c r="L1221" s="3" t="s">
        <v>5410</v>
      </c>
      <c r="M1221" s="3" t="str">
        <f>HYPERLINK("https://ceds.ed.gov/cedselementdetails.aspx?termid=5260")</f>
        <v>https://ceds.ed.gov/cedselementdetails.aspx?termid=5260</v>
      </c>
      <c r="N1221" s="3" t="str">
        <f>HYPERLINK("https://ceds.ed.gov/elementComment.aspx?elementName=Special Education Exit Reason &amp;elementID=5260", "Click here to submit comment")</f>
        <v>Click here to submit comment</v>
      </c>
    </row>
    <row r="1222" spans="1:14" ht="90">
      <c r="A1222" s="3" t="s">
        <v>5411</v>
      </c>
      <c r="B1222" s="3" t="s">
        <v>5412</v>
      </c>
      <c r="C1222" s="3" t="s">
        <v>13</v>
      </c>
      <c r="D1222" s="3" t="s">
        <v>6317</v>
      </c>
      <c r="E1222" s="3"/>
      <c r="F1222" s="3"/>
      <c r="G1222" s="3" t="s">
        <v>5413</v>
      </c>
      <c r="H1222" s="3"/>
      <c r="I1222" s="3"/>
      <c r="J1222" s="3" t="s">
        <v>5414</v>
      </c>
      <c r="K1222" s="3" t="s">
        <v>5415</v>
      </c>
      <c r="L1222" s="3" t="s">
        <v>5416</v>
      </c>
      <c r="M1222" s="3" t="str">
        <f>HYPERLINK("https://ceds.ed.gov/cedselementdetails.aspx?termid=6208")</f>
        <v>https://ceds.ed.gov/cedselementdetails.aspx?termid=6208</v>
      </c>
      <c r="N1222" s="3" t="str">
        <f>HYPERLINK("https://ceds.ed.gov/elementComment.aspx?elementName=Special Education Full Time Equivalency &amp;elementID=6208", "Click here to submit comment")</f>
        <v>Click here to submit comment</v>
      </c>
    </row>
    <row r="1223" spans="1:14" ht="60">
      <c r="A1223" s="3" t="s">
        <v>5417</v>
      </c>
      <c r="B1223" s="3" t="s">
        <v>5418</v>
      </c>
      <c r="C1223" s="3" t="s">
        <v>5963</v>
      </c>
      <c r="D1223" s="3" t="s">
        <v>1723</v>
      </c>
      <c r="E1223" s="3" t="s">
        <v>218</v>
      </c>
      <c r="F1223" s="3"/>
      <c r="G1223" s="3"/>
      <c r="H1223" s="3"/>
      <c r="I1223" s="3"/>
      <c r="J1223" s="3" t="s">
        <v>5419</v>
      </c>
      <c r="K1223" s="3"/>
      <c r="L1223" s="3" t="s">
        <v>5420</v>
      </c>
      <c r="M1223" s="3" t="str">
        <f>HYPERLINK("https://ceds.ed.gov/cedselementdetails.aspx?termid=5261")</f>
        <v>https://ceds.ed.gov/cedselementdetails.aspx?termid=5261</v>
      </c>
      <c r="N1223" s="3" t="str">
        <f>HYPERLINK("https://ceds.ed.gov/elementComment.aspx?elementName=Special Education Paraprofessional &amp;elementID=5261", "Click here to submit comment")</f>
        <v>Click here to submit comment</v>
      </c>
    </row>
    <row r="1224" spans="1:14" ht="60">
      <c r="A1224" s="3" t="s">
        <v>5421</v>
      </c>
      <c r="B1224" s="3" t="s">
        <v>5422</v>
      </c>
      <c r="C1224" s="3" t="s">
        <v>5963</v>
      </c>
      <c r="D1224" s="3" t="s">
        <v>1723</v>
      </c>
      <c r="E1224" s="3" t="s">
        <v>218</v>
      </c>
      <c r="F1224" s="3"/>
      <c r="G1224" s="3"/>
      <c r="H1224" s="3"/>
      <c r="I1224" s="3"/>
      <c r="J1224" s="3" t="s">
        <v>5423</v>
      </c>
      <c r="K1224" s="3"/>
      <c r="L1224" s="3" t="s">
        <v>5424</v>
      </c>
      <c r="M1224" s="3" t="str">
        <f>HYPERLINK("https://ceds.ed.gov/cedselementdetails.aspx?termid=5262")</f>
        <v>https://ceds.ed.gov/cedselementdetails.aspx?termid=5262</v>
      </c>
      <c r="N1224" s="3" t="str">
        <f>HYPERLINK("https://ceds.ed.gov/elementComment.aspx?elementName=Special Education Related Services Personnel &amp;elementID=5262", "Click here to submit comment")</f>
        <v>Click here to submit comment</v>
      </c>
    </row>
    <row r="1225" spans="1:14" ht="45">
      <c r="A1225" s="3" t="s">
        <v>5425</v>
      </c>
      <c r="B1225" s="3" t="s">
        <v>5426</v>
      </c>
      <c r="C1225" s="3" t="s">
        <v>13</v>
      </c>
      <c r="D1225" s="3" t="s">
        <v>5427</v>
      </c>
      <c r="E1225" s="3" t="s">
        <v>218</v>
      </c>
      <c r="F1225" s="3"/>
      <c r="G1225" s="3" t="s">
        <v>73</v>
      </c>
      <c r="H1225" s="3"/>
      <c r="I1225" s="3"/>
      <c r="J1225" s="3" t="s">
        <v>5428</v>
      </c>
      <c r="K1225" s="3"/>
      <c r="L1225" s="3" t="s">
        <v>5429</v>
      </c>
      <c r="M1225" s="3" t="str">
        <f>HYPERLINK("https://ceds.ed.gov/cedselementdetails.aspx?termid=5263")</f>
        <v>https://ceds.ed.gov/cedselementdetails.aspx?termid=5263</v>
      </c>
      <c r="N1225" s="3" t="str">
        <f>HYPERLINK("https://ceds.ed.gov/elementComment.aspx?elementName=Special Education Services Exit Date &amp;elementID=5263", "Click here to submit comment")</f>
        <v>Click here to submit comment</v>
      </c>
    </row>
    <row r="1226" spans="1:14" ht="270">
      <c r="A1226" s="3" t="s">
        <v>5430</v>
      </c>
      <c r="B1226" s="3" t="s">
        <v>5431</v>
      </c>
      <c r="C1226" s="4" t="s">
        <v>6661</v>
      </c>
      <c r="D1226" s="3" t="s">
        <v>1723</v>
      </c>
      <c r="E1226" s="3" t="s">
        <v>218</v>
      </c>
      <c r="F1226" s="3"/>
      <c r="G1226" s="3"/>
      <c r="H1226" s="3"/>
      <c r="I1226" s="3"/>
      <c r="J1226" s="3" t="s">
        <v>5432</v>
      </c>
      <c r="K1226" s="3"/>
      <c r="L1226" s="3" t="s">
        <v>5433</v>
      </c>
      <c r="M1226" s="3" t="str">
        <f>HYPERLINK("https://ceds.ed.gov/cedselementdetails.aspx?termid=5549")</f>
        <v>https://ceds.ed.gov/cedselementdetails.aspx?termid=5549</v>
      </c>
      <c r="N1226" s="3" t="str">
        <f>HYPERLINK("https://ceds.ed.gov/elementComment.aspx?elementName=Special Education Staff Category &amp;elementID=5549", "Click here to submit comment")</f>
        <v>Click here to submit comment</v>
      </c>
    </row>
    <row r="1227" spans="1:14" ht="60">
      <c r="A1227" s="3" t="s">
        <v>5434</v>
      </c>
      <c r="B1227" s="3" t="s">
        <v>5435</v>
      </c>
      <c r="C1227" s="3" t="s">
        <v>5963</v>
      </c>
      <c r="D1227" s="3" t="s">
        <v>1723</v>
      </c>
      <c r="E1227" s="3" t="s">
        <v>218</v>
      </c>
      <c r="F1227" s="3"/>
      <c r="G1227" s="3"/>
      <c r="H1227" s="3"/>
      <c r="I1227" s="3"/>
      <c r="J1227" s="3" t="s">
        <v>5436</v>
      </c>
      <c r="K1227" s="3"/>
      <c r="L1227" s="3" t="s">
        <v>5437</v>
      </c>
      <c r="M1227" s="3" t="str">
        <f>HYPERLINK("https://ceds.ed.gov/cedselementdetails.aspx?termid=5264")</f>
        <v>https://ceds.ed.gov/cedselementdetails.aspx?termid=5264</v>
      </c>
      <c r="N1227" s="3" t="str">
        <f>HYPERLINK("https://ceds.ed.gov/elementComment.aspx?elementName=Special Education Teacher &amp;elementID=5264", "Click here to submit comment")</f>
        <v>Click here to submit comment</v>
      </c>
    </row>
    <row r="1228" spans="1:14" ht="75">
      <c r="A1228" s="3" t="s">
        <v>5438</v>
      </c>
      <c r="B1228" s="3" t="s">
        <v>5439</v>
      </c>
      <c r="C1228" s="3" t="s">
        <v>5963</v>
      </c>
      <c r="D1228" s="3" t="s">
        <v>5440</v>
      </c>
      <c r="E1228" s="3" t="s">
        <v>65</v>
      </c>
      <c r="F1228" s="3"/>
      <c r="G1228" s="3"/>
      <c r="H1228" s="3"/>
      <c r="I1228" s="3"/>
      <c r="J1228" s="3" t="s">
        <v>5441</v>
      </c>
      <c r="K1228" s="3"/>
      <c r="L1228" s="3" t="s">
        <v>5442</v>
      </c>
      <c r="M1228" s="3" t="str">
        <f>HYPERLINK("https://ceds.ed.gov/cedselementdetails.aspx?termid=6004")</f>
        <v>https://ceds.ed.gov/cedselementdetails.aspx?termid=6004</v>
      </c>
      <c r="N1228" s="3" t="str">
        <f>HYPERLINK("https://ceds.ed.gov/elementComment.aspx?elementName=Special Needs Policy &amp;elementID=6004", "Click here to submit comment")</f>
        <v>Click here to submit comment</v>
      </c>
    </row>
    <row r="1229" spans="1:14" ht="90">
      <c r="A1229" s="3" t="s">
        <v>5443</v>
      </c>
      <c r="B1229" s="3" t="s">
        <v>5444</v>
      </c>
      <c r="C1229" s="3" t="s">
        <v>13</v>
      </c>
      <c r="D1229" s="3" t="s">
        <v>6290</v>
      </c>
      <c r="E1229" s="3"/>
      <c r="F1229" s="3" t="s">
        <v>54</v>
      </c>
      <c r="G1229" s="3" t="s">
        <v>106</v>
      </c>
      <c r="H1229" s="3"/>
      <c r="I1229" s="3"/>
      <c r="J1229" s="3" t="s">
        <v>5445</v>
      </c>
      <c r="K1229" s="3"/>
      <c r="L1229" s="3" t="s">
        <v>5446</v>
      </c>
      <c r="M1229" s="3" t="str">
        <f>HYPERLINK("https://ceds.ed.gov/cedselementdetails.aspx?termid=6461")</f>
        <v>https://ceds.ed.gov/cedselementdetails.aspx?termid=6461</v>
      </c>
      <c r="N1229" s="3" t="str">
        <f>HYPERLINK("https://ceds.ed.gov/elementComment.aspx?elementName=Sponsoring Agency Name &amp;elementID=6461", "Click here to submit comment")</f>
        <v>Click here to submit comment</v>
      </c>
    </row>
    <row r="1230" spans="1:14" ht="225">
      <c r="A1230" s="3" t="s">
        <v>5447</v>
      </c>
      <c r="B1230" s="3" t="s">
        <v>5448</v>
      </c>
      <c r="C1230" s="3" t="s">
        <v>13</v>
      </c>
      <c r="D1230" s="3" t="s">
        <v>6153</v>
      </c>
      <c r="E1230" s="3" t="s">
        <v>1780</v>
      </c>
      <c r="F1230" s="3" t="s">
        <v>3</v>
      </c>
      <c r="G1230" s="3" t="s">
        <v>1461</v>
      </c>
      <c r="H1230" s="3"/>
      <c r="I1230" s="3" t="s">
        <v>5449</v>
      </c>
      <c r="J1230" s="3" t="s">
        <v>5450</v>
      </c>
      <c r="K1230" s="3"/>
      <c r="L1230" s="3" t="s">
        <v>5451</v>
      </c>
      <c r="M1230" s="3" t="str">
        <f>HYPERLINK("https://ceds.ed.gov/cedselementdetails.aspx?termid=5032")</f>
        <v>https://ceds.ed.gov/cedselementdetails.aspx?termid=5032</v>
      </c>
      <c r="N1230" s="3" t="str">
        <f>HYPERLINK("https://ceds.ed.gov/elementComment.aspx?elementName=Staff Compensation Base Salary &amp;elementID=5032", "Click here to submit comment")</f>
        <v>Click here to submit comment</v>
      </c>
    </row>
    <row r="1231" spans="1:14" ht="105">
      <c r="A1231" s="3" t="s">
        <v>5452</v>
      </c>
      <c r="B1231" s="3" t="s">
        <v>5453</v>
      </c>
      <c r="C1231" s="3" t="s">
        <v>13</v>
      </c>
      <c r="D1231" s="3" t="s">
        <v>1779</v>
      </c>
      <c r="E1231" s="3" t="s">
        <v>1780</v>
      </c>
      <c r="F1231" s="3"/>
      <c r="G1231" s="3" t="s">
        <v>1461</v>
      </c>
      <c r="H1231" s="3"/>
      <c r="I1231" s="3"/>
      <c r="J1231" s="3" t="s">
        <v>5454</v>
      </c>
      <c r="K1231" s="3"/>
      <c r="L1231" s="3" t="s">
        <v>5455</v>
      </c>
      <c r="M1231" s="3" t="str">
        <f>HYPERLINK("https://ceds.ed.gov/cedselementdetails.aspx?termid=5136")</f>
        <v>https://ceds.ed.gov/cedselementdetails.aspx?termid=5136</v>
      </c>
      <c r="N1231" s="3" t="str">
        <f>HYPERLINK("https://ceds.ed.gov/elementComment.aspx?elementName=Staff Compensation Health Benefits &amp;elementID=5136", "Click here to submit comment")</f>
        <v>Click here to submit comment</v>
      </c>
    </row>
    <row r="1232" spans="1:14" ht="120">
      <c r="A1232" s="3" t="s">
        <v>5456</v>
      </c>
      <c r="B1232" s="3" t="s">
        <v>5457</v>
      </c>
      <c r="C1232" s="3" t="s">
        <v>13</v>
      </c>
      <c r="D1232" s="3" t="s">
        <v>1779</v>
      </c>
      <c r="E1232" s="3" t="s">
        <v>1780</v>
      </c>
      <c r="F1232" s="3"/>
      <c r="G1232" s="3" t="s">
        <v>1461</v>
      </c>
      <c r="H1232" s="3"/>
      <c r="I1232" s="3"/>
      <c r="J1232" s="3" t="s">
        <v>5458</v>
      </c>
      <c r="K1232" s="3"/>
      <c r="L1232" s="3" t="s">
        <v>5459</v>
      </c>
      <c r="M1232" s="3" t="str">
        <f>HYPERLINK("https://ceds.ed.gov/cedselementdetails.aspx?termid=5205")</f>
        <v>https://ceds.ed.gov/cedselementdetails.aspx?termid=5205</v>
      </c>
      <c r="N1232" s="3" t="str">
        <f>HYPERLINK("https://ceds.ed.gov/elementComment.aspx?elementName=Staff Compensation Other Benefits &amp;elementID=5205", "Click here to submit comment")</f>
        <v>Click here to submit comment</v>
      </c>
    </row>
    <row r="1233" spans="1:14" ht="105">
      <c r="A1233" s="3" t="s">
        <v>5460</v>
      </c>
      <c r="B1233" s="3" t="s">
        <v>5461</v>
      </c>
      <c r="C1233" s="3" t="s">
        <v>13</v>
      </c>
      <c r="D1233" s="3" t="s">
        <v>1779</v>
      </c>
      <c r="E1233" s="3" t="s">
        <v>1780</v>
      </c>
      <c r="F1233" s="3"/>
      <c r="G1233" s="3" t="s">
        <v>1461</v>
      </c>
      <c r="H1233" s="3"/>
      <c r="I1233" s="3"/>
      <c r="J1233" s="3" t="s">
        <v>5462</v>
      </c>
      <c r="K1233" s="3"/>
      <c r="L1233" s="3" t="s">
        <v>5463</v>
      </c>
      <c r="M1233" s="3" t="str">
        <f>HYPERLINK("https://ceds.ed.gov/cedselementdetails.aspx?termid=5233")</f>
        <v>https://ceds.ed.gov/cedselementdetails.aspx?termid=5233</v>
      </c>
      <c r="N1233" s="3" t="str">
        <f>HYPERLINK("https://ceds.ed.gov/elementComment.aspx?elementName=Staff Compensation Retirement Benefits &amp;elementID=5233", "Click here to submit comment")</f>
        <v>Click here to submit comment</v>
      </c>
    </row>
    <row r="1234" spans="1:14" ht="90">
      <c r="A1234" s="3" t="s">
        <v>5464</v>
      </c>
      <c r="B1234" s="3" t="s">
        <v>5465</v>
      </c>
      <c r="C1234" s="3" t="s">
        <v>13</v>
      </c>
      <c r="D1234" s="3" t="s">
        <v>1779</v>
      </c>
      <c r="E1234" s="3" t="s">
        <v>1780</v>
      </c>
      <c r="F1234" s="3"/>
      <c r="G1234" s="3" t="s">
        <v>1461</v>
      </c>
      <c r="H1234" s="3"/>
      <c r="I1234" s="3"/>
      <c r="J1234" s="3" t="s">
        <v>5466</v>
      </c>
      <c r="K1234" s="3"/>
      <c r="L1234" s="3" t="s">
        <v>5467</v>
      </c>
      <c r="M1234" s="3" t="str">
        <f>HYPERLINK("https://ceds.ed.gov/cedselementdetails.aspx?termid=5293")</f>
        <v>https://ceds.ed.gov/cedselementdetails.aspx?termid=5293</v>
      </c>
      <c r="N1234" s="3" t="str">
        <f>HYPERLINK("https://ceds.ed.gov/elementComment.aspx?elementName=Staff Compensation Total Benefits &amp;elementID=5293", "Click here to submit comment")</f>
        <v>Click here to submit comment</v>
      </c>
    </row>
    <row r="1235" spans="1:14" ht="60">
      <c r="A1235" s="3" t="s">
        <v>5468</v>
      </c>
      <c r="B1235" s="3" t="s">
        <v>5469</v>
      </c>
      <c r="C1235" s="3" t="s">
        <v>13</v>
      </c>
      <c r="D1235" s="3" t="s">
        <v>1779</v>
      </c>
      <c r="E1235" s="3" t="s">
        <v>1780</v>
      </c>
      <c r="F1235" s="3"/>
      <c r="G1235" s="3" t="s">
        <v>1461</v>
      </c>
      <c r="H1235" s="3"/>
      <c r="I1235" s="3"/>
      <c r="J1235" s="3" t="s">
        <v>5470</v>
      </c>
      <c r="K1235" s="3"/>
      <c r="L1235" s="3" t="s">
        <v>5471</v>
      </c>
      <c r="M1235" s="3" t="str">
        <f>HYPERLINK("https://ceds.ed.gov/cedselementdetails.aspx?termid=5295")</f>
        <v>https://ceds.ed.gov/cedselementdetails.aspx?termid=5295</v>
      </c>
      <c r="N1235" s="3" t="str">
        <f>HYPERLINK("https://ceds.ed.gov/elementComment.aspx?elementName=Staff Compensation Total Salary &amp;elementID=5295", "Click here to submit comment")</f>
        <v>Click here to submit comment</v>
      </c>
    </row>
    <row r="1236" spans="1:14" ht="75">
      <c r="A1236" s="3" t="s">
        <v>5472</v>
      </c>
      <c r="B1236" s="3" t="s">
        <v>5473</v>
      </c>
      <c r="C1236" s="3" t="s">
        <v>13</v>
      </c>
      <c r="D1236" s="3" t="s">
        <v>388</v>
      </c>
      <c r="E1236" s="3" t="s">
        <v>202</v>
      </c>
      <c r="F1236" s="3"/>
      <c r="G1236" s="3" t="s">
        <v>73</v>
      </c>
      <c r="H1236" s="3"/>
      <c r="I1236" s="3"/>
      <c r="J1236" s="3" t="s">
        <v>5474</v>
      </c>
      <c r="K1236" s="3"/>
      <c r="L1236" s="3" t="s">
        <v>5475</v>
      </c>
      <c r="M1236" s="3" t="str">
        <f>HYPERLINK("https://ceds.ed.gov/cedselementdetails.aspx?termid=5792")</f>
        <v>https://ceds.ed.gov/cedselementdetails.aspx?termid=5792</v>
      </c>
      <c r="N1236" s="3" t="str">
        <f>HYPERLINK("https://ceds.ed.gov/elementComment.aspx?elementName=Staff Education Entry Date &amp;elementID=5792", "Click here to submit comment")</f>
        <v>Click here to submit comment</v>
      </c>
    </row>
    <row r="1237" spans="1:14" ht="75">
      <c r="A1237" s="3" t="s">
        <v>5476</v>
      </c>
      <c r="B1237" s="3" t="s">
        <v>5477</v>
      </c>
      <c r="C1237" s="3" t="s">
        <v>13</v>
      </c>
      <c r="D1237" s="3" t="s">
        <v>388</v>
      </c>
      <c r="E1237" s="3" t="s">
        <v>202</v>
      </c>
      <c r="F1237" s="3"/>
      <c r="G1237" s="3" t="s">
        <v>73</v>
      </c>
      <c r="H1237" s="3"/>
      <c r="I1237" s="3"/>
      <c r="J1237" s="3" t="s">
        <v>5478</v>
      </c>
      <c r="K1237" s="3"/>
      <c r="L1237" s="3" t="s">
        <v>5479</v>
      </c>
      <c r="M1237" s="3" t="str">
        <f>HYPERLINK("https://ceds.ed.gov/cedselementdetails.aspx?termid=5793")</f>
        <v>https://ceds.ed.gov/cedselementdetails.aspx?termid=5793</v>
      </c>
      <c r="N1237" s="3" t="str">
        <f>HYPERLINK("https://ceds.ed.gov/elementComment.aspx?elementName=Staff Education Withdrawal Date &amp;elementID=5793", "Click here to submit comment")</f>
        <v>Click here to submit comment</v>
      </c>
    </row>
    <row r="1238" spans="1:14" ht="30">
      <c r="A1238" s="3" t="s">
        <v>5480</v>
      </c>
      <c r="B1238" s="3" t="s">
        <v>5481</v>
      </c>
      <c r="C1238" s="3" t="s">
        <v>13</v>
      </c>
      <c r="D1238" s="3" t="s">
        <v>2625</v>
      </c>
      <c r="E1238" s="3"/>
      <c r="F1238" s="3"/>
      <c r="G1238" s="3" t="s">
        <v>25</v>
      </c>
      <c r="H1238" s="3"/>
      <c r="I1238" s="3"/>
      <c r="J1238" s="3" t="s">
        <v>5482</v>
      </c>
      <c r="K1238" s="3"/>
      <c r="L1238" s="3" t="s">
        <v>5483</v>
      </c>
      <c r="M1238" s="3" t="str">
        <f>HYPERLINK("https://ceds.ed.gov/cedselementdetails.aspx?termid=5102")</f>
        <v>https://ceds.ed.gov/cedselementdetails.aspx?termid=5102</v>
      </c>
      <c r="N1238" s="3" t="str">
        <f>HYPERLINK("https://ceds.ed.gov/elementComment.aspx?elementName=Staff Evaluation Outcome &amp;elementID=5102", "Click here to submit comment")</f>
        <v>Click here to submit comment</v>
      </c>
    </row>
    <row r="1239" spans="1:14" ht="60">
      <c r="A1239" s="3" t="s">
        <v>5484</v>
      </c>
      <c r="B1239" s="3" t="s">
        <v>5485</v>
      </c>
      <c r="C1239" s="3" t="s">
        <v>13</v>
      </c>
      <c r="D1239" s="3" t="s">
        <v>2625</v>
      </c>
      <c r="E1239" s="3"/>
      <c r="F1239" s="3"/>
      <c r="G1239" s="3" t="s">
        <v>25</v>
      </c>
      <c r="H1239" s="3"/>
      <c r="I1239" s="3"/>
      <c r="J1239" s="3" t="s">
        <v>5486</v>
      </c>
      <c r="K1239" s="3"/>
      <c r="L1239" s="3" t="s">
        <v>5487</v>
      </c>
      <c r="M1239" s="3" t="str">
        <f>HYPERLINK("https://ceds.ed.gov/cedselementdetails.aspx?termid=5103")</f>
        <v>https://ceds.ed.gov/cedselementdetails.aspx?termid=5103</v>
      </c>
      <c r="N1239" s="3" t="str">
        <f>HYPERLINK("https://ceds.ed.gov/elementComment.aspx?elementName=Staff Evaluation Scale &amp;elementID=5103", "Click here to submit comment")</f>
        <v>Click here to submit comment</v>
      </c>
    </row>
    <row r="1240" spans="1:14" ht="30">
      <c r="A1240" s="3" t="s">
        <v>5488</v>
      </c>
      <c r="B1240" s="3" t="s">
        <v>5489</v>
      </c>
      <c r="C1240" s="3" t="s">
        <v>13</v>
      </c>
      <c r="D1240" s="3" t="s">
        <v>2625</v>
      </c>
      <c r="E1240" s="3"/>
      <c r="F1240" s="3"/>
      <c r="G1240" s="3" t="s">
        <v>106</v>
      </c>
      <c r="H1240" s="3"/>
      <c r="I1240" s="3"/>
      <c r="J1240" s="3" t="s">
        <v>5490</v>
      </c>
      <c r="K1240" s="3"/>
      <c r="L1240" s="3" t="s">
        <v>5491</v>
      </c>
      <c r="M1240" s="3" t="str">
        <f>HYPERLINK("https://ceds.ed.gov/cedselementdetails.aspx?termid=5104")</f>
        <v>https://ceds.ed.gov/cedselementdetails.aspx?termid=5104</v>
      </c>
      <c r="N1240" s="3" t="str">
        <f>HYPERLINK("https://ceds.ed.gov/elementComment.aspx?elementName=Staff Evaluation Score or Rating &amp;elementID=5104", "Click here to submit comment")</f>
        <v>Click here to submit comment</v>
      </c>
    </row>
    <row r="1241" spans="1:14" ht="45">
      <c r="A1241" s="3" t="s">
        <v>5492</v>
      </c>
      <c r="B1241" s="3" t="s">
        <v>5493</v>
      </c>
      <c r="C1241" s="3" t="s">
        <v>13</v>
      </c>
      <c r="D1241" s="3" t="s">
        <v>2625</v>
      </c>
      <c r="E1241" s="3"/>
      <c r="F1241" s="3"/>
      <c r="G1241" s="3" t="s">
        <v>106</v>
      </c>
      <c r="H1241" s="3"/>
      <c r="I1241" s="3"/>
      <c r="J1241" s="3" t="s">
        <v>5494</v>
      </c>
      <c r="K1241" s="3"/>
      <c r="L1241" s="3" t="s">
        <v>5495</v>
      </c>
      <c r="M1241" s="3" t="str">
        <f>HYPERLINK("https://ceds.ed.gov/cedselementdetails.aspx?termid=5105")</f>
        <v>https://ceds.ed.gov/cedselementdetails.aspx?termid=5105</v>
      </c>
      <c r="N1241" s="3" t="str">
        <f>HYPERLINK("https://ceds.ed.gov/elementComment.aspx?elementName=Staff Evaluation System &amp;elementID=5105", "Click here to submit comment")</f>
        <v>Click here to submit comment</v>
      </c>
    </row>
    <row r="1242" spans="1:14" ht="60">
      <c r="A1242" s="3" t="s">
        <v>5496</v>
      </c>
      <c r="B1242" s="3" t="s">
        <v>5497</v>
      </c>
      <c r="C1242" s="3" t="s">
        <v>13</v>
      </c>
      <c r="D1242" s="3" t="s">
        <v>6318</v>
      </c>
      <c r="E1242" s="3" t="s">
        <v>6319</v>
      </c>
      <c r="F1242" s="3" t="s">
        <v>3</v>
      </c>
      <c r="G1242" s="3" t="s">
        <v>5498</v>
      </c>
      <c r="H1242" s="3"/>
      <c r="I1242" s="3"/>
      <c r="J1242" s="3" t="s">
        <v>5499</v>
      </c>
      <c r="K1242" s="3" t="s">
        <v>5500</v>
      </c>
      <c r="L1242" s="3" t="s">
        <v>5501</v>
      </c>
      <c r="M1242" s="3" t="str">
        <f>HYPERLINK("https://ceds.ed.gov/cedselementdetails.aspx?termid=5118")</f>
        <v>https://ceds.ed.gov/cedselementdetails.aspx?termid=5118</v>
      </c>
      <c r="N1242" s="3" t="str">
        <f>HYPERLINK("https://ceds.ed.gov/elementComment.aspx?elementName=Staff Full Time Equivalency &amp;elementID=5118", "Click here to submit comment")</f>
        <v>Click here to submit comment</v>
      </c>
    </row>
    <row r="1243" spans="1:14" ht="345">
      <c r="A1243" s="3" t="s">
        <v>5502</v>
      </c>
      <c r="B1243" s="3" t="s">
        <v>5503</v>
      </c>
      <c r="C1243" s="4" t="s">
        <v>6662</v>
      </c>
      <c r="D1243" s="3" t="s">
        <v>6320</v>
      </c>
      <c r="E1243" s="3" t="s">
        <v>6321</v>
      </c>
      <c r="F1243" s="3" t="s">
        <v>3</v>
      </c>
      <c r="G1243" s="3"/>
      <c r="H1243" s="3"/>
      <c r="I1243" s="3"/>
      <c r="J1243" s="3" t="s">
        <v>5504</v>
      </c>
      <c r="K1243" s="3"/>
      <c r="L1243" s="3" t="s">
        <v>5505</v>
      </c>
      <c r="M1243" s="3" t="str">
        <f>HYPERLINK("https://ceds.ed.gov/cedselementdetails.aspx?termid=5162")</f>
        <v>https://ceds.ed.gov/cedselementdetails.aspx?termid=5162</v>
      </c>
      <c r="N1243" s="3" t="str">
        <f>HYPERLINK("https://ceds.ed.gov/elementComment.aspx?elementName=Staff Member Identification System &amp;elementID=5162", "Click here to submit comment")</f>
        <v>Click here to submit comment</v>
      </c>
    </row>
    <row r="1244" spans="1:14" ht="345">
      <c r="A1244" s="3" t="s">
        <v>5506</v>
      </c>
      <c r="B1244" s="3" t="s">
        <v>5507</v>
      </c>
      <c r="C1244" s="3" t="s">
        <v>13</v>
      </c>
      <c r="D1244" s="3" t="s">
        <v>6320</v>
      </c>
      <c r="E1244" s="3" t="s">
        <v>6322</v>
      </c>
      <c r="F1244" s="3" t="s">
        <v>3</v>
      </c>
      <c r="G1244" s="3" t="s">
        <v>100</v>
      </c>
      <c r="H1244" s="3"/>
      <c r="I1244" s="3"/>
      <c r="J1244" s="3" t="s">
        <v>5508</v>
      </c>
      <c r="K1244" s="3"/>
      <c r="L1244" s="3" t="s">
        <v>5509</v>
      </c>
      <c r="M1244" s="3" t="str">
        <f>HYPERLINK("https://ceds.ed.gov/cedselementdetails.aspx?termid=5156")</f>
        <v>https://ceds.ed.gov/cedselementdetails.aspx?termid=5156</v>
      </c>
      <c r="N1244" s="3" t="str">
        <f>HYPERLINK("https://ceds.ed.gov/elementComment.aspx?elementName=Staff Member Identifier &amp;elementID=5156", "Click here to submit comment")</f>
        <v>Click here to submit comment</v>
      </c>
    </row>
    <row r="1245" spans="1:14" ht="60">
      <c r="A1245" s="3" t="s">
        <v>5510</v>
      </c>
      <c r="B1245" s="3" t="s">
        <v>5511</v>
      </c>
      <c r="C1245" s="3" t="s">
        <v>13</v>
      </c>
      <c r="D1245" s="3" t="s">
        <v>1542</v>
      </c>
      <c r="E1245" s="3" t="s">
        <v>202</v>
      </c>
      <c r="F1245" s="3" t="s">
        <v>66</v>
      </c>
      <c r="G1245" s="3" t="s">
        <v>73</v>
      </c>
      <c r="H1245" s="3" t="s">
        <v>5512</v>
      </c>
      <c r="I1245" s="3"/>
      <c r="J1245" s="3" t="s">
        <v>5513</v>
      </c>
      <c r="K1245" s="3"/>
      <c r="L1245" s="3" t="s">
        <v>5514</v>
      </c>
      <c r="M1245" s="3" t="str">
        <f>HYPERLINK("https://ceds.ed.gov/cedselementdetails.aspx?termid=6068")</f>
        <v>https://ceds.ed.gov/cedselementdetails.aspx?termid=6068</v>
      </c>
      <c r="N1245" s="3" t="str">
        <f>HYPERLINK("https://ceds.ed.gov/elementComment.aspx?elementName=Staff Professional Development Activity Completion Date &amp;elementID=6068", "Click here to submit comment")</f>
        <v>Click here to submit comment</v>
      </c>
    </row>
    <row r="1246" spans="1:14" ht="60">
      <c r="A1246" s="3" t="s">
        <v>5515</v>
      </c>
      <c r="B1246" s="3" t="s">
        <v>5516</v>
      </c>
      <c r="C1246" s="3" t="s">
        <v>13</v>
      </c>
      <c r="D1246" s="3" t="s">
        <v>1542</v>
      </c>
      <c r="E1246" s="3" t="s">
        <v>202</v>
      </c>
      <c r="F1246" s="3" t="s">
        <v>66</v>
      </c>
      <c r="G1246" s="3" t="s">
        <v>73</v>
      </c>
      <c r="H1246" s="3" t="s">
        <v>5512</v>
      </c>
      <c r="I1246" s="3"/>
      <c r="J1246" s="3" t="s">
        <v>5517</v>
      </c>
      <c r="K1246" s="3"/>
      <c r="L1246" s="3" t="s">
        <v>5518</v>
      </c>
      <c r="M1246" s="3" t="str">
        <f>HYPERLINK("https://ceds.ed.gov/cedselementdetails.aspx?termid=6067")</f>
        <v>https://ceds.ed.gov/cedselementdetails.aspx?termid=6067</v>
      </c>
      <c r="N1246" s="3" t="str">
        <f>HYPERLINK("https://ceds.ed.gov/elementComment.aspx?elementName=Staff Professional Development Activity Start Date &amp;elementID=6067", "Click here to submit comment")</f>
        <v>Click here to submit comment</v>
      </c>
    </row>
    <row r="1247" spans="1:14" ht="120">
      <c r="A1247" s="3" t="s">
        <v>5519</v>
      </c>
      <c r="B1247" s="3" t="s">
        <v>5520</v>
      </c>
      <c r="C1247" s="3" t="s">
        <v>13</v>
      </c>
      <c r="D1247" s="3" t="s">
        <v>35</v>
      </c>
      <c r="E1247" s="3" t="s">
        <v>36</v>
      </c>
      <c r="F1247" s="3"/>
      <c r="G1247" s="3" t="s">
        <v>5521</v>
      </c>
      <c r="H1247" s="3"/>
      <c r="I1247" s="3"/>
      <c r="J1247" s="3" t="s">
        <v>5522</v>
      </c>
      <c r="K1247" s="3"/>
      <c r="L1247" s="3" t="s">
        <v>5523</v>
      </c>
      <c r="M1247" s="3" t="str">
        <f>HYPERLINK("https://ceds.ed.gov/cedselementdetails.aspx?termid=5707")</f>
        <v>https://ceds.ed.gov/cedselementdetails.aspx?termid=5707</v>
      </c>
      <c r="N1247" s="3" t="str">
        <f>HYPERLINK("https://ceds.ed.gov/elementComment.aspx?elementName=Standard Occupational Classification &amp;elementID=5707", "Click here to submit comment")</f>
        <v>Click here to submit comment</v>
      </c>
    </row>
    <row r="1248" spans="1:14" ht="45">
      <c r="A1248" s="3" t="s">
        <v>5524</v>
      </c>
      <c r="B1248" s="3" t="s">
        <v>5525</v>
      </c>
      <c r="C1248" s="3" t="s">
        <v>13</v>
      </c>
      <c r="D1248" s="3" t="s">
        <v>5526</v>
      </c>
      <c r="E1248" s="3" t="s">
        <v>1537</v>
      </c>
      <c r="F1248" s="3"/>
      <c r="G1248" s="3" t="s">
        <v>545</v>
      </c>
      <c r="H1248" s="3"/>
      <c r="I1248" s="3"/>
      <c r="J1248" s="3" t="s">
        <v>5527</v>
      </c>
      <c r="K1248" s="3"/>
      <c r="L1248" s="3" t="s">
        <v>5528</v>
      </c>
      <c r="M1248" s="3" t="str">
        <f>HYPERLINK("https://ceds.ed.gov/cedselementdetails.aspx?termid=5265")</f>
        <v>https://ceds.ed.gov/cedselementdetails.aspx?termid=5265</v>
      </c>
      <c r="N1248" s="3" t="str">
        <f>HYPERLINK("https://ceds.ed.gov/elementComment.aspx?elementName=Standardized Admission Test Score &amp;elementID=5265", "Click here to submit comment")</f>
        <v>Click here to submit comment</v>
      </c>
    </row>
    <row r="1249" spans="1:14" ht="255">
      <c r="A1249" s="3" t="s">
        <v>5529</v>
      </c>
      <c r="B1249" s="3" t="s">
        <v>5530</v>
      </c>
      <c r="C1249" s="3" t="s">
        <v>6323</v>
      </c>
      <c r="D1249" s="3" t="s">
        <v>5526</v>
      </c>
      <c r="E1249" s="3" t="s">
        <v>1537</v>
      </c>
      <c r="F1249" s="3"/>
      <c r="G1249" s="3"/>
      <c r="H1249" s="3"/>
      <c r="I1249" s="3"/>
      <c r="J1249" s="3" t="s">
        <v>5531</v>
      </c>
      <c r="K1249" s="3"/>
      <c r="L1249" s="3" t="s">
        <v>5532</v>
      </c>
      <c r="M1249" s="3" t="str">
        <f>HYPERLINK("https://ceds.ed.gov/cedselementdetails.aspx?termid=5266")</f>
        <v>https://ceds.ed.gov/cedselementdetails.aspx?termid=5266</v>
      </c>
      <c r="N1249" s="3" t="str">
        <f>HYPERLINK("https://ceds.ed.gov/elementComment.aspx?elementName=Standardized Admission Test Type &amp;elementID=5266", "Click here to submit comment")</f>
        <v>Click here to submit comment</v>
      </c>
    </row>
    <row r="1250" spans="1:14" ht="409.5">
      <c r="A1250" s="3" t="s">
        <v>5533</v>
      </c>
      <c r="B1250" s="3" t="s">
        <v>5534</v>
      </c>
      <c r="C1250" s="4" t="s">
        <v>6633</v>
      </c>
      <c r="D1250" s="3" t="s">
        <v>5972</v>
      </c>
      <c r="E1250" s="3" t="s">
        <v>6324</v>
      </c>
      <c r="F1250" s="3" t="s">
        <v>3</v>
      </c>
      <c r="G1250" s="3"/>
      <c r="H1250" s="3"/>
      <c r="I1250" s="3"/>
      <c r="J1250" s="3" t="s">
        <v>5535</v>
      </c>
      <c r="K1250" s="3"/>
      <c r="L1250" s="3" t="s">
        <v>5536</v>
      </c>
      <c r="M1250" s="3" t="str">
        <f>HYPERLINK("https://ceds.ed.gov/cedselementdetails.aspx?termid=5267")</f>
        <v>https://ceds.ed.gov/cedselementdetails.aspx?termid=5267</v>
      </c>
      <c r="N1250" s="3" t="str">
        <f>HYPERLINK("https://ceds.ed.gov/elementComment.aspx?elementName=State Abbreviation &amp;elementID=5267", "Click here to submit comment")</f>
        <v>Click here to submit comment</v>
      </c>
    </row>
    <row r="1251" spans="1:14" ht="45">
      <c r="A1251" s="3" t="s">
        <v>5537</v>
      </c>
      <c r="B1251" s="3" t="s">
        <v>5538</v>
      </c>
      <c r="C1251" s="3" t="s">
        <v>6325</v>
      </c>
      <c r="D1251" s="3" t="s">
        <v>5539</v>
      </c>
      <c r="E1251" s="3"/>
      <c r="F1251" s="3" t="s">
        <v>54</v>
      </c>
      <c r="G1251" s="3"/>
      <c r="H1251" s="3"/>
      <c r="I1251" s="3"/>
      <c r="J1251" s="3" t="s">
        <v>5540</v>
      </c>
      <c r="K1251" s="3"/>
      <c r="L1251" s="3" t="s">
        <v>5541</v>
      </c>
      <c r="M1251" s="3" t="str">
        <f>HYPERLINK("https://ceds.ed.gov/cedselementdetails.aspx?termid=6463")</f>
        <v>https://ceds.ed.gov/cedselementdetails.aspx?termid=6463</v>
      </c>
      <c r="N1251" s="3" t="str">
        <f>HYPERLINK("https://ceds.ed.gov/elementComment.aspx?elementName=State Agency Identification System &amp;elementID=6463", "Click here to submit comment")</f>
        <v>Click here to submit comment</v>
      </c>
    </row>
    <row r="1252" spans="1:14" ht="30">
      <c r="A1252" s="3" t="s">
        <v>5542</v>
      </c>
      <c r="B1252" s="3" t="s">
        <v>5543</v>
      </c>
      <c r="C1252" s="3" t="s">
        <v>13</v>
      </c>
      <c r="D1252" s="3" t="s">
        <v>5539</v>
      </c>
      <c r="E1252" s="3"/>
      <c r="F1252" s="3" t="s">
        <v>54</v>
      </c>
      <c r="G1252" s="3" t="s">
        <v>100</v>
      </c>
      <c r="H1252" s="3"/>
      <c r="I1252" s="3"/>
      <c r="J1252" s="3" t="s">
        <v>5544</v>
      </c>
      <c r="K1252" s="3"/>
      <c r="L1252" s="3" t="s">
        <v>5545</v>
      </c>
      <c r="M1252" s="3" t="str">
        <f>HYPERLINK("https://ceds.ed.gov/cedselementdetails.aspx?termid=6462")</f>
        <v>https://ceds.ed.gov/cedselementdetails.aspx?termid=6462</v>
      </c>
      <c r="N1252" s="3" t="str">
        <f>HYPERLINK("https://ceds.ed.gov/elementComment.aspx?elementName=State Agency Identifier &amp;elementID=6462", "Click here to submit comment")</f>
        <v>Click here to submit comment</v>
      </c>
    </row>
    <row r="1253" spans="1:14" ht="409.5">
      <c r="A1253" s="3" t="s">
        <v>5546</v>
      </c>
      <c r="B1253" s="3" t="s">
        <v>5547</v>
      </c>
      <c r="C1253" s="4" t="s">
        <v>6663</v>
      </c>
      <c r="D1253" s="3" t="s">
        <v>5548</v>
      </c>
      <c r="E1253" s="3" t="s">
        <v>6326</v>
      </c>
      <c r="F1253" s="3"/>
      <c r="G1253" s="3"/>
      <c r="H1253" s="3"/>
      <c r="I1253" s="3"/>
      <c r="J1253" s="3" t="s">
        <v>5549</v>
      </c>
      <c r="K1253" s="3"/>
      <c r="L1253" s="3" t="s">
        <v>5550</v>
      </c>
      <c r="M1253" s="3" t="str">
        <f>HYPERLINK("https://ceds.ed.gov/cedselementdetails.aspx?termid=5414")</f>
        <v>https://ceds.ed.gov/cedselementdetails.aspx?termid=5414</v>
      </c>
      <c r="N1253" s="3" t="str">
        <f>HYPERLINK("https://ceds.ed.gov/elementComment.aspx?elementName=State ANSI Code &amp;elementID=5414", "Click here to submit comment")</f>
        <v>Click here to submit comment</v>
      </c>
    </row>
    <row r="1254" spans="1:14" ht="60">
      <c r="A1254" s="3" t="s">
        <v>5551</v>
      </c>
      <c r="B1254" s="3" t="s">
        <v>5552</v>
      </c>
      <c r="C1254" s="3" t="s">
        <v>5963</v>
      </c>
      <c r="D1254" s="3" t="s">
        <v>1542</v>
      </c>
      <c r="E1254" s="3" t="s">
        <v>202</v>
      </c>
      <c r="F1254" s="3"/>
      <c r="G1254" s="3"/>
      <c r="H1254" s="3"/>
      <c r="I1254" s="3"/>
      <c r="J1254" s="3" t="s">
        <v>5553</v>
      </c>
      <c r="K1254" s="3"/>
      <c r="L1254" s="3" t="s">
        <v>5554</v>
      </c>
      <c r="M1254" s="3" t="str">
        <f>HYPERLINK("https://ceds.ed.gov/cedselementdetails.aspx?termid=5814")</f>
        <v>https://ceds.ed.gov/cedselementdetails.aspx?termid=5814</v>
      </c>
      <c r="N1254" s="3" t="str">
        <f>HYPERLINK("https://ceds.ed.gov/elementComment.aspx?elementName=State Approved Technical Assistance Provider Status &amp;elementID=5814", "Click here to submit comment")</f>
        <v>Click here to submit comment</v>
      </c>
    </row>
    <row r="1255" spans="1:14" ht="45">
      <c r="A1255" s="3" t="s">
        <v>5555</v>
      </c>
      <c r="B1255" s="3" t="s">
        <v>5556</v>
      </c>
      <c r="C1255" s="3" t="s">
        <v>5963</v>
      </c>
      <c r="D1255" s="3" t="s">
        <v>1542</v>
      </c>
      <c r="E1255" s="3" t="s">
        <v>202</v>
      </c>
      <c r="F1255" s="3"/>
      <c r="G1255" s="3"/>
      <c r="H1255" s="3"/>
      <c r="I1255" s="3"/>
      <c r="J1255" s="3" t="s">
        <v>5557</v>
      </c>
      <c r="K1255" s="3"/>
      <c r="L1255" s="3" t="s">
        <v>5558</v>
      </c>
      <c r="M1255" s="3" t="str">
        <f>HYPERLINK("https://ceds.ed.gov/cedselementdetails.aspx?termid=5813")</f>
        <v>https://ceds.ed.gov/cedselementdetails.aspx?termid=5813</v>
      </c>
      <c r="N1255" s="3" t="str">
        <f>HYPERLINK("https://ceds.ed.gov/elementComment.aspx?elementName=State Approved Trainer Status &amp;elementID=5813", "Click here to submit comment")</f>
        <v>Click here to submit comment</v>
      </c>
    </row>
    <row r="1256" spans="1:14" ht="120">
      <c r="A1256" s="3" t="s">
        <v>5559</v>
      </c>
      <c r="B1256" s="3" t="s">
        <v>5560</v>
      </c>
      <c r="C1256" s="3" t="s">
        <v>13</v>
      </c>
      <c r="D1256" s="3" t="s">
        <v>1471</v>
      </c>
      <c r="E1256" s="3" t="s">
        <v>207</v>
      </c>
      <c r="F1256" s="3"/>
      <c r="G1256" s="3" t="s">
        <v>740</v>
      </c>
      <c r="H1256" s="3"/>
      <c r="I1256" s="3"/>
      <c r="J1256" s="3" t="s">
        <v>5561</v>
      </c>
      <c r="K1256" s="3"/>
      <c r="L1256" s="3" t="s">
        <v>5562</v>
      </c>
      <c r="M1256" s="3" t="str">
        <f>HYPERLINK("https://ceds.ed.gov/cedselementdetails.aspx?termid=5444")</f>
        <v>https://ceds.ed.gov/cedselementdetails.aspx?termid=5444</v>
      </c>
      <c r="N1256" s="3" t="str">
        <f>HYPERLINK("https://ceds.ed.gov/elementComment.aspx?elementName=State Assessment Administration Funding &amp;elementID=5444", "Click here to submit comment")</f>
        <v>Click here to submit comment</v>
      </c>
    </row>
    <row r="1257" spans="1:14" ht="60">
      <c r="A1257" s="3" t="s">
        <v>5563</v>
      </c>
      <c r="B1257" s="3" t="s">
        <v>5564</v>
      </c>
      <c r="C1257" s="3" t="s">
        <v>13</v>
      </c>
      <c r="D1257" s="3" t="s">
        <v>1471</v>
      </c>
      <c r="E1257" s="3" t="s">
        <v>6327</v>
      </c>
      <c r="F1257" s="3"/>
      <c r="G1257" s="3" t="s">
        <v>740</v>
      </c>
      <c r="H1257" s="3"/>
      <c r="I1257" s="3"/>
      <c r="J1257" s="3" t="s">
        <v>5565</v>
      </c>
      <c r="K1257" s="3"/>
      <c r="L1257" s="3" t="s">
        <v>5566</v>
      </c>
      <c r="M1257" s="3" t="str">
        <f>HYPERLINK("https://ceds.ed.gov/cedselementdetails.aspx?termid=5443")</f>
        <v>https://ceds.ed.gov/cedselementdetails.aspx?termid=5443</v>
      </c>
      <c r="N1257" s="3" t="str">
        <f>HYPERLINK("https://ceds.ed.gov/elementComment.aspx?elementName=State Assessment Standards Funding &amp;elementID=5443", "Click here to submit comment")</f>
        <v>Click here to submit comment</v>
      </c>
    </row>
    <row r="1258" spans="1:14" ht="409.5">
      <c r="A1258" s="3" t="s">
        <v>5567</v>
      </c>
      <c r="B1258" s="3" t="s">
        <v>5568</v>
      </c>
      <c r="C1258" s="4" t="s">
        <v>6633</v>
      </c>
      <c r="D1258" s="3" t="s">
        <v>1629</v>
      </c>
      <c r="E1258" s="3" t="s">
        <v>202</v>
      </c>
      <c r="F1258" s="3"/>
      <c r="G1258" s="3"/>
      <c r="H1258" s="3"/>
      <c r="I1258" s="3"/>
      <c r="J1258" s="3" t="s">
        <v>5569</v>
      </c>
      <c r="K1258" s="3"/>
      <c r="L1258" s="3" t="s">
        <v>5570</v>
      </c>
      <c r="M1258" s="3" t="str">
        <f>HYPERLINK("https://ceds.ed.gov/cedselementdetails.aspx?termid=5804")</f>
        <v>https://ceds.ed.gov/cedselementdetails.aspx?termid=5804</v>
      </c>
      <c r="N1258" s="3" t="str">
        <f>HYPERLINK("https://ceds.ed.gov/elementComment.aspx?elementName=State Issuing Professional Credential or License &amp;elementID=5804", "Click here to submit comment")</f>
        <v>Click here to submit comment</v>
      </c>
    </row>
    <row r="1259" spans="1:14" ht="30">
      <c r="A1259" s="3" t="s">
        <v>5571</v>
      </c>
      <c r="B1259" s="3" t="s">
        <v>5572</v>
      </c>
      <c r="C1259" s="3" t="s">
        <v>13</v>
      </c>
      <c r="D1259" s="3" t="s">
        <v>1774</v>
      </c>
      <c r="E1259" s="3" t="s">
        <v>65</v>
      </c>
      <c r="F1259" s="3"/>
      <c r="G1259" s="3" t="s">
        <v>308</v>
      </c>
      <c r="H1259" s="3"/>
      <c r="I1259" s="3"/>
      <c r="J1259" s="3" t="s">
        <v>5573</v>
      </c>
      <c r="K1259" s="3"/>
      <c r="L1259" s="3" t="s">
        <v>5574</v>
      </c>
      <c r="M1259" s="3" t="str">
        <f>HYPERLINK("https://ceds.ed.gov/cedselementdetails.aspx?termid=5865")</f>
        <v>https://ceds.ed.gov/cedselementdetails.aspx?termid=5865</v>
      </c>
      <c r="N1259" s="3" t="str">
        <f>HYPERLINK("https://ceds.ed.gov/elementComment.aspx?elementName=State Licensed Facility Capacity &amp;elementID=5865", "Click here to submit comment")</f>
        <v>Click here to submit comment</v>
      </c>
    </row>
    <row r="1260" spans="1:14" ht="409.5">
      <c r="A1260" s="3" t="s">
        <v>5575</v>
      </c>
      <c r="B1260" s="3" t="s">
        <v>5576</v>
      </c>
      <c r="C1260" s="4" t="s">
        <v>6633</v>
      </c>
      <c r="D1260" s="3" t="s">
        <v>1675</v>
      </c>
      <c r="E1260" s="3" t="s">
        <v>1480</v>
      </c>
      <c r="F1260" s="3"/>
      <c r="G1260" s="3"/>
      <c r="H1260" s="3"/>
      <c r="I1260" s="3"/>
      <c r="J1260" s="3" t="s">
        <v>5577</v>
      </c>
      <c r="K1260" s="3"/>
      <c r="L1260" s="3" t="s">
        <v>5578</v>
      </c>
      <c r="M1260" s="3" t="str">
        <f>HYPERLINK("https://ceds.ed.gov/cedselementdetails.aspx?termid=5417")</f>
        <v>https://ceds.ed.gov/cedselementdetails.aspx?termid=5417</v>
      </c>
      <c r="N1260" s="3" t="str">
        <f>HYPERLINK("https://ceds.ed.gov/elementComment.aspx?elementName=State of Birth Abbreviation &amp;elementID=5417", "Click here to submit comment")</f>
        <v>Click here to submit comment</v>
      </c>
    </row>
    <row r="1261" spans="1:14" ht="409.5">
      <c r="A1261" s="3" t="s">
        <v>5579</v>
      </c>
      <c r="B1261" s="3" t="s">
        <v>5580</v>
      </c>
      <c r="C1261" s="4" t="s">
        <v>6633</v>
      </c>
      <c r="D1261" s="3" t="s">
        <v>5581</v>
      </c>
      <c r="E1261" s="3" t="s">
        <v>5976</v>
      </c>
      <c r="F1261" s="3"/>
      <c r="G1261" s="3"/>
      <c r="H1261" s="3"/>
      <c r="I1261" s="3"/>
      <c r="J1261" s="3" t="s">
        <v>5582</v>
      </c>
      <c r="K1261" s="3"/>
      <c r="L1261" s="3" t="s">
        <v>5583</v>
      </c>
      <c r="M1261" s="3" t="str">
        <f>HYPERLINK("https://ceds.ed.gov/cedselementdetails.aspx?termid=5268")</f>
        <v>https://ceds.ed.gov/cedselementdetails.aspx?termid=5268</v>
      </c>
      <c r="N1261" s="3" t="str">
        <f>HYPERLINK("https://ceds.ed.gov/elementComment.aspx?elementName=State of Residence &amp;elementID=5268", "Click here to submit comment")</f>
        <v>Click here to submit comment</v>
      </c>
    </row>
    <row r="1262" spans="1:14" ht="105">
      <c r="A1262" s="3" t="s">
        <v>5584</v>
      </c>
      <c r="B1262" s="3" t="s">
        <v>5585</v>
      </c>
      <c r="C1262" s="4" t="s">
        <v>6664</v>
      </c>
      <c r="D1262" s="3" t="s">
        <v>2235</v>
      </c>
      <c r="E1262" s="3" t="s">
        <v>218</v>
      </c>
      <c r="F1262" s="3"/>
      <c r="G1262" s="3"/>
      <c r="H1262" s="3"/>
      <c r="I1262" s="3"/>
      <c r="J1262" s="3" t="s">
        <v>5586</v>
      </c>
      <c r="K1262" s="3"/>
      <c r="L1262" s="3" t="s">
        <v>5587</v>
      </c>
      <c r="M1262" s="3" t="str">
        <f>HYPERLINK("https://ceds.ed.gov/cedselementdetails.aspx?termid=5578")</f>
        <v>https://ceds.ed.gov/cedselementdetails.aspx?termid=5578</v>
      </c>
      <c r="N1262" s="3" t="str">
        <f>HYPERLINK("https://ceds.ed.gov/elementComment.aspx?elementName=State Poverty Designation &amp;elementID=5578", "Click here to submit comment")</f>
        <v>Click here to submit comment</v>
      </c>
    </row>
    <row r="1263" spans="1:14" ht="45">
      <c r="A1263" s="3" t="s">
        <v>5588</v>
      </c>
      <c r="B1263" s="3" t="s">
        <v>5589</v>
      </c>
      <c r="C1263" s="3" t="s">
        <v>5963</v>
      </c>
      <c r="D1263" s="3" t="s">
        <v>2103</v>
      </c>
      <c r="E1263" s="3" t="s">
        <v>207</v>
      </c>
      <c r="F1263" s="3"/>
      <c r="G1263" s="3"/>
      <c r="H1263" s="3"/>
      <c r="I1263" s="3"/>
      <c r="J1263" s="3" t="s">
        <v>5590</v>
      </c>
      <c r="K1263" s="3"/>
      <c r="L1263" s="3" t="s">
        <v>5591</v>
      </c>
      <c r="M1263" s="3" t="str">
        <f>HYPERLINK("https://ceds.ed.gov/cedselementdetails.aspx?termid=5435")</f>
        <v>https://ceds.ed.gov/cedselementdetails.aspx?termid=5435</v>
      </c>
      <c r="N1263" s="3" t="str">
        <f>HYPERLINK("https://ceds.ed.gov/elementComment.aspx?elementName=State Transferability of Funds &amp;elementID=5435", "Click here to submit comment")</f>
        <v>Click here to submit comment</v>
      </c>
    </row>
    <row r="1264" spans="1:14" ht="90">
      <c r="A1264" s="3" t="s">
        <v>5592</v>
      </c>
      <c r="B1264" s="3" t="s">
        <v>5593</v>
      </c>
      <c r="C1264" s="3" t="s">
        <v>13</v>
      </c>
      <c r="D1264" s="3" t="s">
        <v>6328</v>
      </c>
      <c r="E1264" s="3"/>
      <c r="F1264" s="3"/>
      <c r="G1264" s="3" t="s">
        <v>73</v>
      </c>
      <c r="H1264" s="3"/>
      <c r="I1264" s="3"/>
      <c r="J1264" s="3" t="s">
        <v>5594</v>
      </c>
      <c r="K1264" s="3"/>
      <c r="L1264" s="3" t="s">
        <v>5595</v>
      </c>
      <c r="M1264" s="3" t="str">
        <f>HYPERLINK("https://ceds.ed.gov/cedselementdetails.aspx?termid=6193")</f>
        <v>https://ceds.ed.gov/cedselementdetails.aspx?termid=6193</v>
      </c>
      <c r="N1264" s="3" t="str">
        <f>HYPERLINK("https://ceds.ed.gov/elementComment.aspx?elementName=Status End Date &amp;elementID=6193", "Click here to submit comment")</f>
        <v>Click here to submit comment</v>
      </c>
    </row>
    <row r="1265" spans="1:14" ht="90">
      <c r="A1265" s="3" t="s">
        <v>5596</v>
      </c>
      <c r="B1265" s="3" t="s">
        <v>5597</v>
      </c>
      <c r="C1265" s="3" t="s">
        <v>13</v>
      </c>
      <c r="D1265" s="3" t="s">
        <v>6328</v>
      </c>
      <c r="E1265" s="3"/>
      <c r="F1265" s="3"/>
      <c r="G1265" s="3" t="s">
        <v>73</v>
      </c>
      <c r="H1265" s="3"/>
      <c r="I1265" s="3"/>
      <c r="J1265" s="3" t="s">
        <v>5598</v>
      </c>
      <c r="K1265" s="3"/>
      <c r="L1265" s="3" t="s">
        <v>5599</v>
      </c>
      <c r="M1265" s="3" t="str">
        <f>HYPERLINK("https://ceds.ed.gov/cedselementdetails.aspx?termid=6192")</f>
        <v>https://ceds.ed.gov/cedselementdetails.aspx?termid=6192</v>
      </c>
      <c r="N1265" s="3" t="str">
        <f>HYPERLINK("https://ceds.ed.gov/elementComment.aspx?elementName=Status Start Date &amp;elementID=6192", "Click here to submit comment")</f>
        <v>Click here to submit comment</v>
      </c>
    </row>
    <row r="1266" spans="1:14" ht="120">
      <c r="A1266" s="3" t="s">
        <v>5600</v>
      </c>
      <c r="B1266" s="3" t="s">
        <v>5601</v>
      </c>
      <c r="C1266" s="3" t="s">
        <v>13</v>
      </c>
      <c r="D1266" s="3" t="s">
        <v>8</v>
      </c>
      <c r="E1266" s="3" t="s">
        <v>218</v>
      </c>
      <c r="F1266" s="3"/>
      <c r="G1266" s="3" t="s">
        <v>5602</v>
      </c>
      <c r="H1266" s="3"/>
      <c r="I1266" s="3"/>
      <c r="J1266" s="3" t="s">
        <v>5603</v>
      </c>
      <c r="K1266" s="3"/>
      <c r="L1266" s="3" t="s">
        <v>5604</v>
      </c>
      <c r="M1266" s="3" t="str">
        <f>HYPERLINK("https://ceds.ed.gov/cedselementdetails.aspx?termid=5271")</f>
        <v>https://ceds.ed.gov/cedselementdetails.aspx?termid=5271</v>
      </c>
      <c r="N1266" s="3" t="str">
        <f>HYPERLINK("https://ceds.ed.gov/elementComment.aspx?elementName=Student Attendance Rate &amp;elementID=5271", "Click here to submit comment")</f>
        <v>Click here to submit comment</v>
      </c>
    </row>
    <row r="1267" spans="1:14" ht="45">
      <c r="A1267" s="3" t="s">
        <v>5605</v>
      </c>
      <c r="B1267" s="3" t="s">
        <v>5606</v>
      </c>
      <c r="C1267" s="3" t="s">
        <v>5963</v>
      </c>
      <c r="D1267" s="3" t="s">
        <v>4066</v>
      </c>
      <c r="E1267" s="3"/>
      <c r="F1267" s="3" t="s">
        <v>66</v>
      </c>
      <c r="G1267" s="3"/>
      <c r="H1267" s="3" t="s">
        <v>5607</v>
      </c>
      <c r="I1267" s="3"/>
      <c r="J1267" s="3" t="s">
        <v>5608</v>
      </c>
      <c r="K1267" s="3"/>
      <c r="L1267" s="3" t="s">
        <v>5609</v>
      </c>
      <c r="M1267" s="3" t="str">
        <f>HYPERLINK("https://ceds.ed.gov/cedselementdetails.aspx?termid=6191")</f>
        <v>https://ceds.ed.gov/cedselementdetails.aspx?termid=6191</v>
      </c>
      <c r="N1267" s="3" t="str">
        <f>HYPERLINK("https://ceds.ed.gov/elementComment.aspx?elementName=Student Course Section Mark Final Indicator &amp;elementID=6191", "Click here to submit comment")</f>
        <v>Click here to submit comment</v>
      </c>
    </row>
    <row r="1268" spans="1:14" ht="315">
      <c r="A1268" s="3" t="s">
        <v>5610</v>
      </c>
      <c r="B1268" s="3" t="s">
        <v>5611</v>
      </c>
      <c r="C1268" s="4" t="s">
        <v>6665</v>
      </c>
      <c r="D1268" s="3" t="s">
        <v>6329</v>
      </c>
      <c r="E1268" s="3" t="s">
        <v>6330</v>
      </c>
      <c r="F1268" s="3"/>
      <c r="G1268" s="3"/>
      <c r="H1268" s="3"/>
      <c r="I1268" s="3"/>
      <c r="J1268" s="3" t="s">
        <v>5612</v>
      </c>
      <c r="K1268" s="3"/>
      <c r="L1268" s="3" t="s">
        <v>5613</v>
      </c>
      <c r="M1268" s="3" t="str">
        <f>HYPERLINK("https://ceds.ed.gov/cedselementdetails.aspx?termid=5163")</f>
        <v>https://ceds.ed.gov/cedselementdetails.aspx?termid=5163</v>
      </c>
      <c r="N1268" s="3" t="str">
        <f>HYPERLINK("https://ceds.ed.gov/elementComment.aspx?elementName=Student Identification System &amp;elementID=5163", "Click here to submit comment")</f>
        <v>Click here to submit comment</v>
      </c>
    </row>
    <row r="1269" spans="1:14" ht="315">
      <c r="A1269" s="3" t="s">
        <v>5614</v>
      </c>
      <c r="B1269" s="3" t="s">
        <v>5615</v>
      </c>
      <c r="C1269" s="3" t="s">
        <v>13</v>
      </c>
      <c r="D1269" s="3" t="s">
        <v>6329</v>
      </c>
      <c r="E1269" s="3" t="s">
        <v>6330</v>
      </c>
      <c r="F1269" s="3"/>
      <c r="G1269" s="3" t="s">
        <v>100</v>
      </c>
      <c r="H1269" s="3"/>
      <c r="I1269" s="3"/>
      <c r="J1269" s="3" t="s">
        <v>5616</v>
      </c>
      <c r="K1269" s="3"/>
      <c r="L1269" s="3" t="s">
        <v>5617</v>
      </c>
      <c r="M1269" s="3" t="str">
        <f>HYPERLINK("https://ceds.ed.gov/cedselementdetails.aspx?termid=5157")</f>
        <v>https://ceds.ed.gov/cedselementdetails.aspx?termid=5157</v>
      </c>
      <c r="N1269" s="3" t="str">
        <f>HYPERLINK("https://ceds.ed.gov/elementComment.aspx?elementName=Student Identifier &amp;elementID=5157", "Click here to submit comment")</f>
        <v>Click here to submit comment</v>
      </c>
    </row>
    <row r="1270" spans="1:14" ht="90">
      <c r="A1270" s="3" t="s">
        <v>5618</v>
      </c>
      <c r="B1270" s="3" t="s">
        <v>5619</v>
      </c>
      <c r="C1270" s="3" t="s">
        <v>6331</v>
      </c>
      <c r="D1270" s="3" t="s">
        <v>1708</v>
      </c>
      <c r="E1270" s="3" t="s">
        <v>5976</v>
      </c>
      <c r="F1270" s="3"/>
      <c r="G1270" s="3"/>
      <c r="H1270" s="3"/>
      <c r="I1270" s="3"/>
      <c r="J1270" s="3" t="s">
        <v>5620</v>
      </c>
      <c r="K1270" s="3"/>
      <c r="L1270" s="3" t="s">
        <v>5621</v>
      </c>
      <c r="M1270" s="3" t="str">
        <f>HYPERLINK("https://ceds.ed.gov/cedselementdetails.aspx?termid=5272")</f>
        <v>https://ceds.ed.gov/cedselementdetails.aspx?termid=5272</v>
      </c>
      <c r="N1270" s="3" t="str">
        <f>HYPERLINK("https://ceds.ed.gov/elementComment.aspx?elementName=Student Level &amp;elementID=5272", "Click here to submit comment")</f>
        <v>Click here to submit comment</v>
      </c>
    </row>
    <row r="1271" spans="1:14" ht="409.5">
      <c r="A1271" s="3" t="s">
        <v>5622</v>
      </c>
      <c r="B1271" s="3" t="s">
        <v>5623</v>
      </c>
      <c r="C1271" s="4" t="s">
        <v>6666</v>
      </c>
      <c r="D1271" s="3" t="s">
        <v>6332</v>
      </c>
      <c r="E1271" s="3"/>
      <c r="F1271" s="3"/>
      <c r="G1271" s="3"/>
      <c r="H1271" s="3"/>
      <c r="I1271" s="3"/>
      <c r="J1271" s="3" t="s">
        <v>5624</v>
      </c>
      <c r="K1271" s="3"/>
      <c r="L1271" s="3" t="s">
        <v>5625</v>
      </c>
      <c r="M1271" s="3" t="str">
        <f>HYPERLINK("https://ceds.ed.gov/cedselementdetails.aspx?termid=5273")</f>
        <v>https://ceds.ed.gov/cedselementdetails.aspx?termid=5273</v>
      </c>
      <c r="N1271" s="3" t="str">
        <f>HYPERLINK("https://ceds.ed.gov/elementComment.aspx?elementName=Student Support Service Type &amp;elementID=5273", "Click here to submit comment")</f>
        <v>Click here to submit comment</v>
      </c>
    </row>
    <row r="1272" spans="1:14" ht="75">
      <c r="A1272" s="3" t="s">
        <v>5626</v>
      </c>
      <c r="B1272" s="3" t="s">
        <v>5627</v>
      </c>
      <c r="C1272" s="4" t="s">
        <v>6371</v>
      </c>
      <c r="D1272" s="3" t="s">
        <v>343</v>
      </c>
      <c r="E1272" s="3" t="s">
        <v>344</v>
      </c>
      <c r="F1272" s="3"/>
      <c r="G1272" s="3"/>
      <c r="H1272" s="3"/>
      <c r="I1272" s="3"/>
      <c r="J1272" s="3" t="s">
        <v>5628</v>
      </c>
      <c r="K1272" s="3"/>
      <c r="L1272" s="3" t="s">
        <v>5629</v>
      </c>
      <c r="M1272" s="3" t="str">
        <f>HYPERLINK("https://ceds.ed.gov/cedselementdetails.aspx?termid=5754")</f>
        <v>https://ceds.ed.gov/cedselementdetails.aspx?termid=5754</v>
      </c>
      <c r="N1272" s="3" t="str">
        <f>HYPERLINK("https://ceds.ed.gov/elementComment.aspx?elementName=Supervised Clinical Experience &amp;elementID=5754", "Click here to submit comment")</f>
        <v>Click here to submit comment</v>
      </c>
    </row>
    <row r="1273" spans="1:14" ht="60">
      <c r="A1273" s="3" t="s">
        <v>5630</v>
      </c>
      <c r="B1273" s="3" t="s">
        <v>5631</v>
      </c>
      <c r="C1273" s="3" t="s">
        <v>13</v>
      </c>
      <c r="D1273" s="3" t="s">
        <v>343</v>
      </c>
      <c r="E1273" s="3" t="s">
        <v>344</v>
      </c>
      <c r="F1273" s="3"/>
      <c r="G1273" s="3" t="s">
        <v>308</v>
      </c>
      <c r="H1273" s="3"/>
      <c r="I1273" s="3"/>
      <c r="J1273" s="3" t="s">
        <v>5632</v>
      </c>
      <c r="K1273" s="3"/>
      <c r="L1273" s="3" t="s">
        <v>5633</v>
      </c>
      <c r="M1273" s="3" t="str">
        <f>HYPERLINK("https://ceds.ed.gov/cedselementdetails.aspx?termid=5755")</f>
        <v>https://ceds.ed.gov/cedselementdetails.aspx?termid=5755</v>
      </c>
      <c r="N1273" s="3" t="str">
        <f>HYPERLINK("https://ceds.ed.gov/elementComment.aspx?elementName=Supervised Clinical Experience Clock Hours &amp;elementID=5755", "Click here to submit comment")</f>
        <v>Click here to submit comment</v>
      </c>
    </row>
    <row r="1274" spans="1:14" ht="60">
      <c r="A1274" s="3" t="s">
        <v>5634</v>
      </c>
      <c r="B1274" s="3" t="s">
        <v>5635</v>
      </c>
      <c r="C1274" s="3" t="s">
        <v>13</v>
      </c>
      <c r="D1274" s="3" t="s">
        <v>2822</v>
      </c>
      <c r="E1274" s="3" t="s">
        <v>218</v>
      </c>
      <c r="F1274" s="3"/>
      <c r="G1274" s="3" t="s">
        <v>1461</v>
      </c>
      <c r="H1274" s="3"/>
      <c r="I1274" s="3"/>
      <c r="J1274" s="3" t="s">
        <v>5636</v>
      </c>
      <c r="K1274" s="3" t="s">
        <v>5637</v>
      </c>
      <c r="L1274" s="3" t="s">
        <v>5638</v>
      </c>
      <c r="M1274" s="3" t="str">
        <f>HYPERLINK("https://ceds.ed.gov/cedselementdetails.aspx?termid=5566")</f>
        <v>https://ceds.ed.gov/cedselementdetails.aspx?termid=5566</v>
      </c>
      <c r="N1274" s="3" t="str">
        <f>HYPERLINK("https://ceds.ed.gov/elementComment.aspx?elementName=Supplemental Education Services Public School Choice Twenty Percent Obligation &amp;elementID=5566", "Click here to submit comment")</f>
        <v>Click here to submit comment</v>
      </c>
    </row>
    <row r="1275" spans="1:14" ht="75">
      <c r="A1275" s="3" t="s">
        <v>5639</v>
      </c>
      <c r="B1275" s="3" t="s">
        <v>5640</v>
      </c>
      <c r="C1275" s="3" t="s">
        <v>13</v>
      </c>
      <c r="D1275" s="3" t="s">
        <v>2822</v>
      </c>
      <c r="E1275" s="3" t="s">
        <v>218</v>
      </c>
      <c r="F1275" s="3"/>
      <c r="G1275" s="3" t="s">
        <v>1461</v>
      </c>
      <c r="H1275" s="3"/>
      <c r="I1275" s="3"/>
      <c r="J1275" s="3" t="s">
        <v>5641</v>
      </c>
      <c r="K1275" s="3" t="s">
        <v>5642</v>
      </c>
      <c r="L1275" s="3" t="s">
        <v>5643</v>
      </c>
      <c r="M1275" s="3" t="str">
        <f>HYPERLINK("https://ceds.ed.gov/cedselementdetails.aspx?termid=5559")</f>
        <v>https://ceds.ed.gov/cedselementdetails.aspx?termid=5559</v>
      </c>
      <c r="N1275" s="3" t="str">
        <f>HYPERLINK("https://ceds.ed.gov/elementComment.aspx?elementName=Supplemental Educational Services Funds Spent &amp;elementID=5559", "Click here to submit comment")</f>
        <v>Click here to submit comment</v>
      </c>
    </row>
    <row r="1276" spans="1:14" ht="60">
      <c r="A1276" s="3" t="s">
        <v>5644</v>
      </c>
      <c r="B1276" s="3" t="s">
        <v>5645</v>
      </c>
      <c r="C1276" s="3" t="s">
        <v>13</v>
      </c>
      <c r="D1276" s="3" t="s">
        <v>2822</v>
      </c>
      <c r="E1276" s="3" t="s">
        <v>218</v>
      </c>
      <c r="F1276" s="3"/>
      <c r="G1276" s="3" t="s">
        <v>1461</v>
      </c>
      <c r="H1276" s="3"/>
      <c r="I1276" s="3"/>
      <c r="J1276" s="3" t="s">
        <v>5646</v>
      </c>
      <c r="K1276" s="3" t="s">
        <v>5647</v>
      </c>
      <c r="L1276" s="3" t="s">
        <v>5648</v>
      </c>
      <c r="M1276" s="3" t="str">
        <f>HYPERLINK("https://ceds.ed.gov/cedselementdetails.aspx?termid=5567")</f>
        <v>https://ceds.ed.gov/cedselementdetails.aspx?termid=5567</v>
      </c>
      <c r="N1276" s="3" t="str">
        <f>HYPERLINK("https://ceds.ed.gov/elementComment.aspx?elementName=Supplemental Educational Services Per Pupil Expenditure &amp;elementID=5567", "Click here to submit comment")</f>
        <v>Click here to submit comment</v>
      </c>
    </row>
    <row r="1277" spans="1:14" ht="75">
      <c r="A1277" s="3" t="s">
        <v>5649</v>
      </c>
      <c r="B1277" s="3" t="s">
        <v>5650</v>
      </c>
      <c r="C1277" s="3" t="s">
        <v>13</v>
      </c>
      <c r="D1277" s="3" t="s">
        <v>343</v>
      </c>
      <c r="E1277" s="3" t="s">
        <v>344</v>
      </c>
      <c r="F1277" s="3"/>
      <c r="G1277" s="3" t="s">
        <v>100</v>
      </c>
      <c r="H1277" s="3"/>
      <c r="I1277" s="3" t="s">
        <v>5651</v>
      </c>
      <c r="J1277" s="3" t="s">
        <v>5652</v>
      </c>
      <c r="K1277" s="3"/>
      <c r="L1277" s="3" t="s">
        <v>5653</v>
      </c>
      <c r="M1277" s="3" t="str">
        <f>HYPERLINK("https://ceds.ed.gov/cedselementdetails.aspx?termid=5757")</f>
        <v>https://ceds.ed.gov/cedselementdetails.aspx?termid=5757</v>
      </c>
      <c r="N1277" s="3" t="str">
        <f>HYPERLINK("https://ceds.ed.gov/elementComment.aspx?elementName=Teacher Education Credential Exam Score Type &amp;elementID=5757", "Click here to submit comment")</f>
        <v>Click here to submit comment</v>
      </c>
    </row>
    <row r="1278" spans="1:14" ht="90">
      <c r="A1278" s="3" t="s">
        <v>5654</v>
      </c>
      <c r="B1278" s="3" t="s">
        <v>5655</v>
      </c>
      <c r="C1278" s="4" t="s">
        <v>6667</v>
      </c>
      <c r="D1278" s="3" t="s">
        <v>343</v>
      </c>
      <c r="E1278" s="3" t="s">
        <v>344</v>
      </c>
      <c r="F1278" s="3"/>
      <c r="G1278" s="3"/>
      <c r="H1278" s="3"/>
      <c r="I1278" s="3"/>
      <c r="J1278" s="3" t="s">
        <v>5656</v>
      </c>
      <c r="K1278" s="3"/>
      <c r="L1278" s="3" t="s">
        <v>5657</v>
      </c>
      <c r="M1278" s="3" t="str">
        <f>HYPERLINK("https://ceds.ed.gov/cedselementdetails.aspx?termid=5756")</f>
        <v>https://ceds.ed.gov/cedselementdetails.aspx?termid=5756</v>
      </c>
      <c r="N1278" s="3" t="str">
        <f>HYPERLINK("https://ceds.ed.gov/elementComment.aspx?elementName=Teacher Education Credential Exam Type &amp;elementID=5756", "Click here to submit comment")</f>
        <v>Click here to submit comment</v>
      </c>
    </row>
    <row r="1279" spans="1:14" ht="165">
      <c r="A1279" s="3" t="s">
        <v>5658</v>
      </c>
      <c r="B1279" s="3" t="s">
        <v>5659</v>
      </c>
      <c r="C1279" s="4" t="s">
        <v>6668</v>
      </c>
      <c r="D1279" s="3" t="s">
        <v>343</v>
      </c>
      <c r="E1279" s="3" t="s">
        <v>344</v>
      </c>
      <c r="F1279" s="3"/>
      <c r="G1279" s="3"/>
      <c r="H1279" s="3"/>
      <c r="I1279" s="3"/>
      <c r="J1279" s="3" t="s">
        <v>5660</v>
      </c>
      <c r="K1279" s="3"/>
      <c r="L1279" s="3" t="s">
        <v>5661</v>
      </c>
      <c r="M1279" s="3" t="str">
        <f>HYPERLINK("https://ceds.ed.gov/cedselementdetails.aspx?termid=5748")</f>
        <v>https://ceds.ed.gov/cedselementdetails.aspx?termid=5748</v>
      </c>
      <c r="N1279" s="3" t="str">
        <f>HYPERLINK("https://ceds.ed.gov/elementComment.aspx?elementName=Teacher Education Test Company &amp;elementID=5748", "Click here to submit comment")</f>
        <v>Click here to submit comment</v>
      </c>
    </row>
    <row r="1280" spans="1:14" ht="60">
      <c r="A1280" s="3" t="s">
        <v>5662</v>
      </c>
      <c r="B1280" s="3" t="s">
        <v>5663</v>
      </c>
      <c r="C1280" s="3" t="s">
        <v>5963</v>
      </c>
      <c r="D1280" s="3" t="s">
        <v>5664</v>
      </c>
      <c r="E1280" s="3" t="s">
        <v>5665</v>
      </c>
      <c r="F1280" s="3"/>
      <c r="G1280" s="3"/>
      <c r="H1280" s="3"/>
      <c r="I1280" s="3" t="s">
        <v>5666</v>
      </c>
      <c r="J1280" s="3" t="s">
        <v>5667</v>
      </c>
      <c r="K1280" s="3"/>
      <c r="L1280" s="3" t="s">
        <v>5668</v>
      </c>
      <c r="M1280" s="3" t="str">
        <f>HYPERLINK("https://ceds.ed.gov/cedselementdetails.aspx?termid=5649")</f>
        <v>https://ceds.ed.gov/cedselementdetails.aspx?termid=5649</v>
      </c>
      <c r="N1280" s="3" t="str">
        <f>HYPERLINK("https://ceds.ed.gov/elementComment.aspx?elementName=Teacher of Record &amp;elementID=5649", "Click here to submit comment")</f>
        <v>Click here to submit comment</v>
      </c>
    </row>
    <row r="1281" spans="1:14" ht="120">
      <c r="A1281" s="3" t="s">
        <v>5669</v>
      </c>
      <c r="B1281" s="3" t="s">
        <v>5670</v>
      </c>
      <c r="C1281" s="4" t="s">
        <v>6371</v>
      </c>
      <c r="D1281" s="3" t="s">
        <v>343</v>
      </c>
      <c r="E1281" s="3" t="s">
        <v>344</v>
      </c>
      <c r="F1281" s="3"/>
      <c r="G1281" s="3"/>
      <c r="H1281" s="3"/>
      <c r="I1281" s="3"/>
      <c r="J1281" s="3" t="s">
        <v>5671</v>
      </c>
      <c r="K1281" s="3"/>
      <c r="L1281" s="3" t="s">
        <v>5672</v>
      </c>
      <c r="M1281" s="3" t="str">
        <f>HYPERLINK("https://ceds.ed.gov/cedselementdetails.aspx?termid=5750")</f>
        <v>https://ceds.ed.gov/cedselementdetails.aspx?termid=5750</v>
      </c>
      <c r="N1281" s="3" t="str">
        <f>HYPERLINK("https://ceds.ed.gov/elementComment.aspx?elementName=Teacher Preparation Program Completer Status &amp;elementID=5750", "Click here to submit comment")</f>
        <v>Click here to submit comment</v>
      </c>
    </row>
    <row r="1282" spans="1:14" ht="60">
      <c r="A1282" s="3" t="s">
        <v>5673</v>
      </c>
      <c r="B1282" s="3" t="s">
        <v>5674</v>
      </c>
      <c r="C1282" s="4" t="s">
        <v>6669</v>
      </c>
      <c r="D1282" s="3" t="s">
        <v>343</v>
      </c>
      <c r="E1282" s="3" t="s">
        <v>344</v>
      </c>
      <c r="F1282" s="3"/>
      <c r="G1282" s="3"/>
      <c r="H1282" s="3"/>
      <c r="I1282" s="3"/>
      <c r="J1282" s="3" t="s">
        <v>5675</v>
      </c>
      <c r="K1282" s="3"/>
      <c r="L1282" s="3" t="s">
        <v>5676</v>
      </c>
      <c r="M1282" s="3" t="str">
        <f>HYPERLINK("https://ceds.ed.gov/cedselementdetails.aspx?termid=5749")</f>
        <v>https://ceds.ed.gov/cedselementdetails.aspx?termid=5749</v>
      </c>
      <c r="N1282" s="3" t="str">
        <f>HYPERLINK("https://ceds.ed.gov/elementComment.aspx?elementName=Teacher Preparation Program Enrollment Status &amp;elementID=5749", "Click here to submit comment")</f>
        <v>Click here to submit comment</v>
      </c>
    </row>
    <row r="1283" spans="1:14" ht="105">
      <c r="A1283" s="3" t="s">
        <v>5677</v>
      </c>
      <c r="B1283" s="3" t="s">
        <v>5678</v>
      </c>
      <c r="C1283" s="3" t="s">
        <v>5963</v>
      </c>
      <c r="D1283" s="3" t="s">
        <v>5679</v>
      </c>
      <c r="E1283" s="3"/>
      <c r="F1283" s="3"/>
      <c r="G1283" s="3"/>
      <c r="H1283" s="3"/>
      <c r="I1283" s="3" t="s">
        <v>5680</v>
      </c>
      <c r="J1283" s="3" t="s">
        <v>5681</v>
      </c>
      <c r="K1283" s="3"/>
      <c r="L1283" s="3" t="s">
        <v>5682</v>
      </c>
      <c r="M1283" s="3" t="str">
        <f>HYPERLINK("https://ceds.ed.gov/cedselementdetails.aspx?termid=5973")</f>
        <v>https://ceds.ed.gov/cedselementdetails.aspx?termid=5973</v>
      </c>
      <c r="N1283" s="3" t="str">
        <f>HYPERLINK("https://ceds.ed.gov/elementComment.aspx?elementName=Teacher Student Data Link Exclusion Flag &amp;elementID=5973", "Click here to submit comment")</f>
        <v>Click here to submit comment</v>
      </c>
    </row>
    <row r="1284" spans="1:14" ht="90">
      <c r="A1284" s="3" t="s">
        <v>5683</v>
      </c>
      <c r="B1284" s="3" t="s">
        <v>5684</v>
      </c>
      <c r="C1284" s="3" t="s">
        <v>13</v>
      </c>
      <c r="D1284" s="3" t="s">
        <v>5664</v>
      </c>
      <c r="E1284" s="3" t="s">
        <v>5665</v>
      </c>
      <c r="F1284" s="3"/>
      <c r="G1284" s="3" t="s">
        <v>740</v>
      </c>
      <c r="H1284" s="3"/>
      <c r="I1284" s="3"/>
      <c r="J1284" s="3" t="s">
        <v>5685</v>
      </c>
      <c r="K1284" s="3"/>
      <c r="L1284" s="3" t="s">
        <v>5686</v>
      </c>
      <c r="M1284" s="3" t="str">
        <f>HYPERLINK("https://ceds.ed.gov/cedselementdetails.aspx?termid=5651")</f>
        <v>https://ceds.ed.gov/cedselementdetails.aspx?termid=5651</v>
      </c>
      <c r="N1284" s="3" t="str">
        <f>HYPERLINK("https://ceds.ed.gov/elementComment.aspx?elementName=Teaching Assignment Contribution Percentage &amp;elementID=5651", "Click here to submit comment")</f>
        <v>Click here to submit comment</v>
      </c>
    </row>
    <row r="1285" spans="1:14" ht="30">
      <c r="A1285" s="3" t="s">
        <v>5687</v>
      </c>
      <c r="B1285" s="3" t="s">
        <v>5688</v>
      </c>
      <c r="C1285" s="3" t="s">
        <v>13</v>
      </c>
      <c r="D1285" s="3" t="s">
        <v>1723</v>
      </c>
      <c r="E1285" s="3" t="s">
        <v>5665</v>
      </c>
      <c r="F1285" s="3"/>
      <c r="G1285" s="3" t="s">
        <v>73</v>
      </c>
      <c r="H1285" s="3"/>
      <c r="I1285" s="3"/>
      <c r="J1285" s="3" t="s">
        <v>5689</v>
      </c>
      <c r="K1285" s="3"/>
      <c r="L1285" s="3" t="s">
        <v>5690</v>
      </c>
      <c r="M1285" s="3" t="str">
        <f>HYPERLINK("https://ceds.ed.gov/cedselementdetails.aspx?termid=5648")</f>
        <v>https://ceds.ed.gov/cedselementdetails.aspx?termid=5648</v>
      </c>
      <c r="N1285" s="3" t="str">
        <f>HYPERLINK("https://ceds.ed.gov/elementComment.aspx?elementName=Teaching Assignment End Date &amp;elementID=5648", "Click here to submit comment")</f>
        <v>Click here to submit comment</v>
      </c>
    </row>
    <row r="1286" spans="1:14" ht="90">
      <c r="A1286" s="3" t="s">
        <v>5691</v>
      </c>
      <c r="B1286" s="3" t="s">
        <v>5692</v>
      </c>
      <c r="C1286" s="4" t="s">
        <v>6670</v>
      </c>
      <c r="D1286" s="3" t="s">
        <v>5664</v>
      </c>
      <c r="E1286" s="3" t="s">
        <v>5665</v>
      </c>
      <c r="F1286" s="3"/>
      <c r="G1286" s="3"/>
      <c r="H1286" s="3"/>
      <c r="I1286" s="3"/>
      <c r="J1286" s="3" t="s">
        <v>5693</v>
      </c>
      <c r="K1286" s="3"/>
      <c r="L1286" s="3" t="s">
        <v>5694</v>
      </c>
      <c r="M1286" s="3" t="str">
        <f>HYPERLINK("https://ceds.ed.gov/cedselementdetails.aspx?termid=5650")</f>
        <v>https://ceds.ed.gov/cedselementdetails.aspx?termid=5650</v>
      </c>
      <c r="N1286" s="3" t="str">
        <f>HYPERLINK("https://ceds.ed.gov/elementComment.aspx?elementName=Teaching Assignment Role &amp;elementID=5650", "Click here to submit comment")</f>
        <v>Click here to submit comment</v>
      </c>
    </row>
    <row r="1287" spans="1:14" ht="30">
      <c r="A1287" s="3" t="s">
        <v>5695</v>
      </c>
      <c r="B1287" s="3" t="s">
        <v>5696</v>
      </c>
      <c r="C1287" s="3" t="s">
        <v>13</v>
      </c>
      <c r="D1287" s="3" t="s">
        <v>1723</v>
      </c>
      <c r="E1287" s="3" t="s">
        <v>5665</v>
      </c>
      <c r="F1287" s="3"/>
      <c r="G1287" s="3" t="s">
        <v>73</v>
      </c>
      <c r="H1287" s="3"/>
      <c r="I1287" s="3"/>
      <c r="J1287" s="3" t="s">
        <v>5697</v>
      </c>
      <c r="K1287" s="3"/>
      <c r="L1287" s="3" t="s">
        <v>5698</v>
      </c>
      <c r="M1287" s="3" t="str">
        <f>HYPERLINK("https://ceds.ed.gov/cedselementdetails.aspx?termid=5647")</f>
        <v>https://ceds.ed.gov/cedselementdetails.aspx?termid=5647</v>
      </c>
      <c r="N1287" s="3" t="str">
        <f>HYPERLINK("https://ceds.ed.gov/elementComment.aspx?elementName=Teaching Assignment Start Date &amp;elementID=5647", "Click here to submit comment")</f>
        <v>Click here to submit comment</v>
      </c>
    </row>
    <row r="1288" spans="1:14" ht="240">
      <c r="A1288" s="3" t="s">
        <v>5699</v>
      </c>
      <c r="B1288" s="3" t="s">
        <v>5700</v>
      </c>
      <c r="C1288" s="4" t="s">
        <v>6671</v>
      </c>
      <c r="D1288" s="3" t="s">
        <v>6333</v>
      </c>
      <c r="E1288" s="3" t="s">
        <v>344</v>
      </c>
      <c r="F1288" s="3" t="s">
        <v>66</v>
      </c>
      <c r="G1288" s="3"/>
      <c r="H1288" s="3" t="s">
        <v>2527</v>
      </c>
      <c r="I1288" s="3"/>
      <c r="J1288" s="3" t="s">
        <v>5701</v>
      </c>
      <c r="K1288" s="3"/>
      <c r="L1288" s="3" t="s">
        <v>5702</v>
      </c>
      <c r="M1288" s="3" t="str">
        <f>HYPERLINK("https://ceds.ed.gov/cedselementdetails.aspx?termid=5277")</f>
        <v>https://ceds.ed.gov/cedselementdetails.aspx?termid=5277</v>
      </c>
      <c r="N1288" s="3" t="str">
        <f>HYPERLINK("https://ceds.ed.gov/elementComment.aspx?elementName=Teaching Credential Basis &amp;elementID=5277", "Click here to submit comment")</f>
        <v>Click here to submit comment</v>
      </c>
    </row>
    <row r="1289" spans="1:14" ht="225">
      <c r="A1289" s="3" t="s">
        <v>5703</v>
      </c>
      <c r="B1289" s="3" t="s">
        <v>5704</v>
      </c>
      <c r="C1289" s="4" t="s">
        <v>6672</v>
      </c>
      <c r="D1289" s="3" t="s">
        <v>6334</v>
      </c>
      <c r="E1289" s="3" t="s">
        <v>344</v>
      </c>
      <c r="F1289" s="3"/>
      <c r="G1289" s="3"/>
      <c r="H1289" s="3"/>
      <c r="I1289" s="3"/>
      <c r="J1289" s="3" t="s">
        <v>5705</v>
      </c>
      <c r="K1289" s="3"/>
      <c r="L1289" s="3" t="s">
        <v>5706</v>
      </c>
      <c r="M1289" s="3" t="str">
        <f>HYPERLINK("https://ceds.ed.gov/cedselementdetails.aspx?termid=5278")</f>
        <v>https://ceds.ed.gov/cedselementdetails.aspx?termid=5278</v>
      </c>
      <c r="N1289" s="3" t="str">
        <f>HYPERLINK("https://ceds.ed.gov/elementComment.aspx?elementName=Teaching Credential Type &amp;elementID=5278", "Click here to submit comment")</f>
        <v>Click here to submit comment</v>
      </c>
    </row>
    <row r="1290" spans="1:14" ht="135">
      <c r="A1290" s="3" t="s">
        <v>5707</v>
      </c>
      <c r="B1290" s="3" t="s">
        <v>5708</v>
      </c>
      <c r="C1290" s="3" t="s">
        <v>5963</v>
      </c>
      <c r="D1290" s="3" t="s">
        <v>6335</v>
      </c>
      <c r="E1290" s="3"/>
      <c r="F1290" s="3" t="s">
        <v>54</v>
      </c>
      <c r="G1290" s="3"/>
      <c r="H1290" s="3"/>
      <c r="I1290" s="3"/>
      <c r="J1290" s="3" t="s">
        <v>5709</v>
      </c>
      <c r="K1290" s="3"/>
      <c r="L1290" s="3" t="s">
        <v>5710</v>
      </c>
      <c r="M1290" s="3" t="str">
        <f>HYPERLINK("https://ceds.ed.gov/cedselementdetails.aspx?termid=6465")</f>
        <v>https://ceds.ed.gov/cedselementdetails.aspx?termid=6465</v>
      </c>
      <c r="N1290" s="3" t="str">
        <f>HYPERLINK("https://ceds.ed.gov/elementComment.aspx?elementName=Technical Assistance Approved Indicator &amp;elementID=6465", "Click here to submit comment")</f>
        <v>Click here to submit comment</v>
      </c>
    </row>
    <row r="1291" spans="1:14" ht="135">
      <c r="A1291" s="3" t="s">
        <v>5711</v>
      </c>
      <c r="B1291" s="3" t="s">
        <v>5712</v>
      </c>
      <c r="C1291" s="4" t="s">
        <v>6616</v>
      </c>
      <c r="D1291" s="3" t="s">
        <v>6335</v>
      </c>
      <c r="E1291" s="3"/>
      <c r="F1291" s="3" t="s">
        <v>54</v>
      </c>
      <c r="G1291" s="3"/>
      <c r="H1291" s="3"/>
      <c r="I1291" s="3"/>
      <c r="J1291" s="3" t="s">
        <v>5713</v>
      </c>
      <c r="K1291" s="3"/>
      <c r="L1291" s="3" t="s">
        <v>5714</v>
      </c>
      <c r="M1291" s="3" t="str">
        <f>HYPERLINK("https://ceds.ed.gov/cedselementdetails.aspx?termid=6466")</f>
        <v>https://ceds.ed.gov/cedselementdetails.aspx?termid=6466</v>
      </c>
      <c r="N1291" s="3" t="str">
        <f>HYPERLINK("https://ceds.ed.gov/elementComment.aspx?elementName=Technical Assistance Delivery Type &amp;elementID=6466", "Click here to submit comment")</f>
        <v>Click here to submit comment</v>
      </c>
    </row>
    <row r="1292" spans="1:14" ht="375">
      <c r="A1292" s="3" t="s">
        <v>5715</v>
      </c>
      <c r="B1292" s="3" t="s">
        <v>5716</v>
      </c>
      <c r="C1292" s="4" t="s">
        <v>6673</v>
      </c>
      <c r="D1292" s="3" t="s">
        <v>6335</v>
      </c>
      <c r="E1292" s="3"/>
      <c r="F1292" s="3" t="s">
        <v>54</v>
      </c>
      <c r="G1292" s="3"/>
      <c r="H1292" s="3"/>
      <c r="I1292" s="3"/>
      <c r="J1292" s="3" t="s">
        <v>5717</v>
      </c>
      <c r="K1292" s="3"/>
      <c r="L1292" s="3" t="s">
        <v>5718</v>
      </c>
      <c r="M1292" s="3" t="str">
        <f>HYPERLINK("https://ceds.ed.gov/cedselementdetails.aspx?termid=6467")</f>
        <v>https://ceds.ed.gov/cedselementdetails.aspx?termid=6467</v>
      </c>
      <c r="N1292" s="3" t="str">
        <f>HYPERLINK("https://ceds.ed.gov/elementComment.aspx?elementName=Technical Assistance Type &amp;elementID=6467", "Click here to submit comment")</f>
        <v>Click here to submit comment</v>
      </c>
    </row>
    <row r="1293" spans="1:14" ht="75">
      <c r="A1293" s="3" t="s">
        <v>5719</v>
      </c>
      <c r="B1293" s="3" t="s">
        <v>5720</v>
      </c>
      <c r="C1293" s="4" t="s">
        <v>6674</v>
      </c>
      <c r="D1293" s="3" t="s">
        <v>30</v>
      </c>
      <c r="E1293" s="3" t="s">
        <v>218</v>
      </c>
      <c r="F1293" s="3"/>
      <c r="G1293" s="3"/>
      <c r="H1293" s="3"/>
      <c r="I1293" s="3"/>
      <c r="J1293" s="3" t="s">
        <v>5721</v>
      </c>
      <c r="K1293" s="3"/>
      <c r="L1293" s="3" t="s">
        <v>5722</v>
      </c>
      <c r="M1293" s="3" t="str">
        <f>HYPERLINK("https://ceds.ed.gov/cedselementdetails.aspx?termid=5558")</f>
        <v>https://ceds.ed.gov/cedselementdetails.aspx?termid=5558</v>
      </c>
      <c r="N1293" s="3" t="str">
        <f>HYPERLINK("https://ceds.ed.gov/elementComment.aspx?elementName=Technology Literacy Status in 8th Grade &amp;elementID=5558", "Click here to submit comment")</f>
        <v>Click here to submit comment</v>
      </c>
    </row>
    <row r="1294" spans="1:14" ht="60">
      <c r="A1294" s="3" t="s">
        <v>5723</v>
      </c>
      <c r="B1294" s="3" t="s">
        <v>5724</v>
      </c>
      <c r="C1294" s="3" t="s">
        <v>5963</v>
      </c>
      <c r="D1294" s="3" t="s">
        <v>2625</v>
      </c>
      <c r="E1294" s="3" t="s">
        <v>218</v>
      </c>
      <c r="F1294" s="3"/>
      <c r="G1294" s="3"/>
      <c r="H1294" s="3"/>
      <c r="I1294" s="3"/>
      <c r="J1294" s="3" t="s">
        <v>5725</v>
      </c>
      <c r="K1294" s="3"/>
      <c r="L1294" s="3" t="s">
        <v>5726</v>
      </c>
      <c r="M1294" s="3" t="str">
        <f>HYPERLINK("https://ceds.ed.gov/cedselementdetails.aspx?termid=5537")</f>
        <v>https://ceds.ed.gov/cedselementdetails.aspx?termid=5537</v>
      </c>
      <c r="N1294" s="3" t="str">
        <f>HYPERLINK("https://ceds.ed.gov/elementComment.aspx?elementName=Technology Skills Standards Met &amp;elementID=5537", "Click here to submit comment")</f>
        <v>Click here to submit comment</v>
      </c>
    </row>
    <row r="1295" spans="1:14" ht="409.5">
      <c r="A1295" s="3" t="s">
        <v>5727</v>
      </c>
      <c r="B1295" s="3" t="s">
        <v>5728</v>
      </c>
      <c r="C1295" s="3" t="s">
        <v>13</v>
      </c>
      <c r="D1295" s="3" t="s">
        <v>6336</v>
      </c>
      <c r="E1295" s="3" t="s">
        <v>5968</v>
      </c>
      <c r="F1295" s="3" t="s">
        <v>3</v>
      </c>
      <c r="G1295" s="3" t="s">
        <v>5729</v>
      </c>
      <c r="H1295" s="3"/>
      <c r="I1295" s="3"/>
      <c r="J1295" s="3" t="s">
        <v>5730</v>
      </c>
      <c r="K1295" s="3"/>
      <c r="L1295" s="3" t="s">
        <v>5731</v>
      </c>
      <c r="M1295" s="3" t="str">
        <f>HYPERLINK("https://ceds.ed.gov/cedselementdetails.aspx?termid=5279")</f>
        <v>https://ceds.ed.gov/cedselementdetails.aspx?termid=5279</v>
      </c>
      <c r="N1295" s="3" t="str">
        <f>HYPERLINK("https://ceds.ed.gov/elementComment.aspx?elementName=Telephone Number &amp;elementID=5279", "Click here to submit comment")</f>
        <v>Click here to submit comment</v>
      </c>
    </row>
    <row r="1296" spans="1:14" ht="409.5">
      <c r="A1296" s="3" t="s">
        <v>5732</v>
      </c>
      <c r="B1296" s="3" t="s">
        <v>5733</v>
      </c>
      <c r="C1296" s="4" t="s">
        <v>6675</v>
      </c>
      <c r="D1296" s="3" t="s">
        <v>6337</v>
      </c>
      <c r="E1296" s="3" t="s">
        <v>5968</v>
      </c>
      <c r="F1296" s="3" t="s">
        <v>3</v>
      </c>
      <c r="G1296" s="3" t="s">
        <v>2844</v>
      </c>
      <c r="H1296" s="3"/>
      <c r="I1296" s="3"/>
      <c r="J1296" s="3" t="s">
        <v>5734</v>
      </c>
      <c r="K1296" s="3"/>
      <c r="L1296" s="3" t="s">
        <v>5735</v>
      </c>
      <c r="M1296" s="3" t="str">
        <f>HYPERLINK("https://ceds.ed.gov/cedselementdetails.aspx?termid=5280")</f>
        <v>https://ceds.ed.gov/cedselementdetails.aspx?termid=5280</v>
      </c>
      <c r="N1296" s="3" t="str">
        <f>HYPERLINK("https://ceds.ed.gov/elementComment.aspx?elementName=Telephone Number Type &amp;elementID=5280", "Click here to submit comment")</f>
        <v>Click here to submit comment</v>
      </c>
    </row>
    <row r="1297" spans="1:14" ht="45">
      <c r="A1297" s="3" t="s">
        <v>5736</v>
      </c>
      <c r="B1297" s="3" t="s">
        <v>5737</v>
      </c>
      <c r="C1297" s="3" t="s">
        <v>5963</v>
      </c>
      <c r="D1297" s="3" t="s">
        <v>1606</v>
      </c>
      <c r="E1297" s="3" t="s">
        <v>36</v>
      </c>
      <c r="F1297" s="3"/>
      <c r="G1297" s="3"/>
      <c r="H1297" s="3"/>
      <c r="I1297" s="3"/>
      <c r="J1297" s="3" t="s">
        <v>5738</v>
      </c>
      <c r="K1297" s="3"/>
      <c r="L1297" s="3" t="s">
        <v>5739</v>
      </c>
      <c r="M1297" s="3" t="str">
        <f>HYPERLINK("https://ceds.ed.gov/cedselementdetails.aspx?termid=5715")</f>
        <v>https://ceds.ed.gov/cedselementdetails.aspx?termid=5715</v>
      </c>
      <c r="N1297" s="3" t="str">
        <f>HYPERLINK("https://ceds.ed.gov/elementComment.aspx?elementName=Tenure System &amp;elementID=5715", "Click here to submit comment")</f>
        <v>Click here to submit comment</v>
      </c>
    </row>
    <row r="1298" spans="1:14" ht="45">
      <c r="A1298" s="3" t="s">
        <v>5740</v>
      </c>
      <c r="B1298" s="3" t="s">
        <v>5741</v>
      </c>
      <c r="C1298" s="3" t="s">
        <v>5963</v>
      </c>
      <c r="D1298" s="3" t="s">
        <v>1471</v>
      </c>
      <c r="E1298" s="3" t="s">
        <v>207</v>
      </c>
      <c r="F1298" s="3" t="s">
        <v>66</v>
      </c>
      <c r="G1298" s="3"/>
      <c r="H1298" s="3" t="s">
        <v>2177</v>
      </c>
      <c r="I1298" s="3"/>
      <c r="J1298" s="3" t="s">
        <v>5742</v>
      </c>
      <c r="K1298" s="3"/>
      <c r="L1298" s="3" t="s">
        <v>5743</v>
      </c>
      <c r="M1298" s="3" t="str">
        <f>HYPERLINK("https://ceds.ed.gov/cedselementdetails.aspx?termid=5473")</f>
        <v>https://ceds.ed.gov/cedselementdetails.aspx?termid=5473</v>
      </c>
      <c r="N1298" s="3" t="str">
        <f>HYPERLINK("https://ceds.ed.gov/elementComment.aspx?elementName=Terminated Title III Programs Due to Failure &amp;elementID=5473", "Click here to submit comment")</f>
        <v>Click here to submit comment</v>
      </c>
    </row>
    <row r="1299" spans="1:14" ht="30">
      <c r="A1299" s="3" t="s">
        <v>5744</v>
      </c>
      <c r="B1299" s="3" t="s">
        <v>5745</v>
      </c>
      <c r="C1299" s="3" t="s">
        <v>13</v>
      </c>
      <c r="D1299" s="3" t="s">
        <v>2267</v>
      </c>
      <c r="E1299" s="3"/>
      <c r="F1299" s="3" t="s">
        <v>54</v>
      </c>
      <c r="G1299" s="3" t="s">
        <v>319</v>
      </c>
      <c r="H1299" s="3"/>
      <c r="I1299" s="3"/>
      <c r="J1299" s="3" t="s">
        <v>5746</v>
      </c>
      <c r="K1299" s="3"/>
      <c r="L1299" s="3" t="s">
        <v>5747</v>
      </c>
      <c r="M1299" s="3" t="str">
        <f>HYPERLINK("https://ceds.ed.gov/cedselementdetails.aspx?termid=6468")</f>
        <v>https://ceds.ed.gov/cedselementdetails.aspx?termid=6468</v>
      </c>
      <c r="N1299" s="3" t="str">
        <f>HYPERLINK("https://ceds.ed.gov/elementComment.aspx?elementName=Thesis or Dissertation Title &amp;elementID=6468", "Click here to submit comment")</f>
        <v>Click here to submit comment</v>
      </c>
    </row>
    <row r="1300" spans="1:14" ht="75">
      <c r="A1300" s="3" t="s">
        <v>5748</v>
      </c>
      <c r="B1300" s="3" t="s">
        <v>5749</v>
      </c>
      <c r="C1300" s="3" t="s">
        <v>13</v>
      </c>
      <c r="D1300" s="3" t="s">
        <v>6098</v>
      </c>
      <c r="E1300" s="3"/>
      <c r="F1300" s="3"/>
      <c r="G1300" s="3" t="s">
        <v>100</v>
      </c>
      <c r="H1300" s="3"/>
      <c r="I1300" s="3"/>
      <c r="J1300" s="3" t="s">
        <v>5750</v>
      </c>
      <c r="K1300" s="3"/>
      <c r="L1300" s="3" t="s">
        <v>5751</v>
      </c>
      <c r="M1300" s="3" t="str">
        <f>HYPERLINK("https://ceds.ed.gov/cedselementdetails.aspx?termid=5514")</f>
        <v>https://ceds.ed.gov/cedselementdetails.aspx?termid=5514</v>
      </c>
      <c r="N1300" s="3" t="str">
        <f>HYPERLINK("https://ceds.ed.gov/elementComment.aspx?elementName=Timetable Day Identifier &amp;elementID=5514", "Click here to submit comment")</f>
        <v>Click here to submit comment</v>
      </c>
    </row>
    <row r="1301" spans="1:14" ht="120">
      <c r="A1301" s="3" t="s">
        <v>5752</v>
      </c>
      <c r="B1301" s="3" t="s">
        <v>5753</v>
      </c>
      <c r="C1301" s="4" t="s">
        <v>6676</v>
      </c>
      <c r="D1301" s="3" t="s">
        <v>5174</v>
      </c>
      <c r="E1301" s="3" t="s">
        <v>5968</v>
      </c>
      <c r="F1301" s="3"/>
      <c r="G1301" s="3"/>
      <c r="H1301" s="3"/>
      <c r="I1301" s="3"/>
      <c r="J1301" s="3" t="s">
        <v>5754</v>
      </c>
      <c r="K1301" s="3"/>
      <c r="L1301" s="3" t="s">
        <v>5755</v>
      </c>
      <c r="M1301" s="3" t="str">
        <f>HYPERLINK("https://ceds.ed.gov/cedselementdetails.aspx?termid=5281")</f>
        <v>https://ceds.ed.gov/cedselementdetails.aspx?termid=5281</v>
      </c>
      <c r="N1301" s="3" t="str">
        <f>HYPERLINK("https://ceds.ed.gov/elementComment.aspx?elementName=Title I Indicator &amp;elementID=5281", "Click here to submit comment")</f>
        <v>Click here to submit comment</v>
      </c>
    </row>
    <row r="1302" spans="1:14" ht="135">
      <c r="A1302" s="3" t="s">
        <v>5756</v>
      </c>
      <c r="B1302" s="3" t="s">
        <v>5757</v>
      </c>
      <c r="C1302" s="4" t="s">
        <v>6677</v>
      </c>
      <c r="D1302" s="3" t="s">
        <v>3399</v>
      </c>
      <c r="E1302" s="3" t="s">
        <v>218</v>
      </c>
      <c r="F1302" s="3"/>
      <c r="G1302" s="3"/>
      <c r="H1302" s="3"/>
      <c r="I1302" s="3"/>
      <c r="J1302" s="3" t="s">
        <v>5758</v>
      </c>
      <c r="K1302" s="3"/>
      <c r="L1302" s="3" t="s">
        <v>5759</v>
      </c>
      <c r="M1302" s="3" t="str">
        <f>HYPERLINK("https://ceds.ed.gov/cedselementdetails.aspx?termid=5282")</f>
        <v>https://ceds.ed.gov/cedselementdetails.aspx?termid=5282</v>
      </c>
      <c r="N1302" s="3" t="str">
        <f>HYPERLINK("https://ceds.ed.gov/elementComment.aspx?elementName=Title I Instructional Services &amp;elementID=5282", "Click here to submit comment")</f>
        <v>Click here to submit comment</v>
      </c>
    </row>
    <row r="1303" spans="1:14" ht="150">
      <c r="A1303" s="3" t="s">
        <v>5760</v>
      </c>
      <c r="B1303" s="3" t="s">
        <v>5761</v>
      </c>
      <c r="C1303" s="4" t="s">
        <v>6678</v>
      </c>
      <c r="D1303" s="3" t="s">
        <v>1723</v>
      </c>
      <c r="E1303" s="3" t="s">
        <v>218</v>
      </c>
      <c r="F1303" s="3"/>
      <c r="G1303" s="3"/>
      <c r="H1303" s="3"/>
      <c r="I1303" s="3"/>
      <c r="J1303" s="3" t="s">
        <v>5762</v>
      </c>
      <c r="K1303" s="3"/>
      <c r="L1303" s="3" t="s">
        <v>5763</v>
      </c>
      <c r="M1303" s="3" t="str">
        <f>HYPERLINK("https://ceds.ed.gov/cedselementdetails.aspx?termid=5283")</f>
        <v>https://ceds.ed.gov/cedselementdetails.aspx?termid=5283</v>
      </c>
      <c r="N1303" s="3" t="str">
        <f>HYPERLINK("https://ceds.ed.gov/elementComment.aspx?elementName=Title I Program Staff Category &amp;elementID=5283", "Click here to submit comment")</f>
        <v>Click here to submit comment</v>
      </c>
    </row>
    <row r="1304" spans="1:14" ht="135">
      <c r="A1304" s="3" t="s">
        <v>5764</v>
      </c>
      <c r="B1304" s="3" t="s">
        <v>5765</v>
      </c>
      <c r="C1304" s="4" t="s">
        <v>6679</v>
      </c>
      <c r="D1304" s="3" t="s">
        <v>6338</v>
      </c>
      <c r="E1304" s="3" t="s">
        <v>218</v>
      </c>
      <c r="F1304" s="3"/>
      <c r="G1304" s="3"/>
      <c r="H1304" s="3"/>
      <c r="I1304" s="3"/>
      <c r="J1304" s="3" t="s">
        <v>5766</v>
      </c>
      <c r="K1304" s="3"/>
      <c r="L1304" s="3" t="s">
        <v>5767</v>
      </c>
      <c r="M1304" s="3" t="str">
        <f>HYPERLINK("https://ceds.ed.gov/cedselementdetails.aspx?termid=5284")</f>
        <v>https://ceds.ed.gov/cedselementdetails.aspx?termid=5284</v>
      </c>
      <c r="N1304" s="3" t="str">
        <f>HYPERLINK("https://ceds.ed.gov/elementComment.aspx?elementName=Title I Program Type &amp;elementID=5284", "Click here to submit comment")</f>
        <v>Click here to submit comment</v>
      </c>
    </row>
    <row r="1305" spans="1:14" ht="195">
      <c r="A1305" s="3" t="s">
        <v>5768</v>
      </c>
      <c r="B1305" s="3" t="s">
        <v>5769</v>
      </c>
      <c r="C1305" s="4" t="s">
        <v>6680</v>
      </c>
      <c r="D1305" s="3" t="s">
        <v>2235</v>
      </c>
      <c r="E1305" s="3" t="s">
        <v>218</v>
      </c>
      <c r="F1305" s="3"/>
      <c r="G1305" s="3"/>
      <c r="H1305" s="3"/>
      <c r="I1305" s="3"/>
      <c r="J1305" s="3" t="s">
        <v>5770</v>
      </c>
      <c r="K1305" s="3"/>
      <c r="L1305" s="3" t="s">
        <v>5771</v>
      </c>
      <c r="M1305" s="3" t="str">
        <f>HYPERLINK("https://ceds.ed.gov/cedselementdetails.aspx?termid=5285")</f>
        <v>https://ceds.ed.gov/cedselementdetails.aspx?termid=5285</v>
      </c>
      <c r="N1305" s="3" t="str">
        <f>HYPERLINK("https://ceds.ed.gov/elementComment.aspx?elementName=Title I School Status &amp;elementID=5285", "Click here to submit comment")</f>
        <v>Click here to submit comment</v>
      </c>
    </row>
    <row r="1306" spans="1:14" ht="90">
      <c r="A1306" s="3" t="s">
        <v>5772</v>
      </c>
      <c r="B1306" s="3" t="s">
        <v>5773</v>
      </c>
      <c r="C1306" s="3" t="s">
        <v>5963</v>
      </c>
      <c r="D1306" s="3" t="s">
        <v>5174</v>
      </c>
      <c r="E1306" s="3" t="s">
        <v>218</v>
      </c>
      <c r="F1306" s="3"/>
      <c r="G1306" s="3"/>
      <c r="H1306" s="3"/>
      <c r="I1306" s="3"/>
      <c r="J1306" s="3" t="s">
        <v>5774</v>
      </c>
      <c r="K1306" s="3"/>
      <c r="L1306" s="3" t="s">
        <v>5775</v>
      </c>
      <c r="M1306" s="3" t="str">
        <f>HYPERLINK("https://ceds.ed.gov/cedselementdetails.aspx?termid=5286")</f>
        <v>https://ceds.ed.gov/cedselementdetails.aspx?termid=5286</v>
      </c>
      <c r="N1306" s="3" t="str">
        <f>HYPERLINK("https://ceds.ed.gov/elementComment.aspx?elementName=Title I School Supplemental Services Applied Status &amp;elementID=5286", "Click here to submit comment")</f>
        <v>Click here to submit comment</v>
      </c>
    </row>
    <row r="1307" spans="1:14" ht="75">
      <c r="A1307" s="3" t="s">
        <v>5776</v>
      </c>
      <c r="B1307" s="3" t="s">
        <v>5777</v>
      </c>
      <c r="C1307" s="3" t="s">
        <v>5963</v>
      </c>
      <c r="D1307" s="3" t="s">
        <v>5174</v>
      </c>
      <c r="E1307" s="3" t="s">
        <v>218</v>
      </c>
      <c r="F1307" s="3"/>
      <c r="G1307" s="3"/>
      <c r="H1307" s="3"/>
      <c r="I1307" s="3"/>
      <c r="J1307" s="3" t="s">
        <v>5778</v>
      </c>
      <c r="K1307" s="3"/>
      <c r="L1307" s="3" t="s">
        <v>5779</v>
      </c>
      <c r="M1307" s="3" t="str">
        <f>HYPERLINK("https://ceds.ed.gov/cedselementdetails.aspx?termid=5287")</f>
        <v>https://ceds.ed.gov/cedselementdetails.aspx?termid=5287</v>
      </c>
      <c r="N1307" s="3" t="str">
        <f>HYPERLINK("https://ceds.ed.gov/elementComment.aspx?elementName=Title I School Supplemental Services Eligible Status &amp;elementID=5287", "Click here to submit comment")</f>
        <v>Click here to submit comment</v>
      </c>
    </row>
    <row r="1308" spans="1:14" ht="75">
      <c r="A1308" s="3" t="s">
        <v>5780</v>
      </c>
      <c r="B1308" s="3" t="s">
        <v>5781</v>
      </c>
      <c r="C1308" s="3" t="s">
        <v>5963</v>
      </c>
      <c r="D1308" s="3" t="s">
        <v>5174</v>
      </c>
      <c r="E1308" s="3" t="s">
        <v>218</v>
      </c>
      <c r="F1308" s="3"/>
      <c r="G1308" s="3"/>
      <c r="H1308" s="3"/>
      <c r="I1308" s="3"/>
      <c r="J1308" s="3" t="s">
        <v>5782</v>
      </c>
      <c r="K1308" s="3"/>
      <c r="L1308" s="3" t="s">
        <v>5783</v>
      </c>
      <c r="M1308" s="3" t="str">
        <f>HYPERLINK("https://ceds.ed.gov/cedselementdetails.aspx?termid=5288")</f>
        <v>https://ceds.ed.gov/cedselementdetails.aspx?termid=5288</v>
      </c>
      <c r="N1308" s="3" t="str">
        <f>HYPERLINK("https://ceds.ed.gov/elementComment.aspx?elementName=Title I School Supplemental Services Received Status &amp;elementID=5288", "Click here to submit comment")</f>
        <v>Click here to submit comment</v>
      </c>
    </row>
    <row r="1309" spans="1:14" ht="60">
      <c r="A1309" s="3" t="s">
        <v>5784</v>
      </c>
      <c r="B1309" s="3" t="s">
        <v>5785</v>
      </c>
      <c r="C1309" s="3" t="s">
        <v>5963</v>
      </c>
      <c r="D1309" s="3" t="s">
        <v>5174</v>
      </c>
      <c r="E1309" s="3" t="s">
        <v>218</v>
      </c>
      <c r="F1309" s="3"/>
      <c r="G1309" s="3"/>
      <c r="H1309" s="3"/>
      <c r="I1309" s="3"/>
      <c r="J1309" s="3" t="s">
        <v>5786</v>
      </c>
      <c r="K1309" s="3"/>
      <c r="L1309" s="3" t="s">
        <v>5787</v>
      </c>
      <c r="M1309" s="3" t="str">
        <f>HYPERLINK("https://ceds.ed.gov/cedselementdetails.aspx?termid=5541")</f>
        <v>https://ceds.ed.gov/cedselementdetails.aspx?termid=5541</v>
      </c>
      <c r="N1309" s="3" t="str">
        <f>HYPERLINK("https://ceds.ed.gov/elementComment.aspx?elementName=Title I Schoolwide Program Participation &amp;elementID=5541", "Click here to submit comment")</f>
        <v>Click here to submit comment</v>
      </c>
    </row>
    <row r="1310" spans="1:14" ht="90">
      <c r="A1310" s="3" t="s">
        <v>5788</v>
      </c>
      <c r="B1310" s="3" t="s">
        <v>5789</v>
      </c>
      <c r="C1310" s="4" t="s">
        <v>6681</v>
      </c>
      <c r="D1310" s="3" t="s">
        <v>3399</v>
      </c>
      <c r="E1310" s="3" t="s">
        <v>218</v>
      </c>
      <c r="F1310" s="3"/>
      <c r="G1310" s="3"/>
      <c r="H1310" s="3"/>
      <c r="I1310" s="3"/>
      <c r="J1310" s="3" t="s">
        <v>5790</v>
      </c>
      <c r="K1310" s="3"/>
      <c r="L1310" s="3" t="s">
        <v>5791</v>
      </c>
      <c r="M1310" s="3" t="str">
        <f>HYPERLINK("https://ceds.ed.gov/cedselementdetails.aspx?termid=5289")</f>
        <v>https://ceds.ed.gov/cedselementdetails.aspx?termid=5289</v>
      </c>
      <c r="N1310" s="3" t="str">
        <f>HYPERLINK("https://ceds.ed.gov/elementComment.aspx?elementName=Title I Support Services &amp;elementID=5289", "Click here to submit comment")</f>
        <v>Click here to submit comment</v>
      </c>
    </row>
    <row r="1311" spans="1:14" ht="75">
      <c r="A1311" s="3" t="s">
        <v>5792</v>
      </c>
      <c r="B1311" s="3" t="s">
        <v>5793</v>
      </c>
      <c r="C1311" s="3" t="s">
        <v>5963</v>
      </c>
      <c r="D1311" s="3" t="s">
        <v>5174</v>
      </c>
      <c r="E1311" s="3" t="s">
        <v>218</v>
      </c>
      <c r="F1311" s="3"/>
      <c r="G1311" s="3"/>
      <c r="H1311" s="3"/>
      <c r="I1311" s="3"/>
      <c r="J1311" s="3" t="s">
        <v>5794</v>
      </c>
      <c r="K1311" s="3"/>
      <c r="L1311" s="3" t="s">
        <v>5795</v>
      </c>
      <c r="M1311" s="3" t="str">
        <f>HYPERLINK("https://ceds.ed.gov/cedselementdetails.aspx?termid=5542")</f>
        <v>https://ceds.ed.gov/cedselementdetails.aspx?termid=5542</v>
      </c>
      <c r="N1311" s="3" t="str">
        <f>HYPERLINK("https://ceds.ed.gov/elementComment.aspx?elementName=Title I Targeted Assistance Participation &amp;elementID=5542", "Click here to submit comment")</f>
        <v>Click here to submit comment</v>
      </c>
    </row>
    <row r="1312" spans="1:14" ht="60">
      <c r="A1312" s="3" t="s">
        <v>5796</v>
      </c>
      <c r="B1312" s="3" t="s">
        <v>5797</v>
      </c>
      <c r="C1312" s="3" t="s">
        <v>5963</v>
      </c>
      <c r="D1312" s="3" t="s">
        <v>1779</v>
      </c>
      <c r="E1312" s="3"/>
      <c r="F1312" s="3"/>
      <c r="G1312" s="3"/>
      <c r="H1312" s="3"/>
      <c r="I1312" s="3"/>
      <c r="J1312" s="3" t="s">
        <v>5798</v>
      </c>
      <c r="K1312" s="3"/>
      <c r="L1312" s="3" t="s">
        <v>5799</v>
      </c>
      <c r="M1312" s="3" t="str">
        <f>HYPERLINK("https://ceds.ed.gov/cedselementdetails.aspx?termid=5543")</f>
        <v>https://ceds.ed.gov/cedselementdetails.aspx?termid=5543</v>
      </c>
      <c r="N1312" s="3" t="str">
        <f>HYPERLINK("https://ceds.ed.gov/elementComment.aspx?elementName=Title I Targeted Assistance Staff Funded &amp;elementID=5543", "Click here to submit comment")</f>
        <v>Click here to submit comment</v>
      </c>
    </row>
    <row r="1313" spans="1:14" ht="60">
      <c r="A1313" s="3" t="s">
        <v>5800</v>
      </c>
      <c r="B1313" s="3" t="s">
        <v>5801</v>
      </c>
      <c r="C1313" s="4" t="s">
        <v>6682</v>
      </c>
      <c r="D1313" s="3" t="s">
        <v>3982</v>
      </c>
      <c r="E1313" s="3" t="s">
        <v>218</v>
      </c>
      <c r="F1313" s="3"/>
      <c r="G1313" s="3"/>
      <c r="H1313" s="3"/>
      <c r="I1313" s="3"/>
      <c r="J1313" s="3" t="s">
        <v>5802</v>
      </c>
      <c r="K1313" s="3"/>
      <c r="L1313" s="3" t="s">
        <v>5803</v>
      </c>
      <c r="M1313" s="3" t="str">
        <f>HYPERLINK("https://ceds.ed.gov/cedselementdetails.aspx?termid=5527")</f>
        <v>https://ceds.ed.gov/cedselementdetails.aspx?termid=5527</v>
      </c>
      <c r="N1313" s="3" t="str">
        <f>HYPERLINK("https://ceds.ed.gov/elementComment.aspx?elementName=Title III Accountability Progress Status &amp;elementID=5527", "Click here to submit comment")</f>
        <v>Click here to submit comment</v>
      </c>
    </row>
    <row r="1314" spans="1:14" ht="90">
      <c r="A1314" s="3" t="s">
        <v>5804</v>
      </c>
      <c r="B1314" s="3" t="s">
        <v>5805</v>
      </c>
      <c r="C1314" s="3" t="s">
        <v>5963</v>
      </c>
      <c r="D1314" s="3" t="s">
        <v>2769</v>
      </c>
      <c r="E1314" s="3" t="s">
        <v>218</v>
      </c>
      <c r="F1314" s="3"/>
      <c r="G1314" s="3"/>
      <c r="H1314" s="3"/>
      <c r="I1314" s="3"/>
      <c r="J1314" s="3" t="s">
        <v>5806</v>
      </c>
      <c r="K1314" s="3"/>
      <c r="L1314" s="3" t="s">
        <v>5807</v>
      </c>
      <c r="M1314" s="3" t="str">
        <f>HYPERLINK("https://ceds.ed.gov/cedselementdetails.aspx?termid=5290")</f>
        <v>https://ceds.ed.gov/cedselementdetails.aspx?termid=5290</v>
      </c>
      <c r="N1314" s="3" t="str">
        <f>HYPERLINK("https://ceds.ed.gov/elementComment.aspx?elementName=Title III Immigrant Participation Status &amp;elementID=5290", "Click here to submit comment")</f>
        <v>Click here to submit comment</v>
      </c>
    </row>
    <row r="1315" spans="1:14" ht="120">
      <c r="A1315" s="3" t="s">
        <v>5808</v>
      </c>
      <c r="B1315" s="3" t="s">
        <v>5809</v>
      </c>
      <c r="C1315" s="3" t="s">
        <v>5963</v>
      </c>
      <c r="D1315" s="3" t="s">
        <v>2769</v>
      </c>
      <c r="E1315" s="3" t="s">
        <v>5968</v>
      </c>
      <c r="F1315" s="3"/>
      <c r="G1315" s="3"/>
      <c r="H1315" s="3"/>
      <c r="I1315" s="3"/>
      <c r="J1315" s="3" t="s">
        <v>5810</v>
      </c>
      <c r="K1315" s="3"/>
      <c r="L1315" s="3" t="s">
        <v>5811</v>
      </c>
      <c r="M1315" s="3" t="str">
        <f>HYPERLINK("https://ceds.ed.gov/cedselementdetails.aspx?termid=5291")</f>
        <v>https://ceds.ed.gov/cedselementdetails.aspx?termid=5291</v>
      </c>
      <c r="N1315" s="3" t="str">
        <f>HYPERLINK("https://ceds.ed.gov/elementComment.aspx?elementName=Title III Immigrant Status &amp;elementID=5291", "Click here to submit comment")</f>
        <v>Click here to submit comment</v>
      </c>
    </row>
    <row r="1316" spans="1:14" ht="270">
      <c r="A1316" s="3" t="s">
        <v>5812</v>
      </c>
      <c r="B1316" s="3" t="s">
        <v>5813</v>
      </c>
      <c r="C1316" s="4" t="s">
        <v>6683</v>
      </c>
      <c r="D1316" s="3" t="s">
        <v>6338</v>
      </c>
      <c r="E1316" s="3" t="s">
        <v>207</v>
      </c>
      <c r="F1316" s="3"/>
      <c r="G1316" s="3"/>
      <c r="H1316" s="3"/>
      <c r="I1316" s="3"/>
      <c r="J1316" s="3" t="s">
        <v>5814</v>
      </c>
      <c r="K1316" s="3"/>
      <c r="L1316" s="3" t="s">
        <v>5815</v>
      </c>
      <c r="M1316" s="3" t="str">
        <f>HYPERLINK("https://ceds.ed.gov/cedselementdetails.aspx?termid=5437")</f>
        <v>https://ceds.ed.gov/cedselementdetails.aspx?termid=5437</v>
      </c>
      <c r="N1316" s="3" t="str">
        <f>HYPERLINK("https://ceds.ed.gov/elementComment.aspx?elementName=Title III Language Instruction Program Type &amp;elementID=5437", "Click here to submit comment")</f>
        <v>Click here to submit comment</v>
      </c>
    </row>
    <row r="1317" spans="1:14" ht="75">
      <c r="A1317" s="3" t="s">
        <v>5816</v>
      </c>
      <c r="B1317" s="3" t="s">
        <v>5817</v>
      </c>
      <c r="C1317" s="3" t="s">
        <v>5963</v>
      </c>
      <c r="D1317" s="3" t="s">
        <v>3982</v>
      </c>
      <c r="E1317" s="3" t="s">
        <v>218</v>
      </c>
      <c r="F1317" s="3"/>
      <c r="G1317" s="3"/>
      <c r="H1317" s="3"/>
      <c r="I1317" s="3"/>
      <c r="J1317" s="3" t="s">
        <v>5818</v>
      </c>
      <c r="K1317" s="3" t="s">
        <v>5819</v>
      </c>
      <c r="L1317" s="3" t="s">
        <v>5820</v>
      </c>
      <c r="M1317" s="3" t="str">
        <f>HYPERLINK("https://ceds.ed.gov/cedselementdetails.aspx?termid=5557")</f>
        <v>https://ceds.ed.gov/cedselementdetails.aspx?termid=5557</v>
      </c>
      <c r="N1317" s="3" t="str">
        <f>HYPERLINK("https://ceds.ed.gov/elementComment.aspx?elementName=Title III Limited English Proficient Participation Status &amp;elementID=5557", "Click here to submit comment")</f>
        <v>Click here to submit comment</v>
      </c>
    </row>
    <row r="1318" spans="1:14" ht="150">
      <c r="A1318" s="3" t="s">
        <v>5821</v>
      </c>
      <c r="B1318" s="3" t="s">
        <v>5822</v>
      </c>
      <c r="C1318" s="4" t="s">
        <v>6684</v>
      </c>
      <c r="D1318" s="3" t="s">
        <v>59</v>
      </c>
      <c r="E1318" s="3" t="s">
        <v>207</v>
      </c>
      <c r="F1318" s="3"/>
      <c r="G1318" s="3"/>
      <c r="H1318" s="3"/>
      <c r="I1318" s="3"/>
      <c r="J1318" s="3" t="s">
        <v>5823</v>
      </c>
      <c r="K1318" s="3"/>
      <c r="L1318" s="3" t="s">
        <v>5824</v>
      </c>
      <c r="M1318" s="3" t="str">
        <f>HYPERLINK("https://ceds.ed.gov/cedselementdetails.aspx?termid=5478")</f>
        <v>https://ceds.ed.gov/cedselementdetails.aspx?termid=5478</v>
      </c>
      <c r="N1318" s="3" t="str">
        <f>HYPERLINK("https://ceds.ed.gov/elementComment.aspx?elementName=Title III Professional Development Type &amp;elementID=5478", "Click here to submit comment")</f>
        <v>Click here to submit comment</v>
      </c>
    </row>
    <row r="1319" spans="1:14" ht="210">
      <c r="A1319" s="3" t="s">
        <v>5825</v>
      </c>
      <c r="B1319" s="3" t="s">
        <v>5826</v>
      </c>
      <c r="C1319" s="3" t="s">
        <v>5963</v>
      </c>
      <c r="D1319" s="3" t="s">
        <v>1708</v>
      </c>
      <c r="E1319" s="3" t="s">
        <v>5976</v>
      </c>
      <c r="F1319" s="3"/>
      <c r="G1319" s="3"/>
      <c r="H1319" s="3"/>
      <c r="I1319" s="3"/>
      <c r="J1319" s="3" t="s">
        <v>5827</v>
      </c>
      <c r="K1319" s="3"/>
      <c r="L1319" s="3" t="s">
        <v>5828</v>
      </c>
      <c r="M1319" s="3" t="str">
        <f>HYPERLINK("https://ceds.ed.gov/cedselementdetails.aspx?termid=5292")</f>
        <v>https://ceds.ed.gov/cedselementdetails.aspx?termid=5292</v>
      </c>
      <c r="N1319" s="3" t="str">
        <f>HYPERLINK("https://ceds.ed.gov/elementComment.aspx?elementName=Title IV Participant and Recipient &amp;elementID=5292", "Click here to submit comment")</f>
        <v>Click here to submit comment</v>
      </c>
    </row>
    <row r="1320" spans="1:14" ht="90">
      <c r="A1320" s="3" t="s">
        <v>5829</v>
      </c>
      <c r="B1320" s="3" t="s">
        <v>5830</v>
      </c>
      <c r="C1320" s="3" t="s">
        <v>13</v>
      </c>
      <c r="D1320" s="3" t="s">
        <v>388</v>
      </c>
      <c r="E1320" s="3" t="s">
        <v>202</v>
      </c>
      <c r="F1320" s="3"/>
      <c r="G1320" s="3" t="s">
        <v>389</v>
      </c>
      <c r="H1320" s="3"/>
      <c r="I1320" s="3"/>
      <c r="J1320" s="3" t="s">
        <v>5831</v>
      </c>
      <c r="K1320" s="3"/>
      <c r="L1320" s="3" t="s">
        <v>5832</v>
      </c>
      <c r="M1320" s="3" t="str">
        <f>HYPERLINK("https://ceds.ed.gov/cedselementdetails.aspx?termid=5787")</f>
        <v>https://ceds.ed.gov/cedselementdetails.aspx?termid=5787</v>
      </c>
      <c r="N1320" s="3" t="str">
        <f>HYPERLINK("https://ceds.ed.gov/elementComment.aspx?elementName=Total Approved Early Childhood Credits Earned &amp;elementID=5787", "Click here to submit comment")</f>
        <v>Click here to submit comment</v>
      </c>
    </row>
    <row r="1321" spans="1:14" ht="75">
      <c r="A1321" s="3" t="s">
        <v>5833</v>
      </c>
      <c r="B1321" s="3" t="s">
        <v>5834</v>
      </c>
      <c r="C1321" s="4" t="s">
        <v>6685</v>
      </c>
      <c r="D1321" s="3" t="s">
        <v>1708</v>
      </c>
      <c r="E1321" s="3" t="s">
        <v>5976</v>
      </c>
      <c r="F1321" s="3"/>
      <c r="G1321" s="3"/>
      <c r="H1321" s="3"/>
      <c r="I1321" s="3"/>
      <c r="J1321" s="3" t="s">
        <v>5835</v>
      </c>
      <c r="K1321" s="3"/>
      <c r="L1321" s="3" t="s">
        <v>5836</v>
      </c>
      <c r="M1321" s="3" t="str">
        <f>HYPERLINK("https://ceds.ed.gov/cedselementdetails.aspx?termid=5296")</f>
        <v>https://ceds.ed.gov/cedselementdetails.aspx?termid=5296</v>
      </c>
      <c r="N1321" s="3" t="str">
        <f>HYPERLINK("https://ceds.ed.gov/elementComment.aspx?elementName=Transfer-ready &amp;elementID=5296", "Click here to submit comment")</f>
        <v>Click here to submit comment</v>
      </c>
    </row>
    <row r="1322" spans="1:14" ht="45">
      <c r="A1322" s="3" t="s">
        <v>5837</v>
      </c>
      <c r="B1322" s="3" t="s">
        <v>5838</v>
      </c>
      <c r="C1322" s="3" t="s">
        <v>5963</v>
      </c>
      <c r="D1322" s="3" t="s">
        <v>154</v>
      </c>
      <c r="E1322" s="3" t="s">
        <v>218</v>
      </c>
      <c r="F1322" s="3"/>
      <c r="G1322" s="3"/>
      <c r="H1322" s="3"/>
      <c r="I1322" s="3"/>
      <c r="J1322" s="3" t="s">
        <v>5839</v>
      </c>
      <c r="K1322" s="3"/>
      <c r="L1322" s="3" t="s">
        <v>5840</v>
      </c>
      <c r="M1322" s="3" t="str">
        <f>HYPERLINK("https://ceds.ed.gov/cedselementdetails.aspx?termid=5561")</f>
        <v>https://ceds.ed.gov/cedselementdetails.aspx?termid=5561</v>
      </c>
      <c r="N1322" s="3" t="str">
        <f>HYPERLINK("https://ceds.ed.gov/elementComment.aspx?elementName=Truant Status &amp;elementID=5561", "Click here to submit comment")</f>
        <v>Click here to submit comment</v>
      </c>
    </row>
    <row r="1323" spans="1:14" ht="90">
      <c r="A1323" s="3" t="s">
        <v>5841</v>
      </c>
      <c r="B1323" s="3" t="s">
        <v>5842</v>
      </c>
      <c r="C1323" s="3" t="s">
        <v>13</v>
      </c>
      <c r="D1323" s="3" t="s">
        <v>1494</v>
      </c>
      <c r="E1323" s="3" t="s">
        <v>1495</v>
      </c>
      <c r="F1323" s="3"/>
      <c r="G1323" s="3" t="s">
        <v>1461</v>
      </c>
      <c r="H1323" s="3"/>
      <c r="I1323" s="3" t="s">
        <v>5843</v>
      </c>
      <c r="J1323" s="3" t="s">
        <v>5844</v>
      </c>
      <c r="K1323" s="3"/>
      <c r="L1323" s="3" t="s">
        <v>5845</v>
      </c>
      <c r="M1323" s="3" t="str">
        <f>HYPERLINK("https://ceds.ed.gov/cedselementdetails.aspx?termid=5723")</f>
        <v>https://ceds.ed.gov/cedselementdetails.aspx?termid=5723</v>
      </c>
      <c r="N1323" s="3" t="str">
        <f>HYPERLINK("https://ceds.ed.gov/elementComment.aspx?elementName=Tuition - Published &amp;elementID=5723", "Click here to submit comment")</f>
        <v>Click here to submit comment</v>
      </c>
    </row>
    <row r="1324" spans="1:14" ht="90">
      <c r="A1324" s="3" t="s">
        <v>5846</v>
      </c>
      <c r="B1324" s="3" t="s">
        <v>5847</v>
      </c>
      <c r="C1324" s="4" t="s">
        <v>6686</v>
      </c>
      <c r="D1324" s="3" t="s">
        <v>1536</v>
      </c>
      <c r="E1324" s="3" t="s">
        <v>1537</v>
      </c>
      <c r="F1324" s="3"/>
      <c r="G1324" s="3"/>
      <c r="H1324" s="3"/>
      <c r="I1324" s="3"/>
      <c r="J1324" s="3" t="s">
        <v>5848</v>
      </c>
      <c r="K1324" s="3"/>
      <c r="L1324" s="3" t="s">
        <v>5849</v>
      </c>
      <c r="M1324" s="3" t="str">
        <f>HYPERLINK("https://ceds.ed.gov/cedselementdetails.aspx?termid=5297")</f>
        <v>https://ceds.ed.gov/cedselementdetails.aspx?termid=5297</v>
      </c>
      <c r="N1324" s="3" t="str">
        <f>HYPERLINK("https://ceds.ed.gov/elementComment.aspx?elementName=Tuition Residency Type &amp;elementID=5297", "Click here to submit comment")</f>
        <v>Click here to submit comment</v>
      </c>
    </row>
    <row r="1325" spans="1:14" ht="90">
      <c r="A1325" s="3" t="s">
        <v>5850</v>
      </c>
      <c r="B1325" s="3" t="s">
        <v>5851</v>
      </c>
      <c r="C1325" s="4" t="s">
        <v>6687</v>
      </c>
      <c r="D1325" s="3" t="s">
        <v>1494</v>
      </c>
      <c r="E1325" s="3" t="s">
        <v>1495</v>
      </c>
      <c r="F1325" s="3"/>
      <c r="G1325" s="3"/>
      <c r="H1325" s="3"/>
      <c r="I1325" s="3" t="s">
        <v>358</v>
      </c>
      <c r="J1325" s="3" t="s">
        <v>5852</v>
      </c>
      <c r="K1325" s="3"/>
      <c r="L1325" s="3" t="s">
        <v>5853</v>
      </c>
      <c r="M1325" s="3" t="str">
        <f>HYPERLINK("https://ceds.ed.gov/cedselementdetails.aspx?termid=5725")</f>
        <v>https://ceds.ed.gov/cedselementdetails.aspx?termid=5725</v>
      </c>
      <c r="N1325" s="3" t="str">
        <f>HYPERLINK("https://ceds.ed.gov/elementComment.aspx?elementName=Tuition Unit &amp;elementID=5725", "Click here to submit comment")</f>
        <v>Click here to submit comment</v>
      </c>
    </row>
    <row r="1326" spans="1:14" ht="195">
      <c r="A1326" s="3" t="s">
        <v>5854</v>
      </c>
      <c r="B1326" s="3" t="s">
        <v>5855</v>
      </c>
      <c r="C1326" s="4" t="s">
        <v>6688</v>
      </c>
      <c r="D1326" s="3" t="s">
        <v>2822</v>
      </c>
      <c r="E1326" s="3" t="s">
        <v>207</v>
      </c>
      <c r="F1326" s="3"/>
      <c r="G1326" s="3"/>
      <c r="H1326" s="3"/>
      <c r="I1326" s="3"/>
      <c r="J1326" s="3" t="s">
        <v>5856</v>
      </c>
      <c r="K1326" s="3" t="s">
        <v>5857</v>
      </c>
      <c r="L1326" s="3" t="s">
        <v>5858</v>
      </c>
      <c r="M1326" s="3" t="str">
        <f>HYPERLINK("https://ceds.ed.gov/cedselementdetails.aspx?termid=5477")</f>
        <v>https://ceds.ed.gov/cedselementdetails.aspx?termid=5477</v>
      </c>
      <c r="N1326" s="3" t="str">
        <f>HYPERLINK("https://ceds.ed.gov/elementComment.aspx?elementName=Type of Use of the Rural Low-Income Schools Program &amp;elementID=5477", "Click here to submit comment")</f>
        <v>Click here to submit comment</v>
      </c>
    </row>
    <row r="1327" spans="1:14" ht="30">
      <c r="A1327" s="3" t="s">
        <v>5859</v>
      </c>
      <c r="B1327" s="3" t="s">
        <v>5860</v>
      </c>
      <c r="C1327" s="3" t="s">
        <v>13</v>
      </c>
      <c r="D1327" s="3" t="s">
        <v>3012</v>
      </c>
      <c r="E1327" s="3"/>
      <c r="F1327" s="3" t="s">
        <v>54</v>
      </c>
      <c r="G1327" s="3" t="s">
        <v>319</v>
      </c>
      <c r="H1327" s="3"/>
      <c r="I1327" s="3"/>
      <c r="J1327" s="3" t="s">
        <v>5861</v>
      </c>
      <c r="K1327" s="3"/>
      <c r="L1327" s="3" t="s">
        <v>5862</v>
      </c>
      <c r="M1327" s="3" t="str">
        <f>HYPERLINK("https://ceds.ed.gov/cedselementdetails.aspx?termid=6469")</f>
        <v>https://ceds.ed.gov/cedselementdetails.aspx?termid=6469</v>
      </c>
      <c r="N1327" s="3" t="str">
        <f>HYPERLINK("https://ceds.ed.gov/elementComment.aspx?elementName=Union Membership Name &amp;elementID=6469", "Click here to submit comment")</f>
        <v>Click here to submit comment</v>
      </c>
    </row>
    <row r="1328" spans="1:14" ht="45">
      <c r="A1328" s="3" t="s">
        <v>5863</v>
      </c>
      <c r="B1328" s="3" t="s">
        <v>5864</v>
      </c>
      <c r="C1328" s="3" t="s">
        <v>5963</v>
      </c>
      <c r="D1328" s="3" t="s">
        <v>3012</v>
      </c>
      <c r="E1328" s="3" t="s">
        <v>202</v>
      </c>
      <c r="F1328" s="3"/>
      <c r="G1328" s="3"/>
      <c r="H1328" s="3"/>
      <c r="I1328" s="3"/>
      <c r="J1328" s="3" t="s">
        <v>5865</v>
      </c>
      <c r="K1328" s="3"/>
      <c r="L1328" s="3" t="s">
        <v>5866</v>
      </c>
      <c r="M1328" s="3" t="str">
        <f>HYPERLINK("https://ceds.ed.gov/cedselementdetails.aspx?termid=5798")</f>
        <v>https://ceds.ed.gov/cedselementdetails.aspx?termid=5798</v>
      </c>
      <c r="N1328" s="3" t="str">
        <f>HYPERLINK("https://ceds.ed.gov/elementComment.aspx?elementName=Union Membership Status &amp;elementID=5798", "Click here to submit comment")</f>
        <v>Click here to submit comment</v>
      </c>
    </row>
    <row r="1329" spans="1:14" ht="105">
      <c r="A1329" s="3" t="s">
        <v>5867</v>
      </c>
      <c r="B1329" s="3" t="s">
        <v>5868</v>
      </c>
      <c r="C1329" s="4" t="s">
        <v>6689</v>
      </c>
      <c r="D1329" s="3" t="s">
        <v>6339</v>
      </c>
      <c r="E1329" s="3" t="s">
        <v>6340</v>
      </c>
      <c r="F1329" s="3"/>
      <c r="G1329" s="3"/>
      <c r="H1329" s="3"/>
      <c r="I1329" s="3" t="s">
        <v>5355</v>
      </c>
      <c r="J1329" s="3" t="s">
        <v>5869</v>
      </c>
      <c r="K1329" s="3"/>
      <c r="L1329" s="3" t="s">
        <v>5870</v>
      </c>
      <c r="M1329" s="3" t="str">
        <f>HYPERLINK("https://ceds.ed.gov/cedselementdetails.aspx?termid=5299")</f>
        <v>https://ceds.ed.gov/cedselementdetails.aspx?termid=5299</v>
      </c>
      <c r="N1329" s="3" t="str">
        <f>HYPERLINK("https://ceds.ed.gov/elementComment.aspx?elementName=United States Citizenship Status &amp;elementID=5299", "Click here to submit comment")</f>
        <v>Click here to submit comment</v>
      </c>
    </row>
    <row r="1330" spans="1:14" ht="345">
      <c r="A1330" s="3" t="s">
        <v>5871</v>
      </c>
      <c r="B1330" s="3" t="s">
        <v>5872</v>
      </c>
      <c r="C1330" s="4" t="s">
        <v>6690</v>
      </c>
      <c r="D1330" s="3" t="s">
        <v>2103</v>
      </c>
      <c r="E1330" s="3" t="s">
        <v>207</v>
      </c>
      <c r="F1330" s="3"/>
      <c r="G1330" s="3"/>
      <c r="H1330" s="3"/>
      <c r="I1330" s="3"/>
      <c r="J1330" s="3" t="s">
        <v>5873</v>
      </c>
      <c r="K1330" s="3"/>
      <c r="L1330" s="3" t="s">
        <v>5874</v>
      </c>
      <c r="M1330" s="3" t="str">
        <f>HYPERLINK("https://ceds.ed.gov/cedselementdetails.aspx?termid=5449")</f>
        <v>https://ceds.ed.gov/cedselementdetails.aspx?termid=5449</v>
      </c>
      <c r="N1330" s="3" t="str">
        <f>HYPERLINK("https://ceds.ed.gov/elementComment.aspx?elementName=Uses of Funds for Purposes other than Standards and Assessment Development &amp;elementID=5449", "Click here to submit comment")</f>
        <v>Click here to submit comment</v>
      </c>
    </row>
    <row r="1331" spans="1:14" ht="120">
      <c r="A1331" s="3" t="s">
        <v>5875</v>
      </c>
      <c r="B1331" s="3" t="s">
        <v>5876</v>
      </c>
      <c r="C1331" s="3" t="s">
        <v>5963</v>
      </c>
      <c r="D1331" s="3" t="s">
        <v>6341</v>
      </c>
      <c r="E1331" s="3"/>
      <c r="F1331" s="3"/>
      <c r="G1331" s="3"/>
      <c r="H1331" s="3"/>
      <c r="I1331" s="3"/>
      <c r="J1331" s="3" t="s">
        <v>5877</v>
      </c>
      <c r="K1331" s="3"/>
      <c r="L1331" s="3" t="s">
        <v>5878</v>
      </c>
      <c r="M1331" s="3" t="str">
        <f>HYPERLINK("https://ceds.ed.gov/cedselementdetails.aspx?termid=6167")</f>
        <v>https://ceds.ed.gov/cedselementdetails.aspx?termid=6167</v>
      </c>
      <c r="N1331" s="3" t="str">
        <f>HYPERLINK("https://ceds.ed.gov/elementComment.aspx?elementName=Virtual Indicator &amp;elementID=6167", "Click here to submit comment")</f>
        <v>Click here to submit comment</v>
      </c>
    </row>
    <row r="1332" spans="1:14" ht="150">
      <c r="A1332" s="3" t="s">
        <v>5879</v>
      </c>
      <c r="B1332" s="3" t="s">
        <v>5880</v>
      </c>
      <c r="C1332" s="4" t="s">
        <v>6691</v>
      </c>
      <c r="D1332" s="3" t="s">
        <v>1536</v>
      </c>
      <c r="E1332" s="3" t="s">
        <v>1537</v>
      </c>
      <c r="F1332" s="3"/>
      <c r="G1332" s="3"/>
      <c r="H1332" s="3"/>
      <c r="I1332" s="3"/>
      <c r="J1332" s="3" t="s">
        <v>5881</v>
      </c>
      <c r="K1332" s="3"/>
      <c r="L1332" s="3" t="s">
        <v>5882</v>
      </c>
      <c r="M1332" s="3" t="str">
        <f>HYPERLINK("https://ceds.ed.gov/cedselementdetails.aspx?termid=5196")</f>
        <v>https://ceds.ed.gov/cedselementdetails.aspx?termid=5196</v>
      </c>
      <c r="N1332" s="3" t="str">
        <f>HYPERLINK("https://ceds.ed.gov/elementComment.aspx?elementName=Visa Type &amp;elementID=5196", "Click here to submit comment")</f>
        <v>Click here to submit comment</v>
      </c>
    </row>
    <row r="1333" spans="1:14" ht="60">
      <c r="A1333" s="3" t="s">
        <v>5883</v>
      </c>
      <c r="B1333" s="3" t="s">
        <v>5884</v>
      </c>
      <c r="C1333" s="3" t="s">
        <v>13</v>
      </c>
      <c r="D1333" s="3" t="s">
        <v>6342</v>
      </c>
      <c r="E1333" s="3"/>
      <c r="F1333" s="3" t="s">
        <v>3</v>
      </c>
      <c r="G1333" s="3" t="s">
        <v>73</v>
      </c>
      <c r="H1333" s="3"/>
      <c r="I1333" s="3"/>
      <c r="J1333" s="3" t="s">
        <v>5885</v>
      </c>
      <c r="K1333" s="3"/>
      <c r="L1333" s="3" t="s">
        <v>5886</v>
      </c>
      <c r="M1333" s="3" t="str">
        <f>HYPERLINK("https://ceds.ed.gov/cedselementdetails.aspx?termid=5680")</f>
        <v>https://ceds.ed.gov/cedselementdetails.aspx?termid=5680</v>
      </c>
      <c r="N1333" s="3" t="str">
        <f>HYPERLINK("https://ceds.ed.gov/elementComment.aspx?elementName=Vision Screening Date &amp;elementID=5680", "Click here to submit comment")</f>
        <v>Click here to submit comment</v>
      </c>
    </row>
    <row r="1334" spans="1:14" ht="60">
      <c r="A1334" s="3" t="s">
        <v>5887</v>
      </c>
      <c r="B1334" s="3" t="s">
        <v>5888</v>
      </c>
      <c r="C1334" s="4" t="s">
        <v>6526</v>
      </c>
      <c r="D1334" s="3" t="s">
        <v>6342</v>
      </c>
      <c r="E1334" s="3" t="s">
        <v>2158</v>
      </c>
      <c r="F1334" s="3" t="s">
        <v>3</v>
      </c>
      <c r="G1334" s="3"/>
      <c r="H1334" s="3"/>
      <c r="I1334" s="3"/>
      <c r="J1334" s="3" t="s">
        <v>5889</v>
      </c>
      <c r="K1334" s="3"/>
      <c r="L1334" s="3" t="s">
        <v>5890</v>
      </c>
      <c r="M1334" s="3" t="str">
        <f>HYPERLINK("https://ceds.ed.gov/cedselementdetails.aspx?termid=5308")</f>
        <v>https://ceds.ed.gov/cedselementdetails.aspx?termid=5308</v>
      </c>
      <c r="N1334" s="3" t="str">
        <f>HYPERLINK("https://ceds.ed.gov/elementComment.aspx?elementName=Vision Screening Status &amp;elementID=5308", "Click here to submit comment")</f>
        <v>Click here to submit comment</v>
      </c>
    </row>
    <row r="1335" spans="1:14" ht="135">
      <c r="A1335" s="3" t="s">
        <v>5891</v>
      </c>
      <c r="B1335" s="3" t="s">
        <v>5892</v>
      </c>
      <c r="C1335" s="4" t="s">
        <v>6692</v>
      </c>
      <c r="D1335" s="3" t="s">
        <v>3012</v>
      </c>
      <c r="E1335" s="3" t="s">
        <v>202</v>
      </c>
      <c r="F1335" s="3"/>
      <c r="G1335" s="3"/>
      <c r="H1335" s="3"/>
      <c r="I1335" s="3"/>
      <c r="J1335" s="3" t="s">
        <v>5893</v>
      </c>
      <c r="K1335" s="3"/>
      <c r="L1335" s="3" t="s">
        <v>5894</v>
      </c>
      <c r="M1335" s="3" t="str">
        <f>HYPERLINK("https://ceds.ed.gov/cedselementdetails.aspx?termid=5797")</f>
        <v>https://ceds.ed.gov/cedselementdetails.aspx?termid=5797</v>
      </c>
      <c r="N1335" s="3" t="str">
        <f>HYPERLINK("https://ceds.ed.gov/elementComment.aspx?elementName=Wage Collection Code &amp;elementID=5797", "Click here to submit comment")</f>
        <v>Click here to submit comment</v>
      </c>
    </row>
    <row r="1336" spans="1:14" ht="60">
      <c r="A1336" s="3" t="s">
        <v>5895</v>
      </c>
      <c r="B1336" s="3" t="s">
        <v>5896</v>
      </c>
      <c r="C1336" s="4" t="s">
        <v>6693</v>
      </c>
      <c r="D1336" s="3" t="s">
        <v>3012</v>
      </c>
      <c r="E1336" s="3" t="s">
        <v>202</v>
      </c>
      <c r="F1336" s="3"/>
      <c r="G1336" s="3"/>
      <c r="H1336" s="3"/>
      <c r="I1336" s="3"/>
      <c r="J1336" s="3" t="s">
        <v>5897</v>
      </c>
      <c r="K1336" s="3"/>
      <c r="L1336" s="3" t="s">
        <v>5898</v>
      </c>
      <c r="M1336" s="3" t="str">
        <f>HYPERLINK("https://ceds.ed.gov/cedselementdetails.aspx?termid=5818")</f>
        <v>https://ceds.ed.gov/cedselementdetails.aspx?termid=5818</v>
      </c>
      <c r="N1336" s="3" t="str">
        <f>HYPERLINK("https://ceds.ed.gov/elementComment.aspx?elementName=Wage Verification Code &amp;elementID=5818", "Click here to submit comment")</f>
        <v>Click here to submit comment</v>
      </c>
    </row>
    <row r="1337" spans="1:14" ht="60">
      <c r="A1337" s="3" t="s">
        <v>5899</v>
      </c>
      <c r="B1337" s="3" t="s">
        <v>5900</v>
      </c>
      <c r="C1337" s="3" t="s">
        <v>5963</v>
      </c>
      <c r="D1337" s="3" t="s">
        <v>236</v>
      </c>
      <c r="E1337" s="3" t="s">
        <v>237</v>
      </c>
      <c r="F1337" s="3"/>
      <c r="G1337" s="3"/>
      <c r="H1337" s="3"/>
      <c r="I1337" s="3" t="s">
        <v>2746</v>
      </c>
      <c r="J1337" s="3" t="s">
        <v>5901</v>
      </c>
      <c r="K1337" s="3"/>
      <c r="L1337" s="3" t="s">
        <v>5902</v>
      </c>
      <c r="M1337" s="3" t="str">
        <f>HYPERLINK("https://ceds.ed.gov/cedselementdetails.aspx?termid=5738")</f>
        <v>https://ceds.ed.gov/cedselementdetails.aspx?termid=5738</v>
      </c>
      <c r="N1337" s="3" t="str">
        <f>HYPERLINK("https://ceds.ed.gov/elementComment.aspx?elementName=Wait Listed Student &amp;elementID=5738", "Click here to submit comment")</f>
        <v>Click here to submit comment</v>
      </c>
    </row>
    <row r="1338" spans="1:14" ht="285">
      <c r="A1338" s="3" t="s">
        <v>5903</v>
      </c>
      <c r="B1338" s="3" t="s">
        <v>5904</v>
      </c>
      <c r="C1338" s="4" t="s">
        <v>6694</v>
      </c>
      <c r="D1338" s="3" t="s">
        <v>2760</v>
      </c>
      <c r="E1338" s="3"/>
      <c r="F1338" s="3"/>
      <c r="G1338" s="3"/>
      <c r="H1338" s="3"/>
      <c r="I1338" s="3" t="s">
        <v>5905</v>
      </c>
      <c r="J1338" s="3" t="s">
        <v>5906</v>
      </c>
      <c r="K1338" s="3"/>
      <c r="L1338" s="3" t="s">
        <v>5907</v>
      </c>
      <c r="M1338" s="3" t="str">
        <f>HYPERLINK("https://ceds.ed.gov/cedselementdetails.aspx?termid=6178")</f>
        <v>https://ceds.ed.gov/cedselementdetails.aspx?termid=6178</v>
      </c>
      <c r="N1338" s="3" t="str">
        <f>HYPERLINK("https://ceds.ed.gov/elementComment.aspx?elementName=Weapon Type &amp;elementID=6178", "Click here to submit comment")</f>
        <v>Click here to submit comment</v>
      </c>
    </row>
    <row r="1339" spans="1:14" ht="75">
      <c r="A1339" s="3" t="s">
        <v>5908</v>
      </c>
      <c r="B1339" s="3" t="s">
        <v>5909</v>
      </c>
      <c r="C1339" s="3" t="s">
        <v>13</v>
      </c>
      <c r="D1339" s="3" t="s">
        <v>6343</v>
      </c>
      <c r="E1339" s="3" t="s">
        <v>218</v>
      </c>
      <c r="F1339" s="3" t="s">
        <v>3</v>
      </c>
      <c r="G1339" s="3" t="s">
        <v>93</v>
      </c>
      <c r="H1339" s="3"/>
      <c r="I1339" s="3"/>
      <c r="J1339" s="3" t="s">
        <v>5910</v>
      </c>
      <c r="K1339" s="3"/>
      <c r="L1339" s="3" t="s">
        <v>5911</v>
      </c>
      <c r="M1339" s="3" t="str">
        <f>HYPERLINK("https://ceds.ed.gov/cedselementdetails.aspx?termid=5300")</f>
        <v>https://ceds.ed.gov/cedselementdetails.aspx?termid=5300</v>
      </c>
      <c r="N1339" s="3" t="str">
        <f>HYPERLINK("https://ceds.ed.gov/elementComment.aspx?elementName=Web Site Address &amp;elementID=5300", "Click here to submit comment")</f>
        <v>Click here to submit comment</v>
      </c>
    </row>
    <row r="1340" spans="1:14" ht="30">
      <c r="A1340" s="3" t="s">
        <v>5912</v>
      </c>
      <c r="B1340" s="3" t="s">
        <v>5913</v>
      </c>
      <c r="C1340" s="3" t="s">
        <v>13</v>
      </c>
      <c r="D1340" s="3" t="s">
        <v>3012</v>
      </c>
      <c r="E1340" s="3"/>
      <c r="F1340" s="3" t="s">
        <v>54</v>
      </c>
      <c r="G1340" s="3" t="s">
        <v>575</v>
      </c>
      <c r="H1340" s="3"/>
      <c r="I1340" s="3"/>
      <c r="J1340" s="3" t="s">
        <v>5914</v>
      </c>
      <c r="K1340" s="3"/>
      <c r="L1340" s="3" t="s">
        <v>5915</v>
      </c>
      <c r="M1340" s="3" t="str">
        <f>HYPERLINK("https://ceds.ed.gov/cedselementdetails.aspx?termid=6470")</f>
        <v>https://ceds.ed.gov/cedselementdetails.aspx?termid=6470</v>
      </c>
      <c r="N1340" s="3" t="str">
        <f>HYPERLINK("https://ceds.ed.gov/elementComment.aspx?elementName=Weeks Employed Per Year &amp;elementID=6470", "Click here to submit comment")</f>
        <v>Click here to submit comment</v>
      </c>
    </row>
    <row r="1341" spans="1:14" ht="30">
      <c r="A1341" s="3" t="s">
        <v>5916</v>
      </c>
      <c r="B1341" s="3" t="s">
        <v>5917</v>
      </c>
      <c r="C1341" s="3" t="s">
        <v>13</v>
      </c>
      <c r="D1341" s="3" t="s">
        <v>5918</v>
      </c>
      <c r="E1341" s="3" t="s">
        <v>2158</v>
      </c>
      <c r="F1341" s="3"/>
      <c r="G1341" s="3" t="s">
        <v>308</v>
      </c>
      <c r="H1341" s="3"/>
      <c r="I1341" s="3"/>
      <c r="J1341" s="3" t="s">
        <v>5919</v>
      </c>
      <c r="K1341" s="3"/>
      <c r="L1341" s="3" t="s">
        <v>5920</v>
      </c>
      <c r="M1341" s="3" t="str">
        <f>HYPERLINK("https://ceds.ed.gov/cedselementdetails.aspx?termid=5313")</f>
        <v>https://ceds.ed.gov/cedselementdetails.aspx?termid=5313</v>
      </c>
      <c r="N1341" s="3" t="str">
        <f>HYPERLINK("https://ceds.ed.gov/elementComment.aspx?elementName=Weeks of Gestation &amp;elementID=5313", "Click here to submit comment")</f>
        <v>Click here to submit comment</v>
      </c>
    </row>
    <row r="1342" spans="1:14" ht="30">
      <c r="A1342" s="3" t="s">
        <v>5921</v>
      </c>
      <c r="B1342" s="3" t="s">
        <v>5922</v>
      </c>
      <c r="C1342" s="3" t="s">
        <v>13</v>
      </c>
      <c r="D1342" s="3" t="s">
        <v>5918</v>
      </c>
      <c r="E1342" s="3" t="s">
        <v>2158</v>
      </c>
      <c r="F1342" s="3"/>
      <c r="G1342" s="3" t="s">
        <v>319</v>
      </c>
      <c r="H1342" s="3"/>
      <c r="I1342" s="3"/>
      <c r="J1342" s="3" t="s">
        <v>5923</v>
      </c>
      <c r="K1342" s="3"/>
      <c r="L1342" s="3" t="s">
        <v>5924</v>
      </c>
      <c r="M1342" s="3" t="str">
        <f>HYPERLINK("https://ceds.ed.gov/cedselementdetails.aspx?termid=5312")</f>
        <v>https://ceds.ed.gov/cedselementdetails.aspx?termid=5312</v>
      </c>
      <c r="N1342" s="3" t="str">
        <f>HYPERLINK("https://ceds.ed.gov/elementComment.aspx?elementName=Weight at Birth &amp;elementID=5312", "Click here to submit comment")</f>
        <v>Click here to submit comment</v>
      </c>
    </row>
    <row r="1343" spans="1:14" ht="315">
      <c r="A1343" s="3" t="s">
        <v>5925</v>
      </c>
      <c r="B1343" s="3" t="s">
        <v>5926</v>
      </c>
      <c r="C1343" s="4" t="s">
        <v>6373</v>
      </c>
      <c r="D1343" s="3" t="s">
        <v>5985</v>
      </c>
      <c r="E1343" s="3" t="s">
        <v>5986</v>
      </c>
      <c r="F1343" s="3"/>
      <c r="G1343" s="3"/>
      <c r="H1343" s="3"/>
      <c r="I1343" s="3" t="s">
        <v>353</v>
      </c>
      <c r="J1343" s="3" t="s">
        <v>5927</v>
      </c>
      <c r="K1343" s="3"/>
      <c r="L1343" s="3" t="s">
        <v>5925</v>
      </c>
      <c r="M1343" s="3" t="str">
        <f>HYPERLINK("https://ceds.ed.gov/cedselementdetails.aspx?termid=5659")</f>
        <v>https://ceds.ed.gov/cedselementdetails.aspx?termid=5659</v>
      </c>
      <c r="N1343" s="3" t="str">
        <f>HYPERLINK("https://ceds.ed.gov/elementComment.aspx?elementName=White &amp;elementID=5659", "Click here to submit comment")</f>
        <v>Click here to submit comment</v>
      </c>
    </row>
    <row r="1344" spans="1:14" ht="240">
      <c r="A1344" s="3" t="s">
        <v>5928</v>
      </c>
      <c r="B1344" s="3" t="s">
        <v>5929</v>
      </c>
      <c r="C1344" s="4" t="s">
        <v>6695</v>
      </c>
      <c r="D1344" s="3" t="s">
        <v>6344</v>
      </c>
      <c r="E1344" s="3"/>
      <c r="F1344" s="3" t="s">
        <v>54</v>
      </c>
      <c r="G1344" s="3"/>
      <c r="H1344" s="3"/>
      <c r="I1344" s="3"/>
      <c r="J1344" s="3" t="s">
        <v>5930</v>
      </c>
      <c r="K1344" s="3"/>
      <c r="L1344" s="3" t="s">
        <v>5931</v>
      </c>
      <c r="M1344" s="3" t="str">
        <f>HYPERLINK("https://ceds.ed.gov/cedselementdetails.aspx?termid=6471")</f>
        <v>https://ceds.ed.gov/cedselementdetails.aspx?termid=6471</v>
      </c>
      <c r="N1344" s="3" t="str">
        <f>HYPERLINK("https://ceds.ed.gov/elementComment.aspx?elementName=Work-based Learning Opportunity Type &amp;elementID=6471", "Click here to submit comment")</f>
        <v>Click here to submit comment</v>
      </c>
    </row>
    <row r="1345" spans="1:14" ht="409.5">
      <c r="A1345" s="3" t="s">
        <v>5932</v>
      </c>
      <c r="B1345" s="3" t="s">
        <v>5933</v>
      </c>
      <c r="C1345" s="4" t="s">
        <v>6696</v>
      </c>
      <c r="D1345" s="3" t="s">
        <v>5934</v>
      </c>
      <c r="E1345" s="3"/>
      <c r="F1345" s="3" t="s">
        <v>66</v>
      </c>
      <c r="G1345" s="3"/>
      <c r="H1345" s="3" t="s">
        <v>5935</v>
      </c>
      <c r="I1345" s="3" t="s">
        <v>5936</v>
      </c>
      <c r="J1345" s="3" t="s">
        <v>5937</v>
      </c>
      <c r="K1345" s="3"/>
      <c r="L1345" s="3" t="s">
        <v>5938</v>
      </c>
      <c r="M1345" s="3" t="str">
        <f>HYPERLINK("https://ceds.ed.gov/cedselementdetails.aspx?termid=6000")</f>
        <v>https://ceds.ed.gov/cedselementdetails.aspx?termid=6000</v>
      </c>
      <c r="N1345" s="3" t="str">
        <f>HYPERLINK("https://ceds.ed.gov/elementComment.aspx?elementName=Workforce Program Participation &amp;elementID=6000", "Click here to submit comment")</f>
        <v>Click here to submit comment</v>
      </c>
    </row>
    <row r="1346" spans="1:14" ht="180">
      <c r="A1346" s="3" t="s">
        <v>5939</v>
      </c>
      <c r="B1346" s="3" t="s">
        <v>5940</v>
      </c>
      <c r="C1346" s="3" t="s">
        <v>13</v>
      </c>
      <c r="D1346" s="3" t="s">
        <v>5934</v>
      </c>
      <c r="E1346" s="3"/>
      <c r="F1346" s="3" t="s">
        <v>66</v>
      </c>
      <c r="G1346" s="3" t="s">
        <v>73</v>
      </c>
      <c r="H1346" s="3" t="s">
        <v>5941</v>
      </c>
      <c r="I1346" s="3" t="s">
        <v>5942</v>
      </c>
      <c r="J1346" s="3" t="s">
        <v>5943</v>
      </c>
      <c r="K1346" s="3"/>
      <c r="L1346" s="3" t="s">
        <v>5944</v>
      </c>
      <c r="M1346" s="3" t="str">
        <f>HYPERLINK("https://ceds.ed.gov/cedselementdetails.aspx?termid=6002")</f>
        <v>https://ceds.ed.gov/cedselementdetails.aspx?termid=6002</v>
      </c>
      <c r="N1346" s="3" t="str">
        <f>HYPERLINK("https://ceds.ed.gov/elementComment.aspx?elementName=Workforce Program Participation End Date &amp;elementID=6002", "Click here to submit comment")</f>
        <v>Click here to submit comment</v>
      </c>
    </row>
    <row r="1347" spans="1:14" ht="180">
      <c r="A1347" s="3" t="s">
        <v>5945</v>
      </c>
      <c r="B1347" s="3" t="s">
        <v>5946</v>
      </c>
      <c r="C1347" s="3" t="s">
        <v>13</v>
      </c>
      <c r="D1347" s="3" t="s">
        <v>5934</v>
      </c>
      <c r="E1347" s="3"/>
      <c r="F1347" s="3" t="s">
        <v>66</v>
      </c>
      <c r="G1347" s="3" t="s">
        <v>73</v>
      </c>
      <c r="H1347" s="3" t="s">
        <v>5947</v>
      </c>
      <c r="I1347" s="3" t="s">
        <v>5942</v>
      </c>
      <c r="J1347" s="3" t="s">
        <v>5948</v>
      </c>
      <c r="K1347" s="3"/>
      <c r="L1347" s="3" t="s">
        <v>5949</v>
      </c>
      <c r="M1347" s="3" t="str">
        <f>HYPERLINK("https://ceds.ed.gov/cedselementdetails.aspx?termid=6001")</f>
        <v>https://ceds.ed.gov/cedselementdetails.aspx?termid=6001</v>
      </c>
      <c r="N1347" s="3" t="str">
        <f>HYPERLINK("https://ceds.ed.gov/elementComment.aspx?elementName=Workforce Program Participation Start Date &amp;elementID=6001", "Click here to submit comment")</f>
        <v>Click here to submit comment</v>
      </c>
    </row>
    <row r="1348" spans="1:14" ht="60">
      <c r="A1348" s="3" t="s">
        <v>5954</v>
      </c>
      <c r="B1348" s="3" t="s">
        <v>5955</v>
      </c>
      <c r="C1348" s="3" t="s">
        <v>13</v>
      </c>
      <c r="D1348" s="3" t="s">
        <v>5956</v>
      </c>
      <c r="E1348" s="3"/>
      <c r="F1348" s="3"/>
      <c r="G1348" s="3" t="s">
        <v>389</v>
      </c>
      <c r="H1348" s="3"/>
      <c r="I1348" s="3"/>
      <c r="J1348" s="3" t="s">
        <v>5957</v>
      </c>
      <c r="K1348" s="3"/>
      <c r="L1348" s="3" t="s">
        <v>5958</v>
      </c>
      <c r="M1348" s="3" t="str">
        <f>HYPERLINK("https://ceds.ed.gov/cedselementdetails.aspx?termid=5774")</f>
        <v>https://ceds.ed.gov/cedselementdetails.aspx?termid=5774</v>
      </c>
      <c r="N1348" s="3" t="str">
        <f>HYPERLINK("https://ceds.ed.gov/elementComment.aspx?elementName=Years of Prior Adult Education Teaching Experience &amp;elementID=5774", "Click here to submit comment")</f>
        <v>Click here to submit comment</v>
      </c>
    </row>
    <row r="1349" spans="1:14" ht="45">
      <c r="A1349" s="3" t="s">
        <v>5959</v>
      </c>
      <c r="B1349" s="3" t="s">
        <v>5960</v>
      </c>
      <c r="C1349" s="3" t="s">
        <v>13</v>
      </c>
      <c r="D1349" s="3" t="s">
        <v>2977</v>
      </c>
      <c r="E1349" s="3" t="s">
        <v>1780</v>
      </c>
      <c r="F1349" s="3"/>
      <c r="G1349" s="3" t="s">
        <v>1461</v>
      </c>
      <c r="H1349" s="3"/>
      <c r="I1349" s="3"/>
      <c r="J1349" s="3" t="s">
        <v>5961</v>
      </c>
      <c r="K1349" s="3"/>
      <c r="L1349" s="3" t="s">
        <v>5962</v>
      </c>
      <c r="M1349" s="3" t="str">
        <f>HYPERLINK("https://ceds.ed.gov/cedselementdetails.aspx?termid=5302")</f>
        <v>https://ceds.ed.gov/cedselementdetails.aspx?termid=5302</v>
      </c>
      <c r="N1349" s="3" t="str">
        <f>HYPERLINK("https://ceds.ed.gov/elementComment.aspx?elementName=Years of Prior Teaching Experience &amp;elementID=5302", "Click here to submit comment")</f>
        <v>Click here to submit comment</v>
      </c>
    </row>
  </sheetData>
  <autoFilter ref="A1:N1349"/>
  <mergeCells count="26">
    <mergeCell ref="A600:A601"/>
    <mergeCell ref="B600:B601"/>
    <mergeCell ref="C600:C601"/>
    <mergeCell ref="D600:D601"/>
    <mergeCell ref="E600:E601"/>
    <mergeCell ref="F860:F861"/>
    <mergeCell ref="G860:G861"/>
    <mergeCell ref="H860:H861"/>
    <mergeCell ref="J860:J861"/>
    <mergeCell ref="G600:G601"/>
    <mergeCell ref="H600:H601"/>
    <mergeCell ref="J600:J601"/>
    <mergeCell ref="F600:F601"/>
    <mergeCell ref="A860:A861"/>
    <mergeCell ref="B860:B861"/>
    <mergeCell ref="C860:C861"/>
    <mergeCell ref="D860:D861"/>
    <mergeCell ref="E860:E861"/>
    <mergeCell ref="K860:K861"/>
    <mergeCell ref="L860:L861"/>
    <mergeCell ref="M860:M861"/>
    <mergeCell ref="N860:N861"/>
    <mergeCell ref="N600:N601"/>
    <mergeCell ref="K600:K601"/>
    <mergeCell ref="L600:L601"/>
    <mergeCell ref="M600:M601"/>
  </mergeCells>
  <hyperlinks>
    <hyperlink ref="C209" r:id="rId1" display="languageCodes.aspx"/>
    <hyperlink ref="C222" r:id="rId2" display="languageCodes.aspx"/>
    <hyperlink ref="C223" r:id="rId3" display="languageCodes.aspx"/>
    <hyperlink ref="C224" r:id="rId4" display="languageCodes.aspx"/>
    <hyperlink ref="C247" r:id="rId5" display="languageCodes.aspx"/>
    <hyperlink ref="C380" r:id="rId6" display="http://nces.ed.gov/ipeds/cipcode/browse.aspx?y=55"/>
    <hyperlink ref="C414" r:id="rId7" display="http://nces.ed.gov/ipeds/cipcode/browse.aspx?y=55"/>
    <hyperlink ref="C740" r:id="rId8" display="languageCodes.aspx"/>
    <hyperlink ref="C765" r:id="rId9" display="languageCodes.aspx"/>
    <hyperlink ref="C766" r:id="rId10" display="languageCodes.aspx"/>
    <hyperlink ref="C782" r:id="rId11" display="languageCodes.aspx"/>
    <hyperlink ref="C819" r:id="rId12" display="languageCodes.aspx"/>
    <hyperlink ref="C843" r:id="rId13" display="languageCodes.aspx"/>
    <hyperlink ref="C870" r:id="rId14" display="languageCodes.aspx"/>
    <hyperlink ref="C1174" r:id="rId15" display="ScedCourseCodes.aspx"/>
  </hyperlinks>
  <pageMargins left="0.75" right="0.75" top="1" bottom="1" header="0.5" footer="0.5"/>
  <pageSetup orientation="portrait" r:id="rId16"/>
</worksheet>
</file>

<file path=xl/worksheets/sheet6.xml><?xml version="1.0" encoding="utf-8"?>
<worksheet xmlns="http://schemas.openxmlformats.org/spreadsheetml/2006/main" xmlns:r="http://schemas.openxmlformats.org/officeDocument/2006/relationships">
  <dimension ref="A1:P2963"/>
  <sheetViews>
    <sheetView workbookViewId="0">
      <pane ySplit="1" topLeftCell="A2" activePane="bottomLeft" state="frozen"/>
      <selection pane="bottomLeft" activeCell="A2" sqref="A2"/>
    </sheetView>
  </sheetViews>
  <sheetFormatPr defaultRowHeight="15"/>
  <cols>
    <col min="1" max="1" width="19" style="12" customWidth="1"/>
    <col min="2" max="2" width="18.5703125" style="12" customWidth="1"/>
    <col min="3" max="3" width="20.42578125" style="12" customWidth="1"/>
    <col min="4" max="4" width="18.140625" style="12" customWidth="1"/>
    <col min="5" max="5" width="36.5703125" style="12" bestFit="1" customWidth="1"/>
    <col min="6" max="6" width="24.28515625" style="12" customWidth="1"/>
    <col min="7" max="7" width="36.5703125" style="12" bestFit="1" customWidth="1"/>
    <col min="8" max="8" width="11.140625" style="12" bestFit="1" customWidth="1"/>
    <col min="9" max="11" width="36.5703125" style="12" bestFit="1" customWidth="1"/>
    <col min="12" max="12" width="9" style="12" bestFit="1" customWidth="1"/>
    <col min="13" max="14" width="36.5703125" style="12" bestFit="1" customWidth="1"/>
    <col min="15" max="15" width="55.5703125" style="12" customWidth="1"/>
    <col min="16" max="16" width="20.28515625" style="12" customWidth="1"/>
    <col min="17" max="16384" width="9.140625" style="12"/>
  </cols>
  <sheetData>
    <row r="1" spans="1:16" customFormat="1" ht="30">
      <c r="A1" s="10" t="s">
        <v>6711</v>
      </c>
      <c r="B1" s="10" t="s">
        <v>6712</v>
      </c>
      <c r="C1" s="10" t="s">
        <v>6713</v>
      </c>
      <c r="D1" s="10" t="s">
        <v>6697</v>
      </c>
      <c r="E1" s="10" t="s">
        <v>6698</v>
      </c>
      <c r="F1" s="10" t="s">
        <v>6699</v>
      </c>
      <c r="G1" s="10" t="s">
        <v>6710</v>
      </c>
      <c r="H1" s="10" t="s">
        <v>6701</v>
      </c>
      <c r="I1" s="10" t="s">
        <v>6702</v>
      </c>
      <c r="J1" s="10" t="s">
        <v>6703</v>
      </c>
      <c r="K1" s="10" t="s">
        <v>6704</v>
      </c>
      <c r="L1" s="11" t="s">
        <v>6705</v>
      </c>
      <c r="M1" s="10" t="s">
        <v>6706</v>
      </c>
      <c r="N1" s="10" t="s">
        <v>6707</v>
      </c>
      <c r="O1" s="10" t="s">
        <v>6708</v>
      </c>
      <c r="P1" s="10" t="s">
        <v>6714</v>
      </c>
    </row>
    <row r="2" spans="1:16" ht="195">
      <c r="A2" s="6" t="s">
        <v>6715</v>
      </c>
      <c r="B2" s="6" t="s">
        <v>6716</v>
      </c>
      <c r="C2" s="6" t="s">
        <v>6717</v>
      </c>
      <c r="D2" s="6" t="s">
        <v>2776</v>
      </c>
      <c r="E2" s="6" t="s">
        <v>2777</v>
      </c>
      <c r="F2" s="6" t="s">
        <v>13</v>
      </c>
      <c r="G2" s="6" t="s">
        <v>6176</v>
      </c>
      <c r="H2" s="6" t="s">
        <v>3</v>
      </c>
      <c r="I2" s="6" t="s">
        <v>1368</v>
      </c>
      <c r="J2" s="6"/>
      <c r="K2" s="6" t="s">
        <v>2778</v>
      </c>
      <c r="L2" s="6" t="s">
        <v>2779</v>
      </c>
      <c r="M2" s="6"/>
      <c r="N2" s="6" t="s">
        <v>2780</v>
      </c>
      <c r="O2" s="6" t="str">
        <f>HYPERLINK("https://ceds.ed.gov/cedselementdetails.aspx?termid=5115")</f>
        <v>https://ceds.ed.gov/cedselementdetails.aspx?termid=5115</v>
      </c>
      <c r="P2" s="6" t="str">
        <f>HYPERLINK("https://ceds.ed.gov/elementComment.aspx?elementName=First Name &amp;elementID=5115", "Click here to submit comment")</f>
        <v>Click here to submit comment</v>
      </c>
    </row>
    <row r="3" spans="1:16" ht="195">
      <c r="A3" s="6" t="s">
        <v>6715</v>
      </c>
      <c r="B3" s="6" t="s">
        <v>6716</v>
      </c>
      <c r="C3" s="6" t="s">
        <v>6717</v>
      </c>
      <c r="D3" s="6" t="s">
        <v>4088</v>
      </c>
      <c r="E3" s="6" t="s">
        <v>4089</v>
      </c>
      <c r="F3" s="6" t="s">
        <v>13</v>
      </c>
      <c r="G3" s="6" t="s">
        <v>6176</v>
      </c>
      <c r="H3" s="6" t="s">
        <v>3</v>
      </c>
      <c r="I3" s="6" t="s">
        <v>1368</v>
      </c>
      <c r="J3" s="6"/>
      <c r="K3" s="6" t="s">
        <v>2778</v>
      </c>
      <c r="L3" s="6" t="s">
        <v>4090</v>
      </c>
      <c r="M3" s="6"/>
      <c r="N3" s="6" t="s">
        <v>4091</v>
      </c>
      <c r="O3" s="6" t="str">
        <f>HYPERLINK("https://ceds.ed.gov/cedselementdetails.aspx?termid=5184")</f>
        <v>https://ceds.ed.gov/cedselementdetails.aspx?termid=5184</v>
      </c>
      <c r="P3" s="6" t="str">
        <f>HYPERLINK("https://ceds.ed.gov/elementComment.aspx?elementName=Middle Name &amp;elementID=5184", "Click here to submit comment")</f>
        <v>Click here to submit comment</v>
      </c>
    </row>
    <row r="4" spans="1:16" ht="195">
      <c r="A4" s="6" t="s">
        <v>6715</v>
      </c>
      <c r="B4" s="6" t="s">
        <v>6716</v>
      </c>
      <c r="C4" s="6" t="s">
        <v>6717</v>
      </c>
      <c r="D4" s="6" t="s">
        <v>3427</v>
      </c>
      <c r="E4" s="6" t="s">
        <v>3428</v>
      </c>
      <c r="F4" s="6" t="s">
        <v>13</v>
      </c>
      <c r="G4" s="6" t="s">
        <v>6176</v>
      </c>
      <c r="H4" s="6" t="s">
        <v>3</v>
      </c>
      <c r="I4" s="6" t="s">
        <v>1368</v>
      </c>
      <c r="J4" s="6"/>
      <c r="K4" s="6" t="s">
        <v>2778</v>
      </c>
      <c r="L4" s="6" t="s">
        <v>3429</v>
      </c>
      <c r="M4" s="6" t="s">
        <v>3430</v>
      </c>
      <c r="N4" s="6" t="s">
        <v>3431</v>
      </c>
      <c r="O4" s="6" t="str">
        <f>HYPERLINK("https://ceds.ed.gov/cedselementdetails.aspx?termid=5172")</f>
        <v>https://ceds.ed.gov/cedselementdetails.aspx?termid=5172</v>
      </c>
      <c r="P4" s="6" t="str">
        <f>HYPERLINK("https://ceds.ed.gov/elementComment.aspx?elementName=Last or Surname &amp;elementID=5172", "Click here to submit comment")</f>
        <v>Click here to submit comment</v>
      </c>
    </row>
    <row r="5" spans="1:16" ht="150">
      <c r="A5" s="6" t="s">
        <v>6715</v>
      </c>
      <c r="B5" s="6" t="s">
        <v>6716</v>
      </c>
      <c r="C5" s="6" t="s">
        <v>6717</v>
      </c>
      <c r="D5" s="6" t="s">
        <v>2829</v>
      </c>
      <c r="E5" s="6" t="s">
        <v>2830</v>
      </c>
      <c r="F5" s="6" t="s">
        <v>13</v>
      </c>
      <c r="G5" s="6" t="s">
        <v>6179</v>
      </c>
      <c r="H5" s="6" t="s">
        <v>3</v>
      </c>
      <c r="I5" s="6" t="s">
        <v>2031</v>
      </c>
      <c r="J5" s="6"/>
      <c r="K5" s="6" t="s">
        <v>2778</v>
      </c>
      <c r="L5" s="6" t="s">
        <v>2831</v>
      </c>
      <c r="M5" s="6"/>
      <c r="N5" s="6" t="s">
        <v>2832</v>
      </c>
      <c r="O5" s="6" t="str">
        <f>HYPERLINK("https://ceds.ed.gov/cedselementdetails.aspx?termid=5121")</f>
        <v>https://ceds.ed.gov/cedselementdetails.aspx?termid=5121</v>
      </c>
      <c r="P5" s="6" t="str">
        <f>HYPERLINK("https://ceds.ed.gov/elementComment.aspx?elementName=Generation Code or Suffix &amp;elementID=5121", "Click here to submit comment")</f>
        <v>Click here to submit comment</v>
      </c>
    </row>
    <row r="6" spans="1:16" ht="90">
      <c r="A6" s="6" t="s">
        <v>6715</v>
      </c>
      <c r="B6" s="6" t="s">
        <v>6716</v>
      </c>
      <c r="C6" s="6" t="s">
        <v>6718</v>
      </c>
      <c r="D6" s="6" t="s">
        <v>4394</v>
      </c>
      <c r="E6" s="6" t="s">
        <v>4395</v>
      </c>
      <c r="F6" s="7" t="s">
        <v>6593</v>
      </c>
      <c r="G6" s="6" t="s">
        <v>6273</v>
      </c>
      <c r="H6" s="6" t="s">
        <v>3</v>
      </c>
      <c r="I6" s="6" t="s">
        <v>100</v>
      </c>
      <c r="J6" s="6"/>
      <c r="K6" s="6"/>
      <c r="L6" s="6" t="s">
        <v>4396</v>
      </c>
      <c r="M6" s="6"/>
      <c r="N6" s="6" t="s">
        <v>4397</v>
      </c>
      <c r="O6" s="6" t="str">
        <f>HYPERLINK("https://ceds.ed.gov/cedselementdetails.aspx?termid=5627")</f>
        <v>https://ceds.ed.gov/cedselementdetails.aspx?termid=5627</v>
      </c>
      <c r="P6" s="6" t="str">
        <f>HYPERLINK("https://ceds.ed.gov/elementComment.aspx?elementName=Other Name Type &amp;elementID=5627", "Click here to submit comment")</f>
        <v>Click here to submit comment</v>
      </c>
    </row>
    <row r="7" spans="1:16" ht="30">
      <c r="A7" s="6" t="s">
        <v>6715</v>
      </c>
      <c r="B7" s="6" t="s">
        <v>6716</v>
      </c>
      <c r="C7" s="6" t="s">
        <v>6718</v>
      </c>
      <c r="D7" s="6" t="s">
        <v>4375</v>
      </c>
      <c r="E7" s="6" t="s">
        <v>4376</v>
      </c>
      <c r="F7" s="6" t="s">
        <v>13</v>
      </c>
      <c r="G7" s="6"/>
      <c r="H7" s="6" t="s">
        <v>54</v>
      </c>
      <c r="I7" s="6" t="s">
        <v>1368</v>
      </c>
      <c r="J7" s="6"/>
      <c r="K7" s="6" t="s">
        <v>4377</v>
      </c>
      <c r="L7" s="6" t="s">
        <v>4378</v>
      </c>
      <c r="M7" s="6"/>
      <c r="N7" s="6" t="s">
        <v>4379</v>
      </c>
      <c r="O7" s="6" t="str">
        <f>HYPERLINK("https://ceds.ed.gov/cedselementdetails.aspx?termid=6486")</f>
        <v>https://ceds.ed.gov/cedselementdetails.aspx?termid=6486</v>
      </c>
      <c r="P7" s="6" t="str">
        <f>HYPERLINK("https://ceds.ed.gov/elementComment.aspx?elementName=Other First Name &amp;elementID=6486", "Click here to submit comment")</f>
        <v>Click here to submit comment</v>
      </c>
    </row>
    <row r="8" spans="1:16" ht="30">
      <c r="A8" s="6" t="s">
        <v>6715</v>
      </c>
      <c r="B8" s="6" t="s">
        <v>6716</v>
      </c>
      <c r="C8" s="6" t="s">
        <v>6718</v>
      </c>
      <c r="D8" s="6" t="s">
        <v>4380</v>
      </c>
      <c r="E8" s="6" t="s">
        <v>4381</v>
      </c>
      <c r="F8" s="6" t="s">
        <v>13</v>
      </c>
      <c r="G8" s="6"/>
      <c r="H8" s="6" t="s">
        <v>54</v>
      </c>
      <c r="I8" s="6" t="s">
        <v>1368</v>
      </c>
      <c r="J8" s="6"/>
      <c r="K8" s="6" t="s">
        <v>4382</v>
      </c>
      <c r="L8" s="6" t="s">
        <v>4383</v>
      </c>
      <c r="M8" s="6"/>
      <c r="N8" s="6" t="s">
        <v>4384</v>
      </c>
      <c r="O8" s="6" t="str">
        <f>HYPERLINK("https://ceds.ed.gov/cedselementdetails.aspx?termid=6485")</f>
        <v>https://ceds.ed.gov/cedselementdetails.aspx?termid=6485</v>
      </c>
      <c r="P8" s="6" t="str">
        <f>HYPERLINK("https://ceds.ed.gov/elementComment.aspx?elementName=Other Last Name &amp;elementID=6485", "Click here to submit comment")</f>
        <v>Click here to submit comment</v>
      </c>
    </row>
    <row r="9" spans="1:16" ht="30">
      <c r="A9" s="6" t="s">
        <v>6715</v>
      </c>
      <c r="B9" s="6" t="s">
        <v>6716</v>
      </c>
      <c r="C9" s="6" t="s">
        <v>6718</v>
      </c>
      <c r="D9" s="6" t="s">
        <v>4385</v>
      </c>
      <c r="E9" s="6" t="s">
        <v>4386</v>
      </c>
      <c r="F9" s="6" t="s">
        <v>13</v>
      </c>
      <c r="G9" s="6"/>
      <c r="H9" s="6" t="s">
        <v>54</v>
      </c>
      <c r="I9" s="6" t="s">
        <v>1368</v>
      </c>
      <c r="J9" s="6"/>
      <c r="K9" s="6" t="s">
        <v>4387</v>
      </c>
      <c r="L9" s="6" t="s">
        <v>4388</v>
      </c>
      <c r="M9" s="6"/>
      <c r="N9" s="6" t="s">
        <v>4389</v>
      </c>
      <c r="O9" s="6" t="str">
        <f>HYPERLINK("https://ceds.ed.gov/cedselementdetails.aspx?termid=6487")</f>
        <v>https://ceds.ed.gov/cedselementdetails.aspx?termid=6487</v>
      </c>
      <c r="P9" s="6" t="str">
        <f>HYPERLINK("https://ceds.ed.gov/elementComment.aspx?elementName=Other Middle Name &amp;elementID=6487", "Click here to submit comment")</f>
        <v>Click here to submit comment</v>
      </c>
    </row>
    <row r="10" spans="1:16" ht="150">
      <c r="A10" s="6" t="s">
        <v>6715</v>
      </c>
      <c r="B10" s="6" t="s">
        <v>6716</v>
      </c>
      <c r="C10" s="6" t="s">
        <v>6718</v>
      </c>
      <c r="D10" s="6" t="s">
        <v>4390</v>
      </c>
      <c r="E10" s="6" t="s">
        <v>4391</v>
      </c>
      <c r="F10" s="6" t="s">
        <v>13</v>
      </c>
      <c r="G10" s="6" t="s">
        <v>6179</v>
      </c>
      <c r="H10" s="6" t="s">
        <v>3</v>
      </c>
      <c r="I10" s="6" t="s">
        <v>149</v>
      </c>
      <c r="J10" s="6"/>
      <c r="K10" s="6"/>
      <c r="L10" s="6" t="s">
        <v>4392</v>
      </c>
      <c r="M10" s="6"/>
      <c r="N10" s="6" t="s">
        <v>4393</v>
      </c>
      <c r="O10" s="6" t="str">
        <f>HYPERLINK("https://ceds.ed.gov/cedselementdetails.aspx?termid=5206")</f>
        <v>https://ceds.ed.gov/cedselementdetails.aspx?termid=5206</v>
      </c>
      <c r="P10" s="6" t="str">
        <f>HYPERLINK("https://ceds.ed.gov/elementComment.aspx?elementName=Other Name &amp;elementID=5206", "Click here to submit comment")</f>
        <v>Click here to submit comment</v>
      </c>
    </row>
    <row r="11" spans="1:16" ht="60">
      <c r="A11" s="6" t="s">
        <v>6715</v>
      </c>
      <c r="B11" s="6" t="s">
        <v>6716</v>
      </c>
      <c r="C11" s="6" t="s">
        <v>6719</v>
      </c>
      <c r="D11" s="6" t="s">
        <v>1638</v>
      </c>
      <c r="E11" s="6" t="s">
        <v>1639</v>
      </c>
      <c r="F11" s="6" t="s">
        <v>13</v>
      </c>
      <c r="G11" s="6" t="s">
        <v>6095</v>
      </c>
      <c r="H11" s="6"/>
      <c r="I11" s="6" t="s">
        <v>100</v>
      </c>
      <c r="J11" s="6"/>
      <c r="K11" s="6"/>
      <c r="L11" s="6" t="s">
        <v>1640</v>
      </c>
      <c r="M11" s="6"/>
      <c r="N11" s="6" t="s">
        <v>1641</v>
      </c>
      <c r="O11" s="6" t="str">
        <f>HYPERLINK("https://ceds.ed.gov/cedselementdetails.aspx?termid=5781")</f>
        <v>https://ceds.ed.gov/cedselementdetails.aspx?termid=5781</v>
      </c>
      <c r="P11" s="6" t="str">
        <f>HYPERLINK("https://ceds.ed.gov/elementComment.aspx?elementName=Child Identifier &amp;elementID=5781", "Click here to submit comment")</f>
        <v>Click here to submit comment</v>
      </c>
    </row>
    <row r="12" spans="1:16" ht="315">
      <c r="A12" s="6" t="s">
        <v>6715</v>
      </c>
      <c r="B12" s="6" t="s">
        <v>6716</v>
      </c>
      <c r="C12" s="6" t="s">
        <v>6719</v>
      </c>
      <c r="D12" s="6" t="s">
        <v>1633</v>
      </c>
      <c r="E12" s="6" t="s">
        <v>1634</v>
      </c>
      <c r="F12" s="7" t="s">
        <v>6422</v>
      </c>
      <c r="G12" s="6" t="s">
        <v>6095</v>
      </c>
      <c r="H12" s="6"/>
      <c r="I12" s="6"/>
      <c r="J12" s="6"/>
      <c r="K12" s="6"/>
      <c r="L12" s="6" t="s">
        <v>1636</v>
      </c>
      <c r="M12" s="6"/>
      <c r="N12" s="6" t="s">
        <v>1637</v>
      </c>
      <c r="O12" s="6" t="str">
        <f>HYPERLINK("https://ceds.ed.gov/cedselementdetails.aspx?termid=5782")</f>
        <v>https://ceds.ed.gov/cedselementdetails.aspx?termid=5782</v>
      </c>
      <c r="P12" s="6" t="str">
        <f>HYPERLINK("https://ceds.ed.gov/elementComment.aspx?elementName=Child Identification System &amp;elementID=5782", "Click here to submit comment")</f>
        <v>Click here to submit comment</v>
      </c>
    </row>
    <row r="13" spans="1:16" ht="390">
      <c r="A13" s="6" t="s">
        <v>6715</v>
      </c>
      <c r="B13" s="6" t="s">
        <v>6716</v>
      </c>
      <c r="C13" s="6" t="s">
        <v>6719</v>
      </c>
      <c r="D13" s="6" t="s">
        <v>5383</v>
      </c>
      <c r="E13" s="6" t="s">
        <v>5384</v>
      </c>
      <c r="F13" s="6" t="s">
        <v>13</v>
      </c>
      <c r="G13" s="6" t="s">
        <v>6315</v>
      </c>
      <c r="H13" s="6" t="s">
        <v>3</v>
      </c>
      <c r="I13" s="6" t="s">
        <v>5385</v>
      </c>
      <c r="J13" s="6"/>
      <c r="K13" s="6" t="s">
        <v>5386</v>
      </c>
      <c r="L13" s="6" t="s">
        <v>5387</v>
      </c>
      <c r="M13" s="6" t="s">
        <v>5388</v>
      </c>
      <c r="N13" s="6" t="s">
        <v>5389</v>
      </c>
      <c r="O13" s="6" t="str">
        <f>HYPERLINK("https://ceds.ed.gov/cedselementdetails.aspx?termid=5259")</f>
        <v>https://ceds.ed.gov/cedselementdetails.aspx?termid=5259</v>
      </c>
      <c r="P13" s="6" t="str">
        <f>HYPERLINK("https://ceds.ed.gov/elementComment.aspx?elementName=Social Security Number &amp;elementID=5259", "Click here to submit comment")</f>
        <v>Click here to submit comment</v>
      </c>
    </row>
    <row r="14" spans="1:16" ht="375">
      <c r="A14" s="6" t="s">
        <v>6715</v>
      </c>
      <c r="B14" s="6" t="s">
        <v>6716</v>
      </c>
      <c r="C14" s="6" t="s">
        <v>6719</v>
      </c>
      <c r="D14" s="6" t="s">
        <v>4494</v>
      </c>
      <c r="E14" s="6" t="s">
        <v>4495</v>
      </c>
      <c r="F14" s="7" t="s">
        <v>6599</v>
      </c>
      <c r="G14" s="6"/>
      <c r="H14" s="6" t="s">
        <v>3</v>
      </c>
      <c r="I14" s="6"/>
      <c r="J14" s="6"/>
      <c r="K14" s="6"/>
      <c r="L14" s="6" t="s">
        <v>4496</v>
      </c>
      <c r="M14" s="6"/>
      <c r="N14" s="6" t="s">
        <v>4497</v>
      </c>
      <c r="O14" s="6" t="str">
        <f>HYPERLINK("https://ceds.ed.gov/cedselementdetails.aspx?termid=5611")</f>
        <v>https://ceds.ed.gov/cedselementdetails.aspx?termid=5611</v>
      </c>
      <c r="P14" s="6" t="str">
        <f>HYPERLINK("https://ceds.ed.gov/elementComment.aspx?elementName=Personal Information Verification &amp;elementID=5611", "Click here to submit comment")</f>
        <v>Click here to submit comment</v>
      </c>
    </row>
    <row r="15" spans="1:16" ht="285">
      <c r="A15" s="6" t="s">
        <v>6715</v>
      </c>
      <c r="B15" s="6" t="s">
        <v>6716</v>
      </c>
      <c r="C15" s="6" t="s">
        <v>6720</v>
      </c>
      <c r="D15" s="6" t="s">
        <v>191</v>
      </c>
      <c r="E15" s="6" t="s">
        <v>192</v>
      </c>
      <c r="F15" s="7" t="s">
        <v>6353</v>
      </c>
      <c r="G15" s="6" t="s">
        <v>5976</v>
      </c>
      <c r="H15" s="6" t="s">
        <v>66</v>
      </c>
      <c r="I15" s="6" t="s">
        <v>100</v>
      </c>
      <c r="J15" s="6" t="s">
        <v>193</v>
      </c>
      <c r="K15" s="6"/>
      <c r="L15" s="6" t="s">
        <v>194</v>
      </c>
      <c r="M15" s="6"/>
      <c r="N15" s="6" t="s">
        <v>195</v>
      </c>
      <c r="O15" s="6" t="str">
        <f>HYPERLINK("https://ceds.ed.gov/cedselementdetails.aspx?termid=5358")</f>
        <v>https://ceds.ed.gov/cedselementdetails.aspx?termid=5358</v>
      </c>
      <c r="P15" s="6" t="str">
        <f>HYPERLINK("https://ceds.ed.gov/elementComment.aspx?elementName=Address Type for Learner or Family &amp;elementID=5358", "Click here to submit comment")</f>
        <v>Click here to submit comment</v>
      </c>
    </row>
    <row r="16" spans="1:16" ht="225">
      <c r="A16" s="6" t="s">
        <v>6715</v>
      </c>
      <c r="B16" s="6" t="s">
        <v>6716</v>
      </c>
      <c r="C16" s="6" t="s">
        <v>6720</v>
      </c>
      <c r="D16" s="6" t="s">
        <v>187</v>
      </c>
      <c r="E16" s="6" t="s">
        <v>188</v>
      </c>
      <c r="F16" s="6" t="s">
        <v>13</v>
      </c>
      <c r="G16" s="6" t="s">
        <v>5973</v>
      </c>
      <c r="H16" s="6" t="s">
        <v>3</v>
      </c>
      <c r="I16" s="6" t="s">
        <v>149</v>
      </c>
      <c r="J16" s="6"/>
      <c r="K16" s="6"/>
      <c r="L16" s="6" t="s">
        <v>189</v>
      </c>
      <c r="M16" s="6"/>
      <c r="N16" s="6" t="s">
        <v>190</v>
      </c>
      <c r="O16" s="6" t="str">
        <f>HYPERLINK("https://ceds.ed.gov/cedselementdetails.aspx?termid=5269")</f>
        <v>https://ceds.ed.gov/cedselementdetails.aspx?termid=5269</v>
      </c>
      <c r="P16" s="6" t="str">
        <f>HYPERLINK("https://ceds.ed.gov/elementComment.aspx?elementName=Address Street Number and Name &amp;elementID=5269", "Click here to submit comment")</f>
        <v>Click here to submit comment</v>
      </c>
    </row>
    <row r="17" spans="1:16" ht="225">
      <c r="A17" s="6" t="s">
        <v>6715</v>
      </c>
      <c r="B17" s="6" t="s">
        <v>6716</v>
      </c>
      <c r="C17" s="6" t="s">
        <v>6720</v>
      </c>
      <c r="D17" s="6" t="s">
        <v>170</v>
      </c>
      <c r="E17" s="6" t="s">
        <v>171</v>
      </c>
      <c r="F17" s="6" t="s">
        <v>13</v>
      </c>
      <c r="G17" s="6" t="s">
        <v>5973</v>
      </c>
      <c r="H17" s="6" t="s">
        <v>3</v>
      </c>
      <c r="I17" s="6" t="s">
        <v>100</v>
      </c>
      <c r="J17" s="6"/>
      <c r="K17" s="6"/>
      <c r="L17" s="6" t="s">
        <v>172</v>
      </c>
      <c r="M17" s="6"/>
      <c r="N17" s="6" t="s">
        <v>173</v>
      </c>
      <c r="O17" s="6" t="str">
        <f>HYPERLINK("https://ceds.ed.gov/cedselementdetails.aspx?termid=5019")</f>
        <v>https://ceds.ed.gov/cedselementdetails.aspx?termid=5019</v>
      </c>
      <c r="P17" s="6" t="str">
        <f>HYPERLINK("https://ceds.ed.gov/elementComment.aspx?elementName=Address Apartment Room or Suite Number &amp;elementID=5019", "Click here to submit comment")</f>
        <v>Click here to submit comment</v>
      </c>
    </row>
    <row r="18" spans="1:16" ht="225">
      <c r="A18" s="6" t="s">
        <v>6715</v>
      </c>
      <c r="B18" s="6" t="s">
        <v>6716</v>
      </c>
      <c r="C18" s="6" t="s">
        <v>6720</v>
      </c>
      <c r="D18" s="6" t="s">
        <v>174</v>
      </c>
      <c r="E18" s="6" t="s">
        <v>175</v>
      </c>
      <c r="F18" s="6" t="s">
        <v>13</v>
      </c>
      <c r="G18" s="6" t="s">
        <v>5973</v>
      </c>
      <c r="H18" s="6" t="s">
        <v>3</v>
      </c>
      <c r="I18" s="6" t="s">
        <v>100</v>
      </c>
      <c r="J18" s="6"/>
      <c r="K18" s="6"/>
      <c r="L18" s="6" t="s">
        <v>176</v>
      </c>
      <c r="M18" s="6"/>
      <c r="N18" s="6" t="s">
        <v>177</v>
      </c>
      <c r="O18" s="6" t="str">
        <f>HYPERLINK("https://ceds.ed.gov/cedselementdetails.aspx?termid=5040")</f>
        <v>https://ceds.ed.gov/cedselementdetails.aspx?termid=5040</v>
      </c>
      <c r="P18" s="6" t="str">
        <f>HYPERLINK("https://ceds.ed.gov/elementComment.aspx?elementName=Address City &amp;elementID=5040", "Click here to submit comment")</f>
        <v>Click here to submit comment</v>
      </c>
    </row>
    <row r="19" spans="1:16" ht="409.5">
      <c r="A19" s="6" t="s">
        <v>6715</v>
      </c>
      <c r="B19" s="6" t="s">
        <v>6716</v>
      </c>
      <c r="C19" s="6" t="s">
        <v>6720</v>
      </c>
      <c r="D19" s="6" t="s">
        <v>5533</v>
      </c>
      <c r="E19" s="6" t="s">
        <v>5534</v>
      </c>
      <c r="F19" s="7" t="s">
        <v>6633</v>
      </c>
      <c r="G19" s="6" t="s">
        <v>6324</v>
      </c>
      <c r="H19" s="6" t="s">
        <v>3</v>
      </c>
      <c r="I19" s="6"/>
      <c r="J19" s="6"/>
      <c r="K19" s="6"/>
      <c r="L19" s="6" t="s">
        <v>5535</v>
      </c>
      <c r="M19" s="6"/>
      <c r="N19" s="6" t="s">
        <v>5536</v>
      </c>
      <c r="O19" s="6" t="str">
        <f>HYPERLINK("https://ceds.ed.gov/cedselementdetails.aspx?termid=5267")</f>
        <v>https://ceds.ed.gov/cedselementdetails.aspx?termid=5267</v>
      </c>
      <c r="P19" s="6" t="str">
        <f>HYPERLINK("https://ceds.ed.gov/elementComment.aspx?elementName=State Abbreviation &amp;elementID=5267", "Click here to submit comment")</f>
        <v>Click here to submit comment</v>
      </c>
    </row>
    <row r="20" spans="1:16" ht="225">
      <c r="A20" s="6" t="s">
        <v>6715</v>
      </c>
      <c r="B20" s="6" t="s">
        <v>6716</v>
      </c>
      <c r="C20" s="6" t="s">
        <v>6720</v>
      </c>
      <c r="D20" s="6" t="s">
        <v>182</v>
      </c>
      <c r="E20" s="6" t="s">
        <v>183</v>
      </c>
      <c r="F20" s="6" t="s">
        <v>13</v>
      </c>
      <c r="G20" s="6" t="s">
        <v>5973</v>
      </c>
      <c r="H20" s="6" t="s">
        <v>3</v>
      </c>
      <c r="I20" s="6" t="s">
        <v>184</v>
      </c>
      <c r="J20" s="6"/>
      <c r="K20" s="6"/>
      <c r="L20" s="6" t="s">
        <v>185</v>
      </c>
      <c r="M20" s="6"/>
      <c r="N20" s="6" t="s">
        <v>186</v>
      </c>
      <c r="O20" s="6" t="str">
        <f>HYPERLINK("https://ceds.ed.gov/cedselementdetails.aspx?termid=5214")</f>
        <v>https://ceds.ed.gov/cedselementdetails.aspx?termid=5214</v>
      </c>
      <c r="P20" s="6" t="str">
        <f>HYPERLINK("https://ceds.ed.gov/elementComment.aspx?elementName=Address Postal Code &amp;elementID=5214", "Click here to submit comment")</f>
        <v>Click here to submit comment</v>
      </c>
    </row>
    <row r="21" spans="1:16" ht="225">
      <c r="A21" s="6" t="s">
        <v>6715</v>
      </c>
      <c r="B21" s="6" t="s">
        <v>6716</v>
      </c>
      <c r="C21" s="6" t="s">
        <v>6720</v>
      </c>
      <c r="D21" s="6" t="s">
        <v>178</v>
      </c>
      <c r="E21" s="6" t="s">
        <v>179</v>
      </c>
      <c r="F21" s="6" t="s">
        <v>13</v>
      </c>
      <c r="G21" s="6" t="s">
        <v>5973</v>
      </c>
      <c r="H21" s="6" t="s">
        <v>3</v>
      </c>
      <c r="I21" s="6" t="s">
        <v>100</v>
      </c>
      <c r="J21" s="6"/>
      <c r="K21" s="6"/>
      <c r="L21" s="6" t="s">
        <v>180</v>
      </c>
      <c r="M21" s="6"/>
      <c r="N21" s="6" t="s">
        <v>181</v>
      </c>
      <c r="O21" s="6" t="str">
        <f>HYPERLINK("https://ceds.ed.gov/cedselementdetails.aspx?termid=5190")</f>
        <v>https://ceds.ed.gov/cedselementdetails.aspx?termid=5190</v>
      </c>
      <c r="P21" s="6" t="str">
        <f>HYPERLINK("https://ceds.ed.gov/elementComment.aspx?elementName=Address County Name &amp;elementID=5190", "Click here to submit comment")</f>
        <v>Click here to submit comment</v>
      </c>
    </row>
    <row r="22" spans="1:16" ht="409.5">
      <c r="A22" s="6" t="s">
        <v>6715</v>
      </c>
      <c r="B22" s="6" t="s">
        <v>6716</v>
      </c>
      <c r="C22" s="6" t="s">
        <v>6720</v>
      </c>
      <c r="D22" s="6" t="s">
        <v>1809</v>
      </c>
      <c r="E22" s="6" t="s">
        <v>1810</v>
      </c>
      <c r="F22" s="7" t="s">
        <v>6433</v>
      </c>
      <c r="G22" s="6" t="s">
        <v>6107</v>
      </c>
      <c r="H22" s="6" t="s">
        <v>3</v>
      </c>
      <c r="I22" s="6"/>
      <c r="J22" s="6"/>
      <c r="K22" s="6"/>
      <c r="L22" s="6" t="s">
        <v>1811</v>
      </c>
      <c r="M22" s="6"/>
      <c r="N22" s="6" t="s">
        <v>1812</v>
      </c>
      <c r="O22" s="6" t="str">
        <f>HYPERLINK("https://ceds.ed.gov/cedselementdetails.aspx?termid=5050")</f>
        <v>https://ceds.ed.gov/cedselementdetails.aspx?termid=5050</v>
      </c>
      <c r="P22" s="6" t="str">
        <f>HYPERLINK("https://ceds.ed.gov/elementComment.aspx?elementName=Country Code &amp;elementID=5050", "Click here to submit comment")</f>
        <v>Click here to submit comment</v>
      </c>
    </row>
    <row r="23" spans="1:16" ht="135">
      <c r="A23" s="6" t="s">
        <v>6715</v>
      </c>
      <c r="B23" s="6" t="s">
        <v>6716</v>
      </c>
      <c r="C23" s="6" t="s">
        <v>6721</v>
      </c>
      <c r="D23" s="6" t="s">
        <v>5732</v>
      </c>
      <c r="E23" s="6" t="s">
        <v>5733</v>
      </c>
      <c r="F23" s="7" t="s">
        <v>6675</v>
      </c>
      <c r="G23" s="6" t="s">
        <v>5968</v>
      </c>
      <c r="H23" s="6" t="s">
        <v>3</v>
      </c>
      <c r="I23" s="6" t="s">
        <v>2844</v>
      </c>
      <c r="J23" s="6"/>
      <c r="K23" s="6"/>
      <c r="L23" s="6" t="s">
        <v>5734</v>
      </c>
      <c r="M23" s="6"/>
      <c r="N23" s="6" t="s">
        <v>5735</v>
      </c>
      <c r="O23" s="6" t="str">
        <f>HYPERLINK("https://ceds.ed.gov/cedselementdetails.aspx?termid=5280")</f>
        <v>https://ceds.ed.gov/cedselementdetails.aspx?termid=5280</v>
      </c>
      <c r="P23" s="6" t="str">
        <f>HYPERLINK("https://ceds.ed.gov/elementComment.aspx?elementName=Telephone Number Type &amp;elementID=5280", "Click here to submit comment")</f>
        <v>Click here to submit comment</v>
      </c>
    </row>
    <row r="24" spans="1:16" ht="90">
      <c r="A24" s="6" t="s">
        <v>6715</v>
      </c>
      <c r="B24" s="6" t="s">
        <v>6716</v>
      </c>
      <c r="C24" s="6" t="s">
        <v>6721</v>
      </c>
      <c r="D24" s="6" t="s">
        <v>4591</v>
      </c>
      <c r="E24" s="6" t="s">
        <v>4592</v>
      </c>
      <c r="F24" s="6" t="s">
        <v>5963</v>
      </c>
      <c r="G24" s="6" t="s">
        <v>5968</v>
      </c>
      <c r="H24" s="6" t="s">
        <v>3</v>
      </c>
      <c r="I24" s="6"/>
      <c r="J24" s="6"/>
      <c r="K24" s="6"/>
      <c r="L24" s="6" t="s">
        <v>4593</v>
      </c>
      <c r="M24" s="6"/>
      <c r="N24" s="6" t="s">
        <v>4594</v>
      </c>
      <c r="O24" s="6" t="str">
        <f>HYPERLINK("https://ceds.ed.gov/cedselementdetails.aspx?termid=5219")</f>
        <v>https://ceds.ed.gov/cedselementdetails.aspx?termid=5219</v>
      </c>
      <c r="P24" s="6" t="str">
        <f>HYPERLINK("https://ceds.ed.gov/elementComment.aspx?elementName=Primary Telephone Number Indicator &amp;elementID=5219", "Click here to submit comment")</f>
        <v>Click here to submit comment</v>
      </c>
    </row>
    <row r="25" spans="1:16" ht="90">
      <c r="A25" s="6" t="s">
        <v>6715</v>
      </c>
      <c r="B25" s="6" t="s">
        <v>6716</v>
      </c>
      <c r="C25" s="6" t="s">
        <v>6721</v>
      </c>
      <c r="D25" s="6" t="s">
        <v>5727</v>
      </c>
      <c r="E25" s="6" t="s">
        <v>5728</v>
      </c>
      <c r="F25" s="6" t="s">
        <v>13</v>
      </c>
      <c r="G25" s="6" t="s">
        <v>5968</v>
      </c>
      <c r="H25" s="6" t="s">
        <v>3</v>
      </c>
      <c r="I25" s="6" t="s">
        <v>5729</v>
      </c>
      <c r="J25" s="6"/>
      <c r="K25" s="6"/>
      <c r="L25" s="6" t="s">
        <v>5730</v>
      </c>
      <c r="M25" s="6"/>
      <c r="N25" s="6" t="s">
        <v>5731</v>
      </c>
      <c r="O25" s="6" t="str">
        <f>HYPERLINK("https://ceds.ed.gov/cedselementdetails.aspx?termid=5279")</f>
        <v>https://ceds.ed.gov/cedselementdetails.aspx?termid=5279</v>
      </c>
      <c r="P25" s="6" t="str">
        <f>HYPERLINK("https://ceds.ed.gov/elementComment.aspx?elementName=Telephone Number &amp;elementID=5279", "Click here to submit comment")</f>
        <v>Click here to submit comment</v>
      </c>
    </row>
    <row r="26" spans="1:16" ht="240">
      <c r="A26" s="6" t="s">
        <v>6715</v>
      </c>
      <c r="B26" s="6" t="s">
        <v>6716</v>
      </c>
      <c r="C26" s="6" t="s">
        <v>6722</v>
      </c>
      <c r="D26" s="6" t="s">
        <v>1474</v>
      </c>
      <c r="E26" s="6" t="s">
        <v>1475</v>
      </c>
      <c r="F26" s="6" t="s">
        <v>13</v>
      </c>
      <c r="G26" s="6" t="s">
        <v>6080</v>
      </c>
      <c r="H26" s="6" t="s">
        <v>3</v>
      </c>
      <c r="I26" s="6" t="s">
        <v>73</v>
      </c>
      <c r="J26" s="6"/>
      <c r="K26" s="6"/>
      <c r="L26" s="6" t="s">
        <v>1476</v>
      </c>
      <c r="M26" s="6"/>
      <c r="N26" s="6" t="s">
        <v>1474</v>
      </c>
      <c r="O26" s="6" t="str">
        <f>HYPERLINK("https://ceds.ed.gov/cedselementdetails.aspx?termid=5033")</f>
        <v>https://ceds.ed.gov/cedselementdetails.aspx?termid=5033</v>
      </c>
      <c r="P26" s="6" t="str">
        <f>HYPERLINK("https://ceds.ed.gov/elementComment.aspx?elementName=Birthdate &amp;elementID=5033", "Click here to submit comment")</f>
        <v>Click here to submit comment</v>
      </c>
    </row>
    <row r="27" spans="1:16" ht="255">
      <c r="A27" s="6" t="s">
        <v>6715</v>
      </c>
      <c r="B27" s="6" t="s">
        <v>6716</v>
      </c>
      <c r="C27" s="6" t="s">
        <v>6722</v>
      </c>
      <c r="D27" s="6" t="s">
        <v>5353</v>
      </c>
      <c r="E27" s="6" t="s">
        <v>5354</v>
      </c>
      <c r="F27" s="7" t="s">
        <v>6656</v>
      </c>
      <c r="G27" s="6" t="s">
        <v>6312</v>
      </c>
      <c r="H27" s="6" t="s">
        <v>3</v>
      </c>
      <c r="I27" s="6"/>
      <c r="J27" s="6"/>
      <c r="K27" s="6" t="s">
        <v>5355</v>
      </c>
      <c r="L27" s="6" t="s">
        <v>5356</v>
      </c>
      <c r="M27" s="6"/>
      <c r="N27" s="6" t="s">
        <v>5353</v>
      </c>
      <c r="O27" s="6" t="str">
        <f>HYPERLINK("https://ceds.ed.gov/cedselementdetails.aspx?termid=5255")</f>
        <v>https://ceds.ed.gov/cedselementdetails.aspx?termid=5255</v>
      </c>
      <c r="P27" s="6" t="str">
        <f>HYPERLINK("https://ceds.ed.gov/elementComment.aspx?elementName=Sex &amp;elementID=5255", "Click here to submit comment")</f>
        <v>Click here to submit comment</v>
      </c>
    </row>
    <row r="28" spans="1:16" ht="225">
      <c r="A28" s="6" t="s">
        <v>6715</v>
      </c>
      <c r="B28" s="6" t="s">
        <v>6716</v>
      </c>
      <c r="C28" s="6" t="s">
        <v>6722</v>
      </c>
      <c r="D28" s="6" t="s">
        <v>351</v>
      </c>
      <c r="E28" s="6" t="s">
        <v>352</v>
      </c>
      <c r="F28" s="7" t="s">
        <v>6373</v>
      </c>
      <c r="G28" s="6" t="s">
        <v>5986</v>
      </c>
      <c r="H28" s="6"/>
      <c r="I28" s="6"/>
      <c r="J28" s="6"/>
      <c r="K28" s="6" t="s">
        <v>353</v>
      </c>
      <c r="L28" s="6" t="s">
        <v>354</v>
      </c>
      <c r="M28" s="6"/>
      <c r="N28" s="6" t="s">
        <v>355</v>
      </c>
      <c r="O28" s="6" t="str">
        <f>HYPERLINK("https://ceds.ed.gov/cedselementdetails.aspx?termid=5655")</f>
        <v>https://ceds.ed.gov/cedselementdetails.aspx?termid=5655</v>
      </c>
      <c r="P28" s="6" t="str">
        <f>HYPERLINK("https://ceds.ed.gov/elementComment.aspx?elementName=American Indian or Alaska Native &amp;elementID=5655", "Click here to submit comment")</f>
        <v>Click here to submit comment</v>
      </c>
    </row>
    <row r="29" spans="1:16" ht="225">
      <c r="A29" s="6" t="s">
        <v>6715</v>
      </c>
      <c r="B29" s="6" t="s">
        <v>6716</v>
      </c>
      <c r="C29" s="6" t="s">
        <v>6722</v>
      </c>
      <c r="D29" s="6" t="s">
        <v>392</v>
      </c>
      <c r="E29" s="6" t="s">
        <v>393</v>
      </c>
      <c r="F29" s="7" t="s">
        <v>6373</v>
      </c>
      <c r="G29" s="6" t="s">
        <v>5986</v>
      </c>
      <c r="H29" s="6"/>
      <c r="I29" s="6"/>
      <c r="J29" s="6"/>
      <c r="K29" s="6" t="s">
        <v>353</v>
      </c>
      <c r="L29" s="6" t="s">
        <v>394</v>
      </c>
      <c r="M29" s="6"/>
      <c r="N29" s="6" t="s">
        <v>392</v>
      </c>
      <c r="O29" s="6" t="str">
        <f>HYPERLINK("https://ceds.ed.gov/cedselementdetails.aspx?termid=5656")</f>
        <v>https://ceds.ed.gov/cedselementdetails.aspx?termid=5656</v>
      </c>
      <c r="P29" s="6" t="str">
        <f>HYPERLINK("https://ceds.ed.gov/elementComment.aspx?elementName=Asian &amp;elementID=5656", "Click here to submit comment")</f>
        <v>Click here to submit comment</v>
      </c>
    </row>
    <row r="30" spans="1:16" ht="225">
      <c r="A30" s="6" t="s">
        <v>6715</v>
      </c>
      <c r="B30" s="6" t="s">
        <v>6716</v>
      </c>
      <c r="C30" s="6" t="s">
        <v>6722</v>
      </c>
      <c r="D30" s="6" t="s">
        <v>1483</v>
      </c>
      <c r="E30" s="6" t="s">
        <v>1484</v>
      </c>
      <c r="F30" s="7" t="s">
        <v>6373</v>
      </c>
      <c r="G30" s="6" t="s">
        <v>5986</v>
      </c>
      <c r="H30" s="6"/>
      <c r="I30" s="6"/>
      <c r="J30" s="6"/>
      <c r="K30" s="6" t="s">
        <v>353</v>
      </c>
      <c r="L30" s="6" t="s">
        <v>1485</v>
      </c>
      <c r="M30" s="6"/>
      <c r="N30" s="6" t="s">
        <v>1486</v>
      </c>
      <c r="O30" s="6" t="str">
        <f>HYPERLINK("https://ceds.ed.gov/cedselementdetails.aspx?termid=5657")</f>
        <v>https://ceds.ed.gov/cedselementdetails.aspx?termid=5657</v>
      </c>
      <c r="P30" s="6" t="str">
        <f>HYPERLINK("https://ceds.ed.gov/elementComment.aspx?elementName=Black or African American &amp;elementID=5657", "Click here to submit comment")</f>
        <v>Click here to submit comment</v>
      </c>
    </row>
    <row r="31" spans="1:16" ht="225">
      <c r="A31" s="6" t="s">
        <v>6715</v>
      </c>
      <c r="B31" s="6" t="s">
        <v>6716</v>
      </c>
      <c r="C31" s="6" t="s">
        <v>6722</v>
      </c>
      <c r="D31" s="6" t="s">
        <v>4202</v>
      </c>
      <c r="E31" s="6" t="s">
        <v>4203</v>
      </c>
      <c r="F31" s="7" t="s">
        <v>6373</v>
      </c>
      <c r="G31" s="6" t="s">
        <v>5986</v>
      </c>
      <c r="H31" s="6"/>
      <c r="I31" s="6"/>
      <c r="J31" s="6"/>
      <c r="K31" s="6" t="s">
        <v>353</v>
      </c>
      <c r="L31" s="6" t="s">
        <v>4204</v>
      </c>
      <c r="M31" s="6"/>
      <c r="N31" s="6" t="s">
        <v>4205</v>
      </c>
      <c r="O31" s="6" t="str">
        <f>HYPERLINK("https://ceds.ed.gov/cedselementdetails.aspx?termid=5658")</f>
        <v>https://ceds.ed.gov/cedselementdetails.aspx?termid=5658</v>
      </c>
      <c r="P31" s="6" t="str">
        <f>HYPERLINK("https://ceds.ed.gov/elementComment.aspx?elementName=Native Hawaiian or Other Pacific Islander &amp;elementID=5658", "Click here to submit comment")</f>
        <v>Click here to submit comment</v>
      </c>
    </row>
    <row r="32" spans="1:16" ht="225">
      <c r="A32" s="6" t="s">
        <v>6715</v>
      </c>
      <c r="B32" s="6" t="s">
        <v>6716</v>
      </c>
      <c r="C32" s="6" t="s">
        <v>6722</v>
      </c>
      <c r="D32" s="6" t="s">
        <v>5925</v>
      </c>
      <c r="E32" s="6" t="s">
        <v>5926</v>
      </c>
      <c r="F32" s="7" t="s">
        <v>6373</v>
      </c>
      <c r="G32" s="6" t="s">
        <v>5986</v>
      </c>
      <c r="H32" s="6"/>
      <c r="I32" s="6"/>
      <c r="J32" s="6"/>
      <c r="K32" s="6" t="s">
        <v>353</v>
      </c>
      <c r="L32" s="6" t="s">
        <v>5927</v>
      </c>
      <c r="M32" s="6"/>
      <c r="N32" s="6" t="s">
        <v>5925</v>
      </c>
      <c r="O32" s="6" t="str">
        <f>HYPERLINK("https://ceds.ed.gov/cedselementdetails.aspx?termid=5659")</f>
        <v>https://ceds.ed.gov/cedselementdetails.aspx?termid=5659</v>
      </c>
      <c r="P32" s="6" t="str">
        <f>HYPERLINK("https://ceds.ed.gov/elementComment.aspx?elementName=White &amp;elementID=5659", "Click here to submit comment")</f>
        <v>Click here to submit comment</v>
      </c>
    </row>
    <row r="33" spans="1:16" ht="225">
      <c r="A33" s="6" t="s">
        <v>6715</v>
      </c>
      <c r="B33" s="6" t="s">
        <v>6716</v>
      </c>
      <c r="C33" s="6" t="s">
        <v>6722</v>
      </c>
      <c r="D33" s="6" t="s">
        <v>2985</v>
      </c>
      <c r="E33" s="6" t="s">
        <v>2986</v>
      </c>
      <c r="F33" s="7" t="s">
        <v>6373</v>
      </c>
      <c r="G33" s="6" t="s">
        <v>5986</v>
      </c>
      <c r="H33" s="6"/>
      <c r="I33" s="6"/>
      <c r="J33" s="6"/>
      <c r="K33" s="6" t="s">
        <v>353</v>
      </c>
      <c r="L33" s="6" t="s">
        <v>2987</v>
      </c>
      <c r="M33" s="6"/>
      <c r="N33" s="6" t="s">
        <v>2988</v>
      </c>
      <c r="O33" s="6" t="str">
        <f>HYPERLINK("https://ceds.ed.gov/cedselementdetails.aspx?termid=5144")</f>
        <v>https://ceds.ed.gov/cedselementdetails.aspx?termid=5144</v>
      </c>
      <c r="P33" s="6" t="str">
        <f>HYPERLINK("https://ceds.ed.gov/elementComment.aspx?elementName=Hispanic or Latino Ethnicity &amp;elementID=5144", "Click here to submit comment")</f>
        <v>Click here to submit comment</v>
      </c>
    </row>
    <row r="34" spans="1:16" ht="409.5">
      <c r="A34" s="6" t="s">
        <v>6715</v>
      </c>
      <c r="B34" s="6" t="s">
        <v>6716</v>
      </c>
      <c r="C34" s="6" t="s">
        <v>6722</v>
      </c>
      <c r="D34" s="6" t="s">
        <v>3002</v>
      </c>
      <c r="E34" s="6" t="s">
        <v>3003</v>
      </c>
      <c r="F34" s="6" t="s">
        <v>5963</v>
      </c>
      <c r="G34" s="6" t="s">
        <v>6199</v>
      </c>
      <c r="H34" s="6"/>
      <c r="I34" s="6"/>
      <c r="J34" s="6"/>
      <c r="K34" s="6"/>
      <c r="L34" s="6" t="s">
        <v>3004</v>
      </c>
      <c r="M34" s="6"/>
      <c r="N34" s="6" t="s">
        <v>3005</v>
      </c>
      <c r="O34" s="6" t="str">
        <f>HYPERLINK("https://ceds.ed.gov/cedselementdetails.aspx?termid=5149")</f>
        <v>https://ceds.ed.gov/cedselementdetails.aspx?termid=5149</v>
      </c>
      <c r="P34" s="6" t="str">
        <f>HYPERLINK("https://ceds.ed.gov/elementComment.aspx?elementName=Homelessness Status &amp;elementID=5149", "Click here to submit comment")</f>
        <v>Click here to submit comment</v>
      </c>
    </row>
    <row r="35" spans="1:16" ht="30">
      <c r="A35" s="6" t="s">
        <v>6715</v>
      </c>
      <c r="B35" s="6" t="s">
        <v>6716</v>
      </c>
      <c r="C35" s="6" t="s">
        <v>6722</v>
      </c>
      <c r="D35" s="6" t="s">
        <v>2785</v>
      </c>
      <c r="E35" s="6" t="s">
        <v>2786</v>
      </c>
      <c r="F35" s="6" t="s">
        <v>13</v>
      </c>
      <c r="G35" s="6"/>
      <c r="H35" s="6" t="s">
        <v>54</v>
      </c>
      <c r="I35" s="6" t="s">
        <v>73</v>
      </c>
      <c r="J35" s="6"/>
      <c r="K35" s="6"/>
      <c r="L35" s="6" t="s">
        <v>2788</v>
      </c>
      <c r="M35" s="6"/>
      <c r="N35" s="6" t="s">
        <v>2789</v>
      </c>
      <c r="O35" s="6" t="str">
        <f>HYPERLINK("https://ceds.ed.gov/cedselementdetails.aspx?termid=6495")</f>
        <v>https://ceds.ed.gov/cedselementdetails.aspx?termid=6495</v>
      </c>
      <c r="P35" s="6" t="str">
        <f>HYPERLINK("https://ceds.ed.gov/elementComment.aspx?elementName=Foster Care End Date &amp;elementID=6495", "Click here to submit comment")</f>
        <v>Click here to submit comment</v>
      </c>
    </row>
    <row r="36" spans="1:16" ht="30">
      <c r="A36" s="6" t="s">
        <v>6715</v>
      </c>
      <c r="B36" s="6" t="s">
        <v>6716</v>
      </c>
      <c r="C36" s="6" t="s">
        <v>6722</v>
      </c>
      <c r="D36" s="6" t="s">
        <v>2790</v>
      </c>
      <c r="E36" s="6" t="s">
        <v>2791</v>
      </c>
      <c r="F36" s="6" t="s">
        <v>13</v>
      </c>
      <c r="G36" s="6"/>
      <c r="H36" s="6" t="s">
        <v>54</v>
      </c>
      <c r="I36" s="6" t="s">
        <v>73</v>
      </c>
      <c r="J36" s="6"/>
      <c r="K36" s="6"/>
      <c r="L36" s="6" t="s">
        <v>2792</v>
      </c>
      <c r="M36" s="6"/>
      <c r="N36" s="6" t="s">
        <v>2793</v>
      </c>
      <c r="O36" s="6" t="str">
        <f>HYPERLINK("https://ceds.ed.gov/cedselementdetails.aspx?termid=6496")</f>
        <v>https://ceds.ed.gov/cedselementdetails.aspx?termid=6496</v>
      </c>
      <c r="P36" s="6" t="str">
        <f>HYPERLINK("https://ceds.ed.gov/elementComment.aspx?elementName=Foster Care Start Date &amp;elementID=6496", "Click here to submit comment")</f>
        <v>Click here to submit comment</v>
      </c>
    </row>
    <row r="37" spans="1:16" ht="270">
      <c r="A37" s="6" t="s">
        <v>6715</v>
      </c>
      <c r="B37" s="6" t="s">
        <v>6716</v>
      </c>
      <c r="C37" s="6" t="s">
        <v>6722</v>
      </c>
      <c r="D37" s="6" t="s">
        <v>4147</v>
      </c>
      <c r="E37" s="6" t="s">
        <v>4148</v>
      </c>
      <c r="F37" s="6" t="s">
        <v>5963</v>
      </c>
      <c r="G37" s="6" t="s">
        <v>6084</v>
      </c>
      <c r="H37" s="6" t="s">
        <v>3</v>
      </c>
      <c r="I37" s="6"/>
      <c r="J37" s="6"/>
      <c r="K37" s="6"/>
      <c r="L37" s="6" t="s">
        <v>4149</v>
      </c>
      <c r="M37" s="6"/>
      <c r="N37" s="6" t="s">
        <v>4150</v>
      </c>
      <c r="O37" s="6" t="str">
        <f>HYPERLINK("https://ceds.ed.gov/cedselementdetails.aspx?termid=5189")</f>
        <v>https://ceds.ed.gov/cedselementdetails.aspx?termid=5189</v>
      </c>
      <c r="P37" s="6" t="str">
        <f>HYPERLINK("https://ceds.ed.gov/elementComment.aspx?elementName=Migrant Status &amp;elementID=5189", "Click here to submit comment")</f>
        <v>Click here to submit comment</v>
      </c>
    </row>
    <row r="38" spans="1:16" ht="45">
      <c r="A38" s="6" t="s">
        <v>6715</v>
      </c>
      <c r="B38" s="6" t="s">
        <v>6716</v>
      </c>
      <c r="C38" s="6" t="s">
        <v>6722</v>
      </c>
      <c r="D38" s="6" t="s">
        <v>4398</v>
      </c>
      <c r="E38" s="6" t="s">
        <v>4399</v>
      </c>
      <c r="F38" s="6" t="s">
        <v>5963</v>
      </c>
      <c r="G38" s="6"/>
      <c r="H38" s="6" t="s">
        <v>54</v>
      </c>
      <c r="I38" s="6"/>
      <c r="J38" s="6"/>
      <c r="K38" s="6" t="s">
        <v>4400</v>
      </c>
      <c r="L38" s="6" t="s">
        <v>4401</v>
      </c>
      <c r="M38" s="6"/>
      <c r="N38" s="6" t="s">
        <v>4402</v>
      </c>
      <c r="O38" s="6" t="str">
        <f>HYPERLINK("https://ceds.ed.gov/cedselementdetails.aspx?termid=6390")</f>
        <v>https://ceds.ed.gov/cedselementdetails.aspx?termid=6390</v>
      </c>
      <c r="P38" s="6" t="str">
        <f>HYPERLINK("https://ceds.ed.gov/elementComment.aspx?elementName=Other Race Indicator &amp;elementID=6390", "Click here to submit comment")</f>
        <v>Click here to submit comment</v>
      </c>
    </row>
    <row r="39" spans="1:16" ht="30">
      <c r="A39" s="6" t="s">
        <v>6715</v>
      </c>
      <c r="B39" s="6" t="s">
        <v>6716</v>
      </c>
      <c r="C39" s="6" t="s">
        <v>6723</v>
      </c>
      <c r="D39" s="6" t="s">
        <v>4992</v>
      </c>
      <c r="E39" s="6" t="s">
        <v>4993</v>
      </c>
      <c r="F39" s="6" t="s">
        <v>13</v>
      </c>
      <c r="G39" s="6"/>
      <c r="H39" s="6" t="s">
        <v>54</v>
      </c>
      <c r="I39" s="6" t="s">
        <v>73</v>
      </c>
      <c r="J39" s="6"/>
      <c r="K39" s="6"/>
      <c r="L39" s="6" t="s">
        <v>4995</v>
      </c>
      <c r="M39" s="6"/>
      <c r="N39" s="6" t="s">
        <v>4996</v>
      </c>
      <c r="O39" s="6" t="str">
        <f>HYPERLINK("https://ceds.ed.gov/cedselementdetails.aspx?termid=6453")</f>
        <v>https://ceds.ed.gov/cedselementdetails.aspx?termid=6453</v>
      </c>
      <c r="P39" s="6" t="str">
        <f>HYPERLINK("https://ceds.ed.gov/elementComment.aspx?elementName=Referral Date &amp;elementID=6453", "Click here to submit comment")</f>
        <v>Click here to submit comment</v>
      </c>
    </row>
    <row r="40" spans="1:16" ht="150">
      <c r="A40" s="6" t="s">
        <v>6715</v>
      </c>
      <c r="B40" s="6" t="s">
        <v>6716</v>
      </c>
      <c r="C40" s="6" t="s">
        <v>6723</v>
      </c>
      <c r="D40" s="6" t="s">
        <v>4997</v>
      </c>
      <c r="E40" s="6" t="s">
        <v>4998</v>
      </c>
      <c r="F40" s="7" t="s">
        <v>6640</v>
      </c>
      <c r="G40" s="6"/>
      <c r="H40" s="6" t="s">
        <v>54</v>
      </c>
      <c r="I40" s="6"/>
      <c r="J40" s="6"/>
      <c r="K40" s="6"/>
      <c r="L40" s="6" t="s">
        <v>4999</v>
      </c>
      <c r="M40" s="6"/>
      <c r="N40" s="6" t="s">
        <v>5000</v>
      </c>
      <c r="O40" s="6" t="str">
        <f>HYPERLINK("https://ceds.ed.gov/cedselementdetails.aspx?termid=6454")</f>
        <v>https://ceds.ed.gov/cedselementdetails.aspx?termid=6454</v>
      </c>
      <c r="P40" s="6" t="str">
        <f>HYPERLINK("https://ceds.ed.gov/elementComment.aspx?elementName=Referral Outcome &amp;elementID=6454", "Click here to submit comment")</f>
        <v>Click here to submit comment</v>
      </c>
    </row>
    <row r="41" spans="1:16" ht="30">
      <c r="A41" s="6" t="s">
        <v>6715</v>
      </c>
      <c r="B41" s="6" t="s">
        <v>6716</v>
      </c>
      <c r="C41" s="6" t="s">
        <v>6723</v>
      </c>
      <c r="D41" s="6" t="s">
        <v>5005</v>
      </c>
      <c r="E41" s="6" t="s">
        <v>5006</v>
      </c>
      <c r="F41" s="6" t="s">
        <v>13</v>
      </c>
      <c r="G41" s="6"/>
      <c r="H41" s="6" t="s">
        <v>54</v>
      </c>
      <c r="I41" s="6" t="s">
        <v>319</v>
      </c>
      <c r="J41" s="6"/>
      <c r="K41" s="6"/>
      <c r="L41" s="6" t="s">
        <v>5007</v>
      </c>
      <c r="M41" s="6"/>
      <c r="N41" s="6" t="s">
        <v>5008</v>
      </c>
      <c r="O41" s="6" t="str">
        <f>HYPERLINK("https://ceds.ed.gov/cedselementdetails.aspx?termid=6455")</f>
        <v>https://ceds.ed.gov/cedselementdetails.aspx?termid=6455</v>
      </c>
      <c r="P41" s="6" t="str">
        <f>HYPERLINK("https://ceds.ed.gov/elementComment.aspx?elementName=Referral Reason &amp;elementID=6455", "Click here to submit comment")</f>
        <v>Click here to submit comment</v>
      </c>
    </row>
    <row r="42" spans="1:16" ht="30">
      <c r="A42" s="6" t="s">
        <v>6715</v>
      </c>
      <c r="B42" s="6" t="s">
        <v>6716</v>
      </c>
      <c r="C42" s="6" t="s">
        <v>6723</v>
      </c>
      <c r="D42" s="6" t="s">
        <v>5009</v>
      </c>
      <c r="E42" s="6" t="s">
        <v>5010</v>
      </c>
      <c r="F42" s="6" t="s">
        <v>13</v>
      </c>
      <c r="G42" s="6"/>
      <c r="H42" s="6" t="s">
        <v>54</v>
      </c>
      <c r="I42" s="6" t="s">
        <v>106</v>
      </c>
      <c r="J42" s="6"/>
      <c r="K42" s="6"/>
      <c r="L42" s="6" t="s">
        <v>5011</v>
      </c>
      <c r="M42" s="6"/>
      <c r="N42" s="6" t="s">
        <v>5012</v>
      </c>
      <c r="O42" s="6" t="str">
        <f>HYPERLINK("https://ceds.ed.gov/cedselementdetails.aspx?termid=6456")</f>
        <v>https://ceds.ed.gov/cedselementdetails.aspx?termid=6456</v>
      </c>
      <c r="P42" s="6" t="str">
        <f>HYPERLINK("https://ceds.ed.gov/elementComment.aspx?elementName=Referral Source &amp;elementID=6456", "Click here to submit comment")</f>
        <v>Click here to submit comment</v>
      </c>
    </row>
    <row r="43" spans="1:16" ht="30">
      <c r="A43" s="6" t="s">
        <v>6715</v>
      </c>
      <c r="B43" s="6" t="s">
        <v>6716</v>
      </c>
      <c r="C43" s="6" t="s">
        <v>6723</v>
      </c>
      <c r="D43" s="6" t="s">
        <v>5013</v>
      </c>
      <c r="E43" s="6" t="s">
        <v>5014</v>
      </c>
      <c r="F43" s="6" t="s">
        <v>13</v>
      </c>
      <c r="G43" s="6"/>
      <c r="H43" s="6" t="s">
        <v>54</v>
      </c>
      <c r="I43" s="6" t="s">
        <v>106</v>
      </c>
      <c r="J43" s="6"/>
      <c r="K43" s="6"/>
      <c r="L43" s="6" t="s">
        <v>5015</v>
      </c>
      <c r="M43" s="6"/>
      <c r="N43" s="6" t="s">
        <v>5016</v>
      </c>
      <c r="O43" s="6" t="str">
        <f>HYPERLINK("https://ceds.ed.gov/cedselementdetails.aspx?termid=6457")</f>
        <v>https://ceds.ed.gov/cedselementdetails.aspx?termid=6457</v>
      </c>
      <c r="P43" s="6" t="str">
        <f>HYPERLINK("https://ceds.ed.gov/elementComment.aspx?elementName=Referral Type &amp;elementID=6457", "Click here to submit comment")</f>
        <v>Click here to submit comment</v>
      </c>
    </row>
    <row r="44" spans="1:16" ht="30">
      <c r="A44" s="6" t="s">
        <v>6715</v>
      </c>
      <c r="B44" s="6" t="s">
        <v>6716</v>
      </c>
      <c r="C44" s="6" t="s">
        <v>6723</v>
      </c>
      <c r="D44" s="6" t="s">
        <v>5017</v>
      </c>
      <c r="E44" s="6" t="s">
        <v>5018</v>
      </c>
      <c r="F44" s="6" t="s">
        <v>13</v>
      </c>
      <c r="G44" s="6"/>
      <c r="H44" s="6" t="s">
        <v>54</v>
      </c>
      <c r="I44" s="6" t="s">
        <v>106</v>
      </c>
      <c r="J44" s="6"/>
      <c r="K44" s="6"/>
      <c r="L44" s="6" t="s">
        <v>5019</v>
      </c>
      <c r="M44" s="6"/>
      <c r="N44" s="6" t="s">
        <v>5020</v>
      </c>
      <c r="O44" s="6" t="str">
        <f>HYPERLINK("https://ceds.ed.gov/cedselementdetails.aspx?termid=6458")</f>
        <v>https://ceds.ed.gov/cedselementdetails.aspx?termid=6458</v>
      </c>
      <c r="P44" s="6" t="str">
        <f>HYPERLINK("https://ceds.ed.gov/elementComment.aspx?elementName=Referred To &amp;elementID=6458", "Click here to submit comment")</f>
        <v>Click here to submit comment</v>
      </c>
    </row>
    <row r="45" spans="1:16" ht="45">
      <c r="A45" s="6" t="s">
        <v>6715</v>
      </c>
      <c r="B45" s="6" t="s">
        <v>6716</v>
      </c>
      <c r="C45" s="6" t="s">
        <v>6724</v>
      </c>
      <c r="D45" s="6" t="s">
        <v>317</v>
      </c>
      <c r="E45" s="6" t="s">
        <v>318</v>
      </c>
      <c r="F45" s="6" t="s">
        <v>13</v>
      </c>
      <c r="G45" s="6"/>
      <c r="H45" s="6" t="s">
        <v>54</v>
      </c>
      <c r="I45" s="6" t="s">
        <v>319</v>
      </c>
      <c r="J45" s="6"/>
      <c r="K45" s="6"/>
      <c r="L45" s="6" t="s">
        <v>320</v>
      </c>
      <c r="M45" s="6"/>
      <c r="N45" s="6" t="s">
        <v>321</v>
      </c>
      <c r="O45" s="6" t="str">
        <f>HYPERLINK("https://ceds.ed.gov/cedselementdetails.aspx?termid=6247")</f>
        <v>https://ceds.ed.gov/cedselementdetails.aspx?termid=6247</v>
      </c>
      <c r="P45" s="6" t="str">
        <f>HYPERLINK("https://ceds.ed.gov/elementComment.aspx?elementName=Allergy Reaction Description &amp;elementID=6247", "Click here to submit comment")</f>
        <v>Click here to submit comment</v>
      </c>
    </row>
    <row r="46" spans="1:16" ht="45">
      <c r="A46" s="6" t="s">
        <v>6715</v>
      </c>
      <c r="B46" s="6" t="s">
        <v>6716</v>
      </c>
      <c r="C46" s="6" t="s">
        <v>6724</v>
      </c>
      <c r="D46" s="6" t="s">
        <v>322</v>
      </c>
      <c r="E46" s="6" t="s">
        <v>323</v>
      </c>
      <c r="F46" s="6" t="s">
        <v>5984</v>
      </c>
      <c r="G46" s="6"/>
      <c r="H46" s="6" t="s">
        <v>54</v>
      </c>
      <c r="I46" s="6"/>
      <c r="J46" s="6"/>
      <c r="K46" s="6"/>
      <c r="L46" s="6" t="s">
        <v>324</v>
      </c>
      <c r="M46" s="6"/>
      <c r="N46" s="6" t="s">
        <v>325</v>
      </c>
      <c r="O46" s="6" t="str">
        <f>HYPERLINK("https://ceds.ed.gov/cedselementdetails.aspx?termid=6248")</f>
        <v>https://ceds.ed.gov/cedselementdetails.aspx?termid=6248</v>
      </c>
      <c r="P46" s="6" t="str">
        <f>HYPERLINK("https://ceds.ed.gov/elementComment.aspx?elementName=Allergy Severity &amp;elementID=6248", "Click here to submit comment")</f>
        <v>Click here to submit comment</v>
      </c>
    </row>
    <row r="47" spans="1:16" ht="409.5">
      <c r="A47" s="6" t="s">
        <v>6715</v>
      </c>
      <c r="B47" s="6" t="s">
        <v>6716</v>
      </c>
      <c r="C47" s="6" t="s">
        <v>6724</v>
      </c>
      <c r="D47" s="6" t="s">
        <v>326</v>
      </c>
      <c r="E47" s="6" t="s">
        <v>327</v>
      </c>
      <c r="F47" s="7" t="s">
        <v>6370</v>
      </c>
      <c r="G47" s="6"/>
      <c r="H47" s="6" t="s">
        <v>54</v>
      </c>
      <c r="I47" s="6"/>
      <c r="J47" s="6"/>
      <c r="K47" s="6" t="s">
        <v>328</v>
      </c>
      <c r="L47" s="6" t="s">
        <v>329</v>
      </c>
      <c r="M47" s="6"/>
      <c r="N47" s="6" t="s">
        <v>330</v>
      </c>
      <c r="O47" s="6" t="str">
        <f>HYPERLINK("https://ceds.ed.gov/cedselementdetails.aspx?termid=6249")</f>
        <v>https://ceds.ed.gov/cedselementdetails.aspx?termid=6249</v>
      </c>
      <c r="P47" s="6" t="str">
        <f>HYPERLINK("https://ceds.ed.gov/elementComment.aspx?elementName=Allergy Type &amp;elementID=6249", "Click here to submit comment")</f>
        <v>Click here to submit comment</v>
      </c>
    </row>
    <row r="48" spans="1:16" ht="45">
      <c r="A48" s="6" t="s">
        <v>6715</v>
      </c>
      <c r="B48" s="6" t="s">
        <v>6716</v>
      </c>
      <c r="C48" s="6" t="s">
        <v>6724</v>
      </c>
      <c r="D48" s="6" t="s">
        <v>2924</v>
      </c>
      <c r="E48" s="6" t="s">
        <v>2925</v>
      </c>
      <c r="F48" s="6" t="s">
        <v>13</v>
      </c>
      <c r="G48" s="6"/>
      <c r="H48" s="6" t="s">
        <v>54</v>
      </c>
      <c r="I48" s="6" t="s">
        <v>93</v>
      </c>
      <c r="J48" s="6"/>
      <c r="K48" s="6"/>
      <c r="L48" s="6" t="s">
        <v>2927</v>
      </c>
      <c r="M48" s="6"/>
      <c r="N48" s="6" t="s">
        <v>2928</v>
      </c>
      <c r="O48" s="6" t="str">
        <f>HYPERLINK("https://ceds.ed.gov/cedselementdetails.aspx?termid=6325")</f>
        <v>https://ceds.ed.gov/cedselementdetails.aspx?termid=6325</v>
      </c>
      <c r="P48" s="6" t="str">
        <f>HYPERLINK("https://ceds.ed.gov/elementComment.aspx?elementName=Health Screening Equipment Used &amp;elementID=6325", "Click here to submit comment")</f>
        <v>Click here to submit comment</v>
      </c>
    </row>
    <row r="49" spans="1:16" ht="45">
      <c r="A49" s="6" t="s">
        <v>6715</v>
      </c>
      <c r="B49" s="6" t="s">
        <v>6716</v>
      </c>
      <c r="C49" s="6" t="s">
        <v>6724</v>
      </c>
      <c r="D49" s="6" t="s">
        <v>2929</v>
      </c>
      <c r="E49" s="6" t="s">
        <v>2930</v>
      </c>
      <c r="F49" s="6" t="s">
        <v>13</v>
      </c>
      <c r="G49" s="6"/>
      <c r="H49" s="6" t="s">
        <v>54</v>
      </c>
      <c r="I49" s="6" t="s">
        <v>319</v>
      </c>
      <c r="J49" s="6"/>
      <c r="K49" s="6"/>
      <c r="L49" s="6" t="s">
        <v>2931</v>
      </c>
      <c r="M49" s="6"/>
      <c r="N49" s="6" t="s">
        <v>2932</v>
      </c>
      <c r="O49" s="6" t="str">
        <f>HYPERLINK("https://ceds.ed.gov/cedselementdetails.aspx?termid=6326")</f>
        <v>https://ceds.ed.gov/cedselementdetails.aspx?termid=6326</v>
      </c>
      <c r="P49" s="6" t="str">
        <f>HYPERLINK("https://ceds.ed.gov/elementComment.aspx?elementName=Health Screening Follow-up Recommendation &amp;elementID=6326", "Click here to submit comment")</f>
        <v>Click here to submit comment</v>
      </c>
    </row>
    <row r="50" spans="1:16" ht="75">
      <c r="A50" s="6" t="s">
        <v>6715</v>
      </c>
      <c r="B50" s="6" t="s">
        <v>6716</v>
      </c>
      <c r="C50" s="6" t="s">
        <v>6725</v>
      </c>
      <c r="D50" s="6" t="s">
        <v>3084</v>
      </c>
      <c r="E50" s="6" t="s">
        <v>3085</v>
      </c>
      <c r="F50" s="6" t="s">
        <v>13</v>
      </c>
      <c r="G50" s="6" t="s">
        <v>6204</v>
      </c>
      <c r="H50" s="6"/>
      <c r="I50" s="6" t="s">
        <v>73</v>
      </c>
      <c r="J50" s="6"/>
      <c r="K50" s="6"/>
      <c r="L50" s="6" t="s">
        <v>3086</v>
      </c>
      <c r="M50" s="6"/>
      <c r="N50" s="6" t="s">
        <v>3087</v>
      </c>
      <c r="O50" s="6" t="str">
        <f>HYPERLINK("https://ceds.ed.gov/cedselementdetails.aspx?termid=5306")</f>
        <v>https://ceds.ed.gov/cedselementdetails.aspx?termid=5306</v>
      </c>
      <c r="P50" s="6" t="str">
        <f>HYPERLINK("https://ceds.ed.gov/elementComment.aspx?elementName=Immunization Date &amp;elementID=5306", "Click here to submit comment")</f>
        <v>Click here to submit comment</v>
      </c>
    </row>
    <row r="51" spans="1:16" ht="409.5">
      <c r="A51" s="6" t="s">
        <v>6715</v>
      </c>
      <c r="B51" s="6" t="s">
        <v>6716</v>
      </c>
      <c r="C51" s="6" t="s">
        <v>6725</v>
      </c>
      <c r="D51" s="6" t="s">
        <v>3096</v>
      </c>
      <c r="E51" s="6" t="s">
        <v>3097</v>
      </c>
      <c r="F51" s="7" t="s">
        <v>6540</v>
      </c>
      <c r="G51" s="6"/>
      <c r="H51" s="6"/>
      <c r="I51" s="6"/>
      <c r="J51" s="6"/>
      <c r="K51" s="6"/>
      <c r="L51" s="6" t="s">
        <v>3098</v>
      </c>
      <c r="M51" s="6"/>
      <c r="N51" s="6" t="s">
        <v>3099</v>
      </c>
      <c r="O51" s="6" t="str">
        <f>HYPERLINK("https://ceds.ed.gov/cedselementdetails.aspx?termid=6214")</f>
        <v>https://ceds.ed.gov/cedselementdetails.aspx?termid=6214</v>
      </c>
      <c r="P51" s="6" t="str">
        <f>HYPERLINK("https://ceds.ed.gov/elementComment.aspx?elementName=Immunization Type &amp;elementID=6214", "Click here to submit comment")</f>
        <v>Click here to submit comment</v>
      </c>
    </row>
    <row r="52" spans="1:16" ht="30">
      <c r="A52" s="6" t="s">
        <v>6715</v>
      </c>
      <c r="B52" s="6" t="s">
        <v>6716</v>
      </c>
      <c r="C52" s="6" t="s">
        <v>6726</v>
      </c>
      <c r="D52" s="6" t="s">
        <v>5883</v>
      </c>
      <c r="E52" s="6" t="s">
        <v>5884</v>
      </c>
      <c r="F52" s="6" t="s">
        <v>13</v>
      </c>
      <c r="G52" s="6"/>
      <c r="H52" s="6" t="s">
        <v>3</v>
      </c>
      <c r="I52" s="6" t="s">
        <v>73</v>
      </c>
      <c r="J52" s="6"/>
      <c r="K52" s="6"/>
      <c r="L52" s="6" t="s">
        <v>5885</v>
      </c>
      <c r="M52" s="6"/>
      <c r="N52" s="6" t="s">
        <v>5886</v>
      </c>
      <c r="O52" s="6" t="str">
        <f>HYPERLINK("https://ceds.ed.gov/cedselementdetails.aspx?termid=5680")</f>
        <v>https://ceds.ed.gov/cedselementdetails.aspx?termid=5680</v>
      </c>
      <c r="P52" s="6" t="str">
        <f>HYPERLINK("https://ceds.ed.gov/elementComment.aspx?elementName=Vision Screening Date &amp;elementID=5680", "Click here to submit comment")</f>
        <v>Click here to submit comment</v>
      </c>
    </row>
    <row r="53" spans="1:16" ht="75">
      <c r="A53" s="6" t="s">
        <v>6715</v>
      </c>
      <c r="B53" s="6" t="s">
        <v>6716</v>
      </c>
      <c r="C53" s="6" t="s">
        <v>6726</v>
      </c>
      <c r="D53" s="6" t="s">
        <v>5887</v>
      </c>
      <c r="E53" s="6" t="s">
        <v>5888</v>
      </c>
      <c r="F53" s="7" t="s">
        <v>6526</v>
      </c>
      <c r="G53" s="6" t="s">
        <v>2158</v>
      </c>
      <c r="H53" s="6" t="s">
        <v>3</v>
      </c>
      <c r="I53" s="6"/>
      <c r="J53" s="6"/>
      <c r="K53" s="6"/>
      <c r="L53" s="6" t="s">
        <v>5889</v>
      </c>
      <c r="M53" s="6"/>
      <c r="N53" s="6" t="s">
        <v>5890</v>
      </c>
      <c r="O53" s="6" t="str">
        <f>HYPERLINK("https://ceds.ed.gov/cedselementdetails.aspx?termid=5308")</f>
        <v>https://ceds.ed.gov/cedselementdetails.aspx?termid=5308</v>
      </c>
      <c r="P53" s="6" t="str">
        <f>HYPERLINK("https://ceds.ed.gov/elementComment.aspx?elementName=Vision Screening Status &amp;elementID=5308", "Click here to submit comment")</f>
        <v>Click here to submit comment</v>
      </c>
    </row>
    <row r="54" spans="1:16" ht="30">
      <c r="A54" s="6" t="s">
        <v>6715</v>
      </c>
      <c r="B54" s="6" t="s">
        <v>6716</v>
      </c>
      <c r="C54" s="6" t="s">
        <v>6727</v>
      </c>
      <c r="D54" s="6" t="s">
        <v>2933</v>
      </c>
      <c r="E54" s="6" t="s">
        <v>2934</v>
      </c>
      <c r="F54" s="6" t="s">
        <v>13</v>
      </c>
      <c r="G54" s="6"/>
      <c r="H54" s="6" t="s">
        <v>3</v>
      </c>
      <c r="I54" s="6" t="s">
        <v>73</v>
      </c>
      <c r="J54" s="6"/>
      <c r="K54" s="6"/>
      <c r="L54" s="6" t="s">
        <v>2935</v>
      </c>
      <c r="M54" s="6"/>
      <c r="N54" s="6" t="s">
        <v>2936</v>
      </c>
      <c r="O54" s="6" t="str">
        <f>HYPERLINK("https://ceds.ed.gov/cedselementdetails.aspx?termid=5681")</f>
        <v>https://ceds.ed.gov/cedselementdetails.aspx?termid=5681</v>
      </c>
      <c r="P54" s="6" t="str">
        <f>HYPERLINK("https://ceds.ed.gov/elementComment.aspx?elementName=Hearing Screening Date &amp;elementID=5681", "Click here to submit comment")</f>
        <v>Click here to submit comment</v>
      </c>
    </row>
    <row r="55" spans="1:16" ht="75">
      <c r="A55" s="6" t="s">
        <v>6715</v>
      </c>
      <c r="B55" s="6" t="s">
        <v>6716</v>
      </c>
      <c r="C55" s="6" t="s">
        <v>6727</v>
      </c>
      <c r="D55" s="6" t="s">
        <v>2937</v>
      </c>
      <c r="E55" s="6" t="s">
        <v>2938</v>
      </c>
      <c r="F55" s="7" t="s">
        <v>6526</v>
      </c>
      <c r="G55" s="6" t="s">
        <v>2158</v>
      </c>
      <c r="H55" s="6" t="s">
        <v>3</v>
      </c>
      <c r="I55" s="6"/>
      <c r="J55" s="6"/>
      <c r="K55" s="6"/>
      <c r="L55" s="6" t="s">
        <v>2939</v>
      </c>
      <c r="M55" s="6"/>
      <c r="N55" s="6" t="s">
        <v>2940</v>
      </c>
      <c r="O55" s="6" t="str">
        <f>HYPERLINK("https://ceds.ed.gov/cedselementdetails.aspx?termid=5309")</f>
        <v>https://ceds.ed.gov/cedselementdetails.aspx?termid=5309</v>
      </c>
      <c r="P55" s="6" t="str">
        <f>HYPERLINK("https://ceds.ed.gov/elementComment.aspx?elementName=Hearing Screening Status &amp;elementID=5309", "Click here to submit comment")</f>
        <v>Click here to submit comment</v>
      </c>
    </row>
    <row r="56" spans="1:16" ht="30">
      <c r="A56" s="6" t="s">
        <v>6715</v>
      </c>
      <c r="B56" s="6" t="s">
        <v>6716</v>
      </c>
      <c r="C56" s="6" t="s">
        <v>6728</v>
      </c>
      <c r="D56" s="6" t="s">
        <v>2151</v>
      </c>
      <c r="E56" s="6" t="s">
        <v>2152</v>
      </c>
      <c r="F56" s="6" t="s">
        <v>13</v>
      </c>
      <c r="G56" s="6"/>
      <c r="H56" s="6"/>
      <c r="I56" s="6" t="s">
        <v>73</v>
      </c>
      <c r="J56" s="6"/>
      <c r="K56" s="6"/>
      <c r="L56" s="6" t="s">
        <v>2154</v>
      </c>
      <c r="M56" s="6"/>
      <c r="N56" s="6" t="s">
        <v>2155</v>
      </c>
      <c r="O56" s="6" t="str">
        <f>HYPERLINK("https://ceds.ed.gov/cedselementdetails.aspx?termid=5682")</f>
        <v>https://ceds.ed.gov/cedselementdetails.aspx?termid=5682</v>
      </c>
      <c r="P56" s="6" t="str">
        <f>HYPERLINK("https://ceds.ed.gov/elementComment.aspx?elementName=Dental Screening Date &amp;elementID=5682", "Click here to submit comment")</f>
        <v>Click here to submit comment</v>
      </c>
    </row>
    <row r="57" spans="1:16" ht="135">
      <c r="A57" s="6" t="s">
        <v>6715</v>
      </c>
      <c r="B57" s="6" t="s">
        <v>6716</v>
      </c>
      <c r="C57" s="6" t="s">
        <v>6728</v>
      </c>
      <c r="D57" s="6" t="s">
        <v>2156</v>
      </c>
      <c r="E57" s="6" t="s">
        <v>2157</v>
      </c>
      <c r="F57" s="7" t="s">
        <v>6456</v>
      </c>
      <c r="G57" s="6" t="s">
        <v>2158</v>
      </c>
      <c r="H57" s="6"/>
      <c r="I57" s="6"/>
      <c r="J57" s="6"/>
      <c r="K57" s="6"/>
      <c r="L57" s="6" t="s">
        <v>2159</v>
      </c>
      <c r="M57" s="6"/>
      <c r="N57" s="6" t="s">
        <v>2160</v>
      </c>
      <c r="O57" s="6" t="str">
        <f>HYPERLINK("https://ceds.ed.gov/cedselementdetails.aspx?termid=5310")</f>
        <v>https://ceds.ed.gov/cedselementdetails.aspx?termid=5310</v>
      </c>
      <c r="P57" s="6" t="str">
        <f>HYPERLINK("https://ceds.ed.gov/elementComment.aspx?elementName=Dental Screening Status &amp;elementID=5310", "Click here to submit comment")</f>
        <v>Click here to submit comment</v>
      </c>
    </row>
    <row r="58" spans="1:16" ht="240">
      <c r="A58" s="6" t="s">
        <v>6715</v>
      </c>
      <c r="B58" s="6" t="s">
        <v>6716</v>
      </c>
      <c r="C58" s="6" t="s">
        <v>6729</v>
      </c>
      <c r="D58" s="6" t="s">
        <v>3339</v>
      </c>
      <c r="E58" s="6" t="s">
        <v>3340</v>
      </c>
      <c r="F58" s="7" t="s">
        <v>6455</v>
      </c>
      <c r="G58" s="6" t="s">
        <v>2147</v>
      </c>
      <c r="H58" s="6"/>
      <c r="I58" s="6"/>
      <c r="J58" s="6"/>
      <c r="K58" s="6"/>
      <c r="L58" s="6" t="s">
        <v>3341</v>
      </c>
      <c r="M58" s="6"/>
      <c r="N58" s="6" t="s">
        <v>3342</v>
      </c>
      <c r="O58" s="6" t="str">
        <f>HYPERLINK("https://ceds.ed.gov/cedselementdetails.aspx?termid=5334")</f>
        <v>https://ceds.ed.gov/cedselementdetails.aspx?termid=5334</v>
      </c>
      <c r="P58" s="6" t="str">
        <f>HYPERLINK("https://ceds.ed.gov/elementComment.aspx?elementName=Insurance Coverage &amp;elementID=5334", "Click here to submit comment")</f>
        <v>Click here to submit comment</v>
      </c>
    </row>
    <row r="59" spans="1:16" ht="240">
      <c r="A59" s="6" t="s">
        <v>6715</v>
      </c>
      <c r="B59" s="6" t="s">
        <v>6716</v>
      </c>
      <c r="C59" s="6" t="s">
        <v>6729</v>
      </c>
      <c r="D59" s="6" t="s">
        <v>2144</v>
      </c>
      <c r="E59" s="6" t="s">
        <v>2145</v>
      </c>
      <c r="F59" s="7" t="s">
        <v>6455</v>
      </c>
      <c r="G59" s="6" t="s">
        <v>2147</v>
      </c>
      <c r="H59" s="6" t="s">
        <v>66</v>
      </c>
      <c r="I59" s="6"/>
      <c r="J59" s="6" t="s">
        <v>2148</v>
      </c>
      <c r="K59" s="6"/>
      <c r="L59" s="6" t="s">
        <v>2149</v>
      </c>
      <c r="M59" s="6"/>
      <c r="N59" s="6" t="s">
        <v>2150</v>
      </c>
      <c r="O59" s="6" t="str">
        <f>HYPERLINK("https://ceds.ed.gov/cedselementdetails.aspx?termid=5335")</f>
        <v>https://ceds.ed.gov/cedselementdetails.aspx?termid=5335</v>
      </c>
      <c r="P59" s="6" t="str">
        <f>HYPERLINK("https://ceds.ed.gov/elementComment.aspx?elementName=Dental Insurance Coverage Type &amp;elementID=5335", "Click here to submit comment")</f>
        <v>Click here to submit comment</v>
      </c>
    </row>
    <row r="60" spans="1:16" ht="30">
      <c r="A60" s="6" t="s">
        <v>6715</v>
      </c>
      <c r="B60" s="6" t="s">
        <v>6716</v>
      </c>
      <c r="C60" s="6" t="s">
        <v>6730</v>
      </c>
      <c r="D60" s="6" t="s">
        <v>5921</v>
      </c>
      <c r="E60" s="6" t="s">
        <v>5922</v>
      </c>
      <c r="F60" s="6" t="s">
        <v>13</v>
      </c>
      <c r="G60" s="6" t="s">
        <v>2158</v>
      </c>
      <c r="H60" s="6"/>
      <c r="I60" s="6" t="s">
        <v>319</v>
      </c>
      <c r="J60" s="6"/>
      <c r="K60" s="6"/>
      <c r="L60" s="6" t="s">
        <v>5923</v>
      </c>
      <c r="M60" s="6"/>
      <c r="N60" s="6" t="s">
        <v>5924</v>
      </c>
      <c r="O60" s="6" t="str">
        <f>HYPERLINK("https://ceds.ed.gov/cedselementdetails.aspx?termid=5312")</f>
        <v>https://ceds.ed.gov/cedselementdetails.aspx?termid=5312</v>
      </c>
      <c r="P60" s="6" t="str">
        <f>HYPERLINK("https://ceds.ed.gov/elementComment.aspx?elementName=Weight at Birth &amp;elementID=5312", "Click here to submit comment")</f>
        <v>Click here to submit comment</v>
      </c>
    </row>
    <row r="61" spans="1:16" ht="30">
      <c r="A61" s="6" t="s">
        <v>6715</v>
      </c>
      <c r="B61" s="6" t="s">
        <v>6716</v>
      </c>
      <c r="C61" s="6" t="s">
        <v>6730</v>
      </c>
      <c r="D61" s="6" t="s">
        <v>5916</v>
      </c>
      <c r="E61" s="6" t="s">
        <v>5917</v>
      </c>
      <c r="F61" s="6" t="s">
        <v>13</v>
      </c>
      <c r="G61" s="6" t="s">
        <v>2158</v>
      </c>
      <c r="H61" s="6"/>
      <c r="I61" s="6" t="s">
        <v>308</v>
      </c>
      <c r="J61" s="6"/>
      <c r="K61" s="6"/>
      <c r="L61" s="6" t="s">
        <v>5919</v>
      </c>
      <c r="M61" s="6"/>
      <c r="N61" s="6" t="s">
        <v>5920</v>
      </c>
      <c r="O61" s="6" t="str">
        <f>HYPERLINK("https://ceds.ed.gov/cedselementdetails.aspx?termid=5313")</f>
        <v>https://ceds.ed.gov/cedselementdetails.aspx?termid=5313</v>
      </c>
      <c r="P61" s="6" t="str">
        <f>HYPERLINK("https://ceds.ed.gov/elementComment.aspx?elementName=Weeks of Gestation &amp;elementID=5313", "Click here to submit comment")</f>
        <v>Click here to submit comment</v>
      </c>
    </row>
    <row r="62" spans="1:16" ht="135">
      <c r="A62" s="6" t="s">
        <v>6715</v>
      </c>
      <c r="B62" s="6" t="s">
        <v>6716</v>
      </c>
      <c r="C62" s="6" t="s">
        <v>6731</v>
      </c>
      <c r="D62" s="6" t="s">
        <v>2322</v>
      </c>
      <c r="E62" s="6" t="s">
        <v>2323</v>
      </c>
      <c r="F62" s="7" t="s">
        <v>6475</v>
      </c>
      <c r="G62" s="6" t="s">
        <v>2158</v>
      </c>
      <c r="H62" s="6" t="s">
        <v>66</v>
      </c>
      <c r="I62" s="6"/>
      <c r="J62" s="6" t="s">
        <v>2177</v>
      </c>
      <c r="K62" s="6"/>
      <c r="L62" s="6" t="s">
        <v>2324</v>
      </c>
      <c r="M62" s="6"/>
      <c r="N62" s="6" t="s">
        <v>2325</v>
      </c>
      <c r="O62" s="6" t="str">
        <f>HYPERLINK("https://ceds.ed.gov/cedselementdetails.aspx?termid=5314")</f>
        <v>https://ceds.ed.gov/cedselementdetails.aspx?termid=5314</v>
      </c>
      <c r="P62" s="6" t="str">
        <f>HYPERLINK("https://ceds.ed.gov/elementComment.aspx?elementName=Early Learning Child Developmental Screening Status &amp;elementID=5314", "Click here to submit comment")</f>
        <v>Click here to submit comment</v>
      </c>
    </row>
    <row r="63" spans="1:16" ht="360">
      <c r="A63" s="6" t="s">
        <v>6715</v>
      </c>
      <c r="B63" s="6" t="s">
        <v>6716</v>
      </c>
      <c r="C63" s="6" t="s">
        <v>6731</v>
      </c>
      <c r="D63" s="6" t="s">
        <v>2174</v>
      </c>
      <c r="E63" s="6" t="s">
        <v>2175</v>
      </c>
      <c r="F63" s="7" t="s">
        <v>6457</v>
      </c>
      <c r="G63" s="6" t="s">
        <v>2158</v>
      </c>
      <c r="H63" s="6" t="s">
        <v>66</v>
      </c>
      <c r="I63" s="6"/>
      <c r="J63" s="6" t="s">
        <v>2177</v>
      </c>
      <c r="K63" s="6"/>
      <c r="L63" s="6" t="s">
        <v>2178</v>
      </c>
      <c r="M63" s="6"/>
      <c r="N63" s="6" t="s">
        <v>2179</v>
      </c>
      <c r="O63" s="6" t="str">
        <f>HYPERLINK("https://ceds.ed.gov/cedselementdetails.aspx?termid=5315")</f>
        <v>https://ceds.ed.gov/cedselementdetails.aspx?termid=5315</v>
      </c>
      <c r="P63" s="6" t="str">
        <f>HYPERLINK("https://ceds.ed.gov/elementComment.aspx?elementName=Developmental Evaluation Finding &amp;elementID=5315", "Click here to submit comment")</f>
        <v>Click here to submit comment</v>
      </c>
    </row>
    <row r="64" spans="1:16" ht="315">
      <c r="A64" s="6" t="s">
        <v>6715</v>
      </c>
      <c r="B64" s="6" t="s">
        <v>6716</v>
      </c>
      <c r="C64" s="6" t="s">
        <v>6731</v>
      </c>
      <c r="D64" s="6" t="s">
        <v>4587</v>
      </c>
      <c r="E64" s="6" t="s">
        <v>4588</v>
      </c>
      <c r="F64" s="7" t="s">
        <v>6607</v>
      </c>
      <c r="G64" s="6" t="s">
        <v>6286</v>
      </c>
      <c r="H64" s="6" t="s">
        <v>3</v>
      </c>
      <c r="I64" s="6"/>
      <c r="J64" s="6"/>
      <c r="K64" s="6"/>
      <c r="L64" s="6" t="s">
        <v>4589</v>
      </c>
      <c r="M64" s="6"/>
      <c r="N64" s="6" t="s">
        <v>4590</v>
      </c>
      <c r="O64" s="6" t="str">
        <f>HYPERLINK("https://ceds.ed.gov/cedselementdetails.aspx?termid=5218")</f>
        <v>https://ceds.ed.gov/cedselementdetails.aspx?termid=5218</v>
      </c>
      <c r="P64" s="6" t="str">
        <f>HYPERLINK("https://ceds.ed.gov/elementComment.aspx?elementName=Primary Disability Type &amp;elementID=5218", "Click here to submit comment")</f>
        <v>Click here to submit comment</v>
      </c>
    </row>
    <row r="65" spans="1:16" ht="409.5">
      <c r="A65" s="6" t="s">
        <v>6715</v>
      </c>
      <c r="B65" s="6" t="s">
        <v>6716</v>
      </c>
      <c r="C65" s="6" t="s">
        <v>6732</v>
      </c>
      <c r="D65" s="6" t="s">
        <v>2390</v>
      </c>
      <c r="E65" s="6" t="s">
        <v>2391</v>
      </c>
      <c r="F65" s="7" t="s">
        <v>6484</v>
      </c>
      <c r="G65" s="6" t="s">
        <v>2147</v>
      </c>
      <c r="H65" s="6" t="s">
        <v>3</v>
      </c>
      <c r="I65" s="6"/>
      <c r="J65" s="6"/>
      <c r="K65" s="6"/>
      <c r="L65" s="6" t="s">
        <v>2393</v>
      </c>
      <c r="M65" s="6"/>
      <c r="N65" s="6" t="s">
        <v>2394</v>
      </c>
      <c r="O65" s="6" t="str">
        <f>HYPERLINK("https://ceds.ed.gov/cedselementdetails.aspx?termid=5304")</f>
        <v>https://ceds.ed.gov/cedselementdetails.aspx?termid=5304</v>
      </c>
      <c r="P65" s="6" t="str">
        <f>HYPERLINK("https://ceds.ed.gov/elementComment.aspx?elementName=Early Learning Program Eligibility Category &amp;elementID=5304", "Click here to submit comment")</f>
        <v>Click here to submit comment</v>
      </c>
    </row>
    <row r="66" spans="1:16" ht="225">
      <c r="A66" s="6" t="s">
        <v>6715</v>
      </c>
      <c r="B66" s="6" t="s">
        <v>6716</v>
      </c>
      <c r="C66" s="6" t="s">
        <v>6731</v>
      </c>
      <c r="D66" s="6" t="s">
        <v>491</v>
      </c>
      <c r="E66" s="6" t="s">
        <v>492</v>
      </c>
      <c r="F66" s="7" t="s">
        <v>6381</v>
      </c>
      <c r="G66" s="6" t="s">
        <v>493</v>
      </c>
      <c r="H66" s="6"/>
      <c r="I66" s="6"/>
      <c r="J66" s="6"/>
      <c r="K66" s="6"/>
      <c r="L66" s="6" t="s">
        <v>494</v>
      </c>
      <c r="M66" s="6"/>
      <c r="N66" s="6" t="s">
        <v>495</v>
      </c>
      <c r="O66" s="6" t="str">
        <f>HYPERLINK("https://ceds.ed.gov/cedselementdetails.aspx?termid=6003")</f>
        <v>https://ceds.ed.gov/cedselementdetails.aspx?termid=6003</v>
      </c>
      <c r="P66" s="6" t="str">
        <f>HYPERLINK("https://ceds.ed.gov/elementComment.aspx?elementName=Assessment Early Learning Developmental Domain &amp;elementID=6003", "Click here to submit comment")</f>
        <v>Click here to submit comment</v>
      </c>
    </row>
    <row r="67" spans="1:16" ht="375">
      <c r="A67" s="6" t="s">
        <v>6715</v>
      </c>
      <c r="B67" s="6" t="s">
        <v>6716</v>
      </c>
      <c r="C67" s="6" t="s">
        <v>6731</v>
      </c>
      <c r="D67" s="6" t="s">
        <v>942</v>
      </c>
      <c r="E67" s="6" t="s">
        <v>943</v>
      </c>
      <c r="F67" s="7" t="s">
        <v>6390</v>
      </c>
      <c r="G67" s="6" t="s">
        <v>6030</v>
      </c>
      <c r="H67" s="6"/>
      <c r="I67" s="6"/>
      <c r="J67" s="6"/>
      <c r="K67" s="6"/>
      <c r="L67" s="6" t="s">
        <v>944</v>
      </c>
      <c r="M67" s="6"/>
      <c r="N67" s="6" t="s">
        <v>945</v>
      </c>
      <c r="O67" s="6" t="str">
        <f>HYPERLINK("https://ceds.ed.gov/cedselementdetails.aspx?termid=5177")</f>
        <v>https://ceds.ed.gov/cedselementdetails.aspx?termid=5177</v>
      </c>
      <c r="P67" s="6" t="str">
        <f>HYPERLINK("https://ceds.ed.gov/elementComment.aspx?elementName=Assessment Level for Which Designed &amp;elementID=5177", "Click here to submit comment")</f>
        <v>Click here to submit comment</v>
      </c>
    </row>
    <row r="68" spans="1:16" ht="409.5">
      <c r="A68" s="6" t="s">
        <v>6715</v>
      </c>
      <c r="B68" s="6" t="s">
        <v>6716</v>
      </c>
      <c r="C68" s="6" t="s">
        <v>6731</v>
      </c>
      <c r="D68" s="6" t="s">
        <v>2199</v>
      </c>
      <c r="E68" s="6" t="s">
        <v>2200</v>
      </c>
      <c r="F68" s="7" t="s">
        <v>6459</v>
      </c>
      <c r="G68" s="6"/>
      <c r="H68" s="6" t="s">
        <v>54</v>
      </c>
      <c r="I68" s="6"/>
      <c r="J68" s="6"/>
      <c r="K68" s="6" t="s">
        <v>2201</v>
      </c>
      <c r="L68" s="6" t="s">
        <v>2202</v>
      </c>
      <c r="M68" s="6"/>
      <c r="N68" s="6" t="s">
        <v>2203</v>
      </c>
      <c r="O68" s="6" t="str">
        <f>HYPERLINK("https://ceds.ed.gov/cedselementdetails.aspx?termid=6286")</f>
        <v>https://ceds.ed.gov/cedselementdetails.aspx?termid=6286</v>
      </c>
      <c r="P68" s="6" t="str">
        <f>HYPERLINK("https://ceds.ed.gov/elementComment.aspx?elementName=Disability Condition Type &amp;elementID=6286", "Click here to submit comment")</f>
        <v>Click here to submit comment</v>
      </c>
    </row>
    <row r="69" spans="1:16" ht="255">
      <c r="A69" s="6" t="s">
        <v>6715</v>
      </c>
      <c r="B69" s="6" t="s">
        <v>6716</v>
      </c>
      <c r="C69" s="6" t="s">
        <v>6731</v>
      </c>
      <c r="D69" s="6" t="s">
        <v>2204</v>
      </c>
      <c r="E69" s="6" t="s">
        <v>2205</v>
      </c>
      <c r="F69" s="7" t="s">
        <v>6460</v>
      </c>
      <c r="G69" s="6"/>
      <c r="H69" s="6" t="s">
        <v>54</v>
      </c>
      <c r="I69" s="6"/>
      <c r="J69" s="6"/>
      <c r="K69" s="6" t="s">
        <v>2201</v>
      </c>
      <c r="L69" s="6" t="s">
        <v>2206</v>
      </c>
      <c r="M69" s="6"/>
      <c r="N69" s="6" t="s">
        <v>2207</v>
      </c>
      <c r="O69" s="6" t="str">
        <f>HYPERLINK("https://ceds.ed.gov/cedselementdetails.aspx?termid=6287")</f>
        <v>https://ceds.ed.gov/cedselementdetails.aspx?termid=6287</v>
      </c>
      <c r="P69" s="6" t="str">
        <f>HYPERLINK("https://ceds.ed.gov/elementComment.aspx?elementName=Disability Determination Source Type &amp;elementID=6287", "Click here to submit comment")</f>
        <v>Click here to submit comment</v>
      </c>
    </row>
    <row r="70" spans="1:16" ht="45">
      <c r="A70" s="6" t="s">
        <v>6715</v>
      </c>
      <c r="B70" s="6" t="s">
        <v>6716</v>
      </c>
      <c r="C70" s="6" t="s">
        <v>6732</v>
      </c>
      <c r="D70" s="6" t="s">
        <v>2395</v>
      </c>
      <c r="E70" s="6" t="s">
        <v>2396</v>
      </c>
      <c r="F70" s="6" t="s">
        <v>13</v>
      </c>
      <c r="G70" s="6"/>
      <c r="H70" s="6" t="s">
        <v>54</v>
      </c>
      <c r="I70" s="6" t="s">
        <v>73</v>
      </c>
      <c r="J70" s="6"/>
      <c r="K70" s="6"/>
      <c r="L70" s="6" t="s">
        <v>2398</v>
      </c>
      <c r="M70" s="6"/>
      <c r="N70" s="6" t="s">
        <v>2399</v>
      </c>
      <c r="O70" s="6" t="str">
        <f>HYPERLINK("https://ceds.ed.gov/cedselementdetails.aspx?termid=6305")</f>
        <v>https://ceds.ed.gov/cedselementdetails.aspx?termid=6305</v>
      </c>
      <c r="P70" s="6" t="str">
        <f>HYPERLINK("https://ceds.ed.gov/elementComment.aspx?elementName=Early Learning Program Eligibility Expiration Date &amp;elementID=6305", "Click here to submit comment")</f>
        <v>Click here to submit comment</v>
      </c>
    </row>
    <row r="71" spans="1:16" ht="90">
      <c r="A71" s="6" t="s">
        <v>6715</v>
      </c>
      <c r="B71" s="6" t="s">
        <v>6716</v>
      </c>
      <c r="C71" s="6" t="s">
        <v>6732</v>
      </c>
      <c r="D71" s="6" t="s">
        <v>2400</v>
      </c>
      <c r="E71" s="6" t="s">
        <v>2401</v>
      </c>
      <c r="F71" s="7" t="s">
        <v>6485</v>
      </c>
      <c r="G71" s="6"/>
      <c r="H71" s="6" t="s">
        <v>54</v>
      </c>
      <c r="I71" s="6"/>
      <c r="J71" s="6"/>
      <c r="K71" s="6"/>
      <c r="L71" s="6" t="s">
        <v>2402</v>
      </c>
      <c r="M71" s="6"/>
      <c r="N71" s="6" t="s">
        <v>2403</v>
      </c>
      <c r="O71" s="6" t="str">
        <f>HYPERLINK("https://ceds.ed.gov/cedselementdetails.aspx?termid=6306")</f>
        <v>https://ceds.ed.gov/cedselementdetails.aspx?termid=6306</v>
      </c>
      <c r="P71" s="6" t="str">
        <f>HYPERLINK("https://ceds.ed.gov/elementComment.aspx?elementName=Early Learning Program Eligibility Status &amp;elementID=6306", "Click here to submit comment")</f>
        <v>Click here to submit comment</v>
      </c>
    </row>
    <row r="72" spans="1:16" ht="45">
      <c r="A72" s="6" t="s">
        <v>6715</v>
      </c>
      <c r="B72" s="6" t="s">
        <v>6716</v>
      </c>
      <c r="C72" s="6" t="s">
        <v>6732</v>
      </c>
      <c r="D72" s="6" t="s">
        <v>2404</v>
      </c>
      <c r="E72" s="6" t="s">
        <v>2405</v>
      </c>
      <c r="F72" s="6" t="s">
        <v>13</v>
      </c>
      <c r="G72" s="6"/>
      <c r="H72" s="6" t="s">
        <v>54</v>
      </c>
      <c r="I72" s="6" t="s">
        <v>73</v>
      </c>
      <c r="J72" s="6"/>
      <c r="K72" s="6"/>
      <c r="L72" s="6" t="s">
        <v>2406</v>
      </c>
      <c r="M72" s="6"/>
      <c r="N72" s="6" t="s">
        <v>2407</v>
      </c>
      <c r="O72" s="6" t="str">
        <f>HYPERLINK("https://ceds.ed.gov/cedselementdetails.aspx?termid=6307")</f>
        <v>https://ceds.ed.gov/cedselementdetails.aspx?termid=6307</v>
      </c>
      <c r="P72" s="6" t="str">
        <f>HYPERLINK("https://ceds.ed.gov/elementComment.aspx?elementName=Early Learning Program Eligibility Status Date &amp;elementID=6307", "Click here to submit comment")</f>
        <v>Click here to submit comment</v>
      </c>
    </row>
    <row r="73" spans="1:16" ht="45">
      <c r="A73" s="6" t="s">
        <v>6715</v>
      </c>
      <c r="B73" s="6" t="s">
        <v>6716</v>
      </c>
      <c r="C73" s="6" t="s">
        <v>6732</v>
      </c>
      <c r="D73" s="6" t="s">
        <v>3052</v>
      </c>
      <c r="E73" s="6" t="s">
        <v>3053</v>
      </c>
      <c r="F73" s="6" t="s">
        <v>5963</v>
      </c>
      <c r="G73" s="6"/>
      <c r="H73" s="6" t="s">
        <v>54</v>
      </c>
      <c r="I73" s="6"/>
      <c r="J73" s="6"/>
      <c r="K73" s="6"/>
      <c r="L73" s="6" t="s">
        <v>3054</v>
      </c>
      <c r="M73" s="6"/>
      <c r="N73" s="6" t="s">
        <v>3055</v>
      </c>
      <c r="O73" s="6" t="str">
        <f>HYPERLINK("https://ceds.ed.gov/cedselementdetails.aspx?termid=6327")</f>
        <v>https://ceds.ed.gov/cedselementdetails.aspx?termid=6327</v>
      </c>
      <c r="P73" s="6" t="str">
        <f>HYPERLINK("https://ceds.ed.gov/elementComment.aspx?elementName=IDEA Part B 619 Potential Eligibility Indicator &amp;elementID=6327", "Click here to submit comment")</f>
        <v>Click here to submit comment</v>
      </c>
    </row>
    <row r="74" spans="1:16" ht="180">
      <c r="A74" s="6" t="s">
        <v>6715</v>
      </c>
      <c r="B74" s="6" t="s">
        <v>6716</v>
      </c>
      <c r="C74" s="6" t="s">
        <v>6733</v>
      </c>
      <c r="D74" s="6" t="s">
        <v>3419</v>
      </c>
      <c r="E74" s="6" t="s">
        <v>3420</v>
      </c>
      <c r="F74" s="7" t="s">
        <v>6563</v>
      </c>
      <c r="G74" s="6" t="s">
        <v>6214</v>
      </c>
      <c r="H74" s="6"/>
      <c r="I74" s="6"/>
      <c r="J74" s="6"/>
      <c r="K74" s="6"/>
      <c r="L74" s="6" t="s">
        <v>3421</v>
      </c>
      <c r="M74" s="6"/>
      <c r="N74" s="6" t="s">
        <v>3422</v>
      </c>
      <c r="O74" s="6" t="str">
        <f>HYPERLINK("https://ceds.ed.gov/cedselementdetails.aspx?termid=5316")</f>
        <v>https://ceds.ed.gov/cedselementdetails.aspx?termid=5316</v>
      </c>
      <c r="P74" s="6" t="str">
        <f>HYPERLINK("https://ceds.ed.gov/elementComment.aspx?elementName=Language Type &amp;elementID=5316", "Click here to submit comment")</f>
        <v>Click here to submit comment</v>
      </c>
    </row>
    <row r="75" spans="1:16" ht="90">
      <c r="A75" s="6" t="s">
        <v>6715</v>
      </c>
      <c r="B75" s="6" t="s">
        <v>6716</v>
      </c>
      <c r="C75" s="6" t="s">
        <v>6733</v>
      </c>
      <c r="D75" s="6" t="s">
        <v>3406</v>
      </c>
      <c r="E75" s="6" t="s">
        <v>3407</v>
      </c>
      <c r="F75" s="5" t="s">
        <v>939</v>
      </c>
      <c r="G75" s="6" t="s">
        <v>6214</v>
      </c>
      <c r="H75" s="6" t="s">
        <v>66</v>
      </c>
      <c r="I75" s="6"/>
      <c r="J75" s="6" t="s">
        <v>2645</v>
      </c>
      <c r="K75" s="6" t="s">
        <v>3408</v>
      </c>
      <c r="L75" s="6" t="s">
        <v>3409</v>
      </c>
      <c r="M75" s="6"/>
      <c r="N75" s="6" t="s">
        <v>3410</v>
      </c>
      <c r="O75" s="6" t="str">
        <f>HYPERLINK("https://ceds.ed.gov/cedselementdetails.aspx?termid=5317")</f>
        <v>https://ceds.ed.gov/cedselementdetails.aspx?termid=5317</v>
      </c>
      <c r="P75" s="6" t="str">
        <f>HYPERLINK("https://ceds.ed.gov/elementComment.aspx?elementName=Language Code &amp;elementID=5317", "Click here to submit comment")</f>
        <v>Click here to submit comment</v>
      </c>
    </row>
    <row r="76" spans="1:16" ht="75">
      <c r="A76" s="6" t="s">
        <v>6715</v>
      </c>
      <c r="B76" s="6" t="s">
        <v>6716</v>
      </c>
      <c r="C76" s="6" t="s">
        <v>6734</v>
      </c>
      <c r="D76" s="6" t="s">
        <v>3035</v>
      </c>
      <c r="E76" s="6" t="s">
        <v>3036</v>
      </c>
      <c r="F76" s="7" t="s">
        <v>6537</v>
      </c>
      <c r="G76" s="6"/>
      <c r="H76" s="6" t="s">
        <v>54</v>
      </c>
      <c r="I76" s="6"/>
      <c r="J76" s="6"/>
      <c r="K76" s="6"/>
      <c r="L76" s="6" t="s">
        <v>3038</v>
      </c>
      <c r="M76" s="6"/>
      <c r="N76" s="6" t="s">
        <v>3039</v>
      </c>
      <c r="O76" s="6" t="str">
        <f>HYPERLINK("https://ceds.ed.gov/cedselementdetails.aspx?termid=6473")</f>
        <v>https://ceds.ed.gov/cedselementdetails.aspx?termid=6473</v>
      </c>
      <c r="P76" s="6" t="str">
        <f>HYPERLINK("https://ceds.ed.gov/elementComment.aspx?elementName=IDEA IEP Status &amp;elementID=6473", "Click here to submit comment")</f>
        <v>Click here to submit comment</v>
      </c>
    </row>
    <row r="77" spans="1:16" ht="45">
      <c r="A77" s="6" t="s">
        <v>6715</v>
      </c>
      <c r="B77" s="6" t="s">
        <v>6716</v>
      </c>
      <c r="C77" s="6" t="s">
        <v>6734</v>
      </c>
      <c r="D77" s="6" t="s">
        <v>3052</v>
      </c>
      <c r="E77" s="6" t="s">
        <v>3053</v>
      </c>
      <c r="F77" s="6" t="s">
        <v>5963</v>
      </c>
      <c r="G77" s="6"/>
      <c r="H77" s="6" t="s">
        <v>54</v>
      </c>
      <c r="I77" s="6"/>
      <c r="J77" s="6"/>
      <c r="K77" s="6"/>
      <c r="L77" s="6" t="s">
        <v>3054</v>
      </c>
      <c r="M77" s="6"/>
      <c r="N77" s="6" t="s">
        <v>3055</v>
      </c>
      <c r="O77" s="6" t="str">
        <f>HYPERLINK("https://ceds.ed.gov/cedselementdetails.aspx?termid=6327")</f>
        <v>https://ceds.ed.gov/cedselementdetails.aspx?termid=6327</v>
      </c>
      <c r="P77" s="6" t="str">
        <f>HYPERLINK("https://ceds.ed.gov/elementComment.aspx?elementName=IDEA Part B 619 Potential Eligibility Indicator &amp;elementID=6327", "Click here to submit comment")</f>
        <v>Click here to submit comment</v>
      </c>
    </row>
    <row r="78" spans="1:16" ht="75">
      <c r="A78" s="6" t="s">
        <v>6715</v>
      </c>
      <c r="B78" s="6" t="s">
        <v>6716</v>
      </c>
      <c r="C78" s="6" t="s">
        <v>6734</v>
      </c>
      <c r="D78" s="6" t="s">
        <v>3056</v>
      </c>
      <c r="E78" s="6" t="s">
        <v>3057</v>
      </c>
      <c r="F78" s="6" t="s">
        <v>13</v>
      </c>
      <c r="G78" s="6"/>
      <c r="H78" s="6" t="s">
        <v>54</v>
      </c>
      <c r="I78" s="6" t="s">
        <v>73</v>
      </c>
      <c r="J78" s="6"/>
      <c r="K78" s="6"/>
      <c r="L78" s="6" t="s">
        <v>3058</v>
      </c>
      <c r="M78" s="6"/>
      <c r="N78" s="6" t="s">
        <v>3059</v>
      </c>
      <c r="O78" s="6" t="str">
        <f>HYPERLINK("https://ceds.ed.gov/cedselementdetails.aspx?termid=6472")</f>
        <v>https://ceds.ed.gov/cedselementdetails.aspx?termid=6472</v>
      </c>
      <c r="P78" s="6" t="str">
        <f>HYPERLINK("https://ceds.ed.gov/elementComment.aspx?elementName=IDEA Part C to B Sharing Notification Date &amp;elementID=6472", "Click here to submit comment")</f>
        <v>Click here to submit comment</v>
      </c>
    </row>
    <row r="79" spans="1:16" ht="60">
      <c r="A79" s="6" t="s">
        <v>6715</v>
      </c>
      <c r="B79" s="6" t="s">
        <v>6716</v>
      </c>
      <c r="C79" s="6" t="s">
        <v>6734</v>
      </c>
      <c r="D79" s="6" t="s">
        <v>3060</v>
      </c>
      <c r="E79" s="6" t="s">
        <v>3061</v>
      </c>
      <c r="F79" s="6" t="s">
        <v>13</v>
      </c>
      <c r="G79" s="6"/>
      <c r="H79" s="6" t="s">
        <v>54</v>
      </c>
      <c r="I79" s="6" t="s">
        <v>73</v>
      </c>
      <c r="J79" s="6"/>
      <c r="K79" s="6"/>
      <c r="L79" s="6" t="s">
        <v>3062</v>
      </c>
      <c r="M79" s="6"/>
      <c r="N79" s="6" t="s">
        <v>3063</v>
      </c>
      <c r="O79" s="6" t="str">
        <f>HYPERLINK("https://ceds.ed.gov/cedselementdetails.aspx?termid=6333")</f>
        <v>https://ceds.ed.gov/cedselementdetails.aspx?termid=6333</v>
      </c>
      <c r="P79" s="6" t="str">
        <f>HYPERLINK("https://ceds.ed.gov/elementComment.aspx?elementName=IDEA Part C to Part B Date of Transition Conference &amp;elementID=6333", "Click here to submit comment")</f>
        <v>Click here to submit comment</v>
      </c>
    </row>
    <row r="80" spans="1:16" ht="75">
      <c r="A80" s="6" t="s">
        <v>6715</v>
      </c>
      <c r="B80" s="6" t="s">
        <v>6716</v>
      </c>
      <c r="C80" s="6" t="s">
        <v>6734</v>
      </c>
      <c r="D80" s="6" t="s">
        <v>3064</v>
      </c>
      <c r="E80" s="6" t="s">
        <v>3065</v>
      </c>
      <c r="F80" s="6" t="s">
        <v>13</v>
      </c>
      <c r="G80" s="6"/>
      <c r="H80" s="6" t="s">
        <v>54</v>
      </c>
      <c r="I80" s="6" t="s">
        <v>73</v>
      </c>
      <c r="J80" s="6"/>
      <c r="K80" s="6"/>
      <c r="L80" s="6" t="s">
        <v>3066</v>
      </c>
      <c r="M80" s="6"/>
      <c r="N80" s="6" t="s">
        <v>3067</v>
      </c>
      <c r="O80" s="6" t="str">
        <f>HYPERLINK("https://ceds.ed.gov/cedselementdetails.aspx?termid=6334")</f>
        <v>https://ceds.ed.gov/cedselementdetails.aspx?termid=6334</v>
      </c>
      <c r="P80" s="6" t="str">
        <f>HYPERLINK("https://ceds.ed.gov/elementComment.aspx?elementName=IDEA Part C to Part B Date of Transition Conference Decline &amp;elementID=6334", "Click here to submit comment")</f>
        <v>Click here to submit comment</v>
      </c>
    </row>
    <row r="81" spans="1:16" ht="60">
      <c r="A81" s="6" t="s">
        <v>6715</v>
      </c>
      <c r="B81" s="6" t="s">
        <v>6716</v>
      </c>
      <c r="C81" s="6" t="s">
        <v>6734</v>
      </c>
      <c r="D81" s="6" t="s">
        <v>3068</v>
      </c>
      <c r="E81" s="6" t="s">
        <v>3069</v>
      </c>
      <c r="F81" s="6" t="s">
        <v>13</v>
      </c>
      <c r="G81" s="6"/>
      <c r="H81" s="6" t="s">
        <v>54</v>
      </c>
      <c r="I81" s="6" t="s">
        <v>73</v>
      </c>
      <c r="J81" s="6"/>
      <c r="K81" s="6"/>
      <c r="L81" s="6" t="s">
        <v>3070</v>
      </c>
      <c r="M81" s="6"/>
      <c r="N81" s="6" t="s">
        <v>3071</v>
      </c>
      <c r="O81" s="6" t="str">
        <f>HYPERLINK("https://ceds.ed.gov/cedselementdetails.aspx?termid=6335")</f>
        <v>https://ceds.ed.gov/cedselementdetails.aspx?termid=6335</v>
      </c>
      <c r="P81" s="6" t="str">
        <f>HYPERLINK("https://ceds.ed.gov/elementComment.aspx?elementName=IDEA Part C to Part B Date of Transition Plan Steps or Services &amp;elementID=6335", "Click here to submit comment")</f>
        <v>Click here to submit comment</v>
      </c>
    </row>
    <row r="82" spans="1:16" ht="105">
      <c r="A82" s="6" t="s">
        <v>6715</v>
      </c>
      <c r="B82" s="6" t="s">
        <v>6716</v>
      </c>
      <c r="C82" s="6" t="s">
        <v>6734</v>
      </c>
      <c r="D82" s="6" t="s">
        <v>3072</v>
      </c>
      <c r="E82" s="6" t="s">
        <v>3073</v>
      </c>
      <c r="F82" s="6" t="s">
        <v>13</v>
      </c>
      <c r="G82" s="6"/>
      <c r="H82" s="6" t="s">
        <v>54</v>
      </c>
      <c r="I82" s="6" t="s">
        <v>73</v>
      </c>
      <c r="J82" s="6"/>
      <c r="K82" s="6"/>
      <c r="L82" s="6" t="s">
        <v>3074</v>
      </c>
      <c r="M82" s="6"/>
      <c r="N82" s="6" t="s">
        <v>3075</v>
      </c>
      <c r="O82" s="6" t="str">
        <f>HYPERLINK("https://ceds.ed.gov/cedselementdetails.aspx?termid=6331")</f>
        <v>https://ceds.ed.gov/cedselementdetails.aspx?termid=6331</v>
      </c>
      <c r="P82" s="6" t="str">
        <f>HYPERLINK("https://ceds.ed.gov/elementComment.aspx?elementName=IDEA Part C to Part B Parent Notification Opt Out Date &amp;elementID=6331", "Click here to submit comment")</f>
        <v>Click here to submit comment</v>
      </c>
    </row>
    <row r="83" spans="1:16" ht="105">
      <c r="A83" s="6" t="s">
        <v>6715</v>
      </c>
      <c r="B83" s="6" t="s">
        <v>6716</v>
      </c>
      <c r="C83" s="6" t="s">
        <v>6734</v>
      </c>
      <c r="D83" s="6" t="s">
        <v>3076</v>
      </c>
      <c r="E83" s="6" t="s">
        <v>3077</v>
      </c>
      <c r="F83" s="6" t="s">
        <v>5963</v>
      </c>
      <c r="G83" s="6"/>
      <c r="H83" s="6" t="s">
        <v>54</v>
      </c>
      <c r="I83" s="6"/>
      <c r="J83" s="6"/>
      <c r="K83" s="6"/>
      <c r="L83" s="6" t="s">
        <v>3078</v>
      </c>
      <c r="M83" s="6"/>
      <c r="N83" s="6" t="s">
        <v>3079</v>
      </c>
      <c r="O83" s="6" t="str">
        <f>HYPERLINK("https://ceds.ed.gov/cedselementdetails.aspx?termid=6330")</f>
        <v>https://ceds.ed.gov/cedselementdetails.aspx?termid=6330</v>
      </c>
      <c r="P83" s="6" t="str">
        <f>HYPERLINK("https://ceds.ed.gov/elementComment.aspx?elementName=IDEA Part C to Part B Parent Notification Opt Out Indicator &amp;elementID=6330", "Click here to submit comment")</f>
        <v>Click here to submit comment</v>
      </c>
    </row>
    <row r="84" spans="1:16" ht="30">
      <c r="A84" s="6" t="s">
        <v>6715</v>
      </c>
      <c r="B84" s="6" t="s">
        <v>6716</v>
      </c>
      <c r="C84" s="6" t="s">
        <v>6734</v>
      </c>
      <c r="D84" s="6" t="s">
        <v>4967</v>
      </c>
      <c r="E84" s="6" t="s">
        <v>4968</v>
      </c>
      <c r="F84" s="6" t="s">
        <v>13</v>
      </c>
      <c r="G84" s="6"/>
      <c r="H84" s="6" t="s">
        <v>54</v>
      </c>
      <c r="I84" s="6" t="s">
        <v>319</v>
      </c>
      <c r="J84" s="6"/>
      <c r="K84" s="6"/>
      <c r="L84" s="6" t="s">
        <v>4969</v>
      </c>
      <c r="M84" s="6"/>
      <c r="N84" s="6" t="s">
        <v>4970</v>
      </c>
      <c r="O84" s="6" t="str">
        <f>HYPERLINK("https://ceds.ed.gov/cedselementdetails.aspx?termid=6460")</f>
        <v>https://ceds.ed.gov/cedselementdetails.aspx?termid=6460</v>
      </c>
      <c r="P84" s="6" t="str">
        <f>HYPERLINK("https://ceds.ed.gov/elementComment.aspx?elementName=Reason for Declined Services &amp;elementID=6460", "Click here to submit comment")</f>
        <v>Click here to submit comment</v>
      </c>
    </row>
    <row r="85" spans="1:16" ht="120">
      <c r="A85" s="6" t="s">
        <v>6715</v>
      </c>
      <c r="B85" s="6" t="s">
        <v>6716</v>
      </c>
      <c r="C85" s="6" t="s">
        <v>6734</v>
      </c>
      <c r="D85" s="6" t="s">
        <v>4971</v>
      </c>
      <c r="E85" s="6" t="s">
        <v>4972</v>
      </c>
      <c r="F85" s="7" t="s">
        <v>6635</v>
      </c>
      <c r="G85" s="6"/>
      <c r="H85" s="6" t="s">
        <v>54</v>
      </c>
      <c r="I85" s="6"/>
      <c r="J85" s="6"/>
      <c r="K85" s="6"/>
      <c r="L85" s="6" t="s">
        <v>4973</v>
      </c>
      <c r="M85" s="6"/>
      <c r="N85" s="6" t="s">
        <v>4974</v>
      </c>
      <c r="O85" s="6" t="str">
        <f>HYPERLINK("https://ceds.ed.gov/cedselementdetails.aspx?termid=6494")</f>
        <v>https://ceds.ed.gov/cedselementdetails.aspx?termid=6494</v>
      </c>
      <c r="P85" s="6" t="str">
        <f>HYPERLINK("https://ceds.ed.gov/elementComment.aspx?elementName=Reason for Delay of Transition Conference &amp;elementID=6494", "Click here to submit comment")</f>
        <v>Click here to submit comment</v>
      </c>
    </row>
    <row r="86" spans="1:16" ht="409.5">
      <c r="A86" s="6" t="s">
        <v>6715</v>
      </c>
      <c r="B86" s="6" t="s">
        <v>6716</v>
      </c>
      <c r="C86" s="6" t="s">
        <v>6734</v>
      </c>
      <c r="D86" s="6" t="s">
        <v>5406</v>
      </c>
      <c r="E86" s="6" t="s">
        <v>5407</v>
      </c>
      <c r="F86" s="7" t="s">
        <v>6660</v>
      </c>
      <c r="G86" s="6" t="s">
        <v>218</v>
      </c>
      <c r="H86" s="6" t="s">
        <v>66</v>
      </c>
      <c r="I86" s="6"/>
      <c r="J86" s="6" t="s">
        <v>5408</v>
      </c>
      <c r="K86" s="6"/>
      <c r="L86" s="6" t="s">
        <v>5409</v>
      </c>
      <c r="M86" s="6"/>
      <c r="N86" s="6" t="s">
        <v>5410</v>
      </c>
      <c r="O86" s="6" t="str">
        <f>HYPERLINK("https://ceds.ed.gov/cedselementdetails.aspx?termid=5260")</f>
        <v>https://ceds.ed.gov/cedselementdetails.aspx?termid=5260</v>
      </c>
      <c r="P86" s="6" t="str">
        <f>HYPERLINK("https://ceds.ed.gov/elementComment.aspx?elementName=Special Education Exit Reason &amp;elementID=5260", "Click here to submit comment")</f>
        <v>Click here to submit comment</v>
      </c>
    </row>
    <row r="87" spans="1:16" ht="45">
      <c r="A87" s="6" t="s">
        <v>6715</v>
      </c>
      <c r="B87" s="6" t="s">
        <v>6716</v>
      </c>
      <c r="C87" s="6" t="s">
        <v>6735</v>
      </c>
      <c r="D87" s="6" t="s">
        <v>381</v>
      </c>
      <c r="E87" s="6" t="s">
        <v>382</v>
      </c>
      <c r="F87" s="6" t="s">
        <v>13</v>
      </c>
      <c r="G87" s="6" t="s">
        <v>5988</v>
      </c>
      <c r="H87" s="6"/>
      <c r="I87" s="6" t="s">
        <v>73</v>
      </c>
      <c r="J87" s="6"/>
      <c r="K87" s="6"/>
      <c r="L87" s="6" t="s">
        <v>384</v>
      </c>
      <c r="M87" s="6"/>
      <c r="N87" s="6" t="s">
        <v>385</v>
      </c>
      <c r="O87" s="6" t="str">
        <f>HYPERLINK("https://ceds.ed.gov/cedselementdetails.aspx?termid=5323")</f>
        <v>https://ceds.ed.gov/cedselementdetails.aspx?termid=5323</v>
      </c>
      <c r="P87" s="6" t="str">
        <f>HYPERLINK("https://ceds.ed.gov/elementComment.aspx?elementName=Application Date &amp;elementID=5323", "Click here to submit comment")</f>
        <v>Click here to submit comment</v>
      </c>
    </row>
    <row r="88" spans="1:16" ht="375">
      <c r="A88" s="6" t="s">
        <v>6715</v>
      </c>
      <c r="B88" s="6" t="s">
        <v>6716</v>
      </c>
      <c r="C88" s="6" t="s">
        <v>6735</v>
      </c>
      <c r="D88" s="6" t="s">
        <v>3027</v>
      </c>
      <c r="E88" s="6" t="s">
        <v>3028</v>
      </c>
      <c r="F88" s="7" t="s">
        <v>6535</v>
      </c>
      <c r="G88" s="6" t="s">
        <v>218</v>
      </c>
      <c r="H88" s="6"/>
      <c r="I88" s="6"/>
      <c r="J88" s="6"/>
      <c r="K88" s="6"/>
      <c r="L88" s="6" t="s">
        <v>3029</v>
      </c>
      <c r="M88" s="6"/>
      <c r="N88" s="6" t="s">
        <v>3030</v>
      </c>
      <c r="O88" s="6" t="str">
        <f>HYPERLINK("https://ceds.ed.gov/cedselementdetails.aspx?termid=5550")</f>
        <v>https://ceds.ed.gov/cedselementdetails.aspx?termid=5550</v>
      </c>
      <c r="P88" s="6" t="str">
        <f>HYPERLINK("https://ceds.ed.gov/elementComment.aspx?elementName=IDEA Educational Environment for Early Childhood &amp;elementID=5550", "Click here to submit comment")</f>
        <v>Click here to submit comment</v>
      </c>
    </row>
    <row r="89" spans="1:16" ht="270">
      <c r="A89" s="6" t="s">
        <v>6715</v>
      </c>
      <c r="B89" s="6" t="s">
        <v>6716</v>
      </c>
      <c r="C89" s="6" t="s">
        <v>6735</v>
      </c>
      <c r="D89" s="6" t="s">
        <v>2298</v>
      </c>
      <c r="E89" s="6" t="s">
        <v>2299</v>
      </c>
      <c r="F89" s="7" t="s">
        <v>6470</v>
      </c>
      <c r="G89" s="6" t="s">
        <v>6140</v>
      </c>
      <c r="H89" s="6"/>
      <c r="I89" s="6"/>
      <c r="J89" s="6"/>
      <c r="K89" s="6"/>
      <c r="L89" s="6" t="s">
        <v>2300</v>
      </c>
      <c r="M89" s="6"/>
      <c r="N89" s="6" t="s">
        <v>2301</v>
      </c>
      <c r="O89" s="6" t="str">
        <f>HYPERLINK("https://ceds.ed.gov/cedselementdetails.aspx?termid=5318")</f>
        <v>https://ceds.ed.gov/cedselementdetails.aspx?termid=5318</v>
      </c>
      <c r="P89" s="6" t="str">
        <f>HYPERLINK("https://ceds.ed.gov/elementComment.aspx?elementName=Early Childhood Enrollment Service Type &amp;elementID=5318", "Click here to submit comment")</f>
        <v>Click here to submit comment</v>
      </c>
    </row>
    <row r="90" spans="1:16" ht="375">
      <c r="A90" s="6" t="s">
        <v>6715</v>
      </c>
      <c r="B90" s="6" t="s">
        <v>6716</v>
      </c>
      <c r="C90" s="6" t="s">
        <v>6735</v>
      </c>
      <c r="D90" s="6" t="s">
        <v>4595</v>
      </c>
      <c r="E90" s="6" t="s">
        <v>4596</v>
      </c>
      <c r="F90" s="7" t="s">
        <v>6608</v>
      </c>
      <c r="G90" s="6" t="s">
        <v>2147</v>
      </c>
      <c r="H90" s="6"/>
      <c r="I90" s="6"/>
      <c r="J90" s="6"/>
      <c r="K90" s="6"/>
      <c r="L90" s="6" t="s">
        <v>4597</v>
      </c>
      <c r="M90" s="6"/>
      <c r="N90" s="6" t="s">
        <v>4598</v>
      </c>
      <c r="O90" s="6" t="str">
        <f>HYPERLINK("https://ceds.ed.gov/cedselementdetails.aspx?termid=5319")</f>
        <v>https://ceds.ed.gov/cedselementdetails.aspx?termid=5319</v>
      </c>
      <c r="P90" s="6" t="str">
        <f>HYPERLINK("https://ceds.ed.gov/elementComment.aspx?elementName=Prior Early Childhood Experience &amp;elementID=5319", "Click here to submit comment")</f>
        <v>Click here to submit comment</v>
      </c>
    </row>
    <row r="91" spans="1:16" ht="45">
      <c r="A91" s="6" t="s">
        <v>6715</v>
      </c>
      <c r="B91" s="6" t="s">
        <v>6716</v>
      </c>
      <c r="C91" s="6" t="s">
        <v>6735</v>
      </c>
      <c r="D91" s="6" t="s">
        <v>2550</v>
      </c>
      <c r="E91" s="6" t="s">
        <v>2551</v>
      </c>
      <c r="F91" s="6" t="s">
        <v>13</v>
      </c>
      <c r="G91" s="6" t="s">
        <v>5988</v>
      </c>
      <c r="H91" s="6"/>
      <c r="I91" s="6" t="s">
        <v>73</v>
      </c>
      <c r="J91" s="6"/>
      <c r="K91" s="6"/>
      <c r="L91" s="6" t="s">
        <v>2552</v>
      </c>
      <c r="M91" s="6"/>
      <c r="N91" s="6" t="s">
        <v>2553</v>
      </c>
      <c r="O91" s="6" t="str">
        <f>HYPERLINK("https://ceds.ed.gov/cedselementdetails.aspx?termid=5324")</f>
        <v>https://ceds.ed.gov/cedselementdetails.aspx?termid=5324</v>
      </c>
      <c r="P91" s="6" t="str">
        <f>HYPERLINK("https://ceds.ed.gov/elementComment.aspx?elementName=Enrollment Date &amp;elementID=5324", "Click here to submit comment")</f>
        <v>Click here to submit comment</v>
      </c>
    </row>
    <row r="92" spans="1:16" ht="165">
      <c r="A92" s="6" t="s">
        <v>6715</v>
      </c>
      <c r="B92" s="6" t="s">
        <v>6716</v>
      </c>
      <c r="C92" s="6" t="s">
        <v>6735</v>
      </c>
      <c r="D92" s="6" t="s">
        <v>2554</v>
      </c>
      <c r="E92" s="6" t="s">
        <v>2555</v>
      </c>
      <c r="F92" s="6" t="s">
        <v>13</v>
      </c>
      <c r="G92" s="6" t="s">
        <v>6159</v>
      </c>
      <c r="H92" s="6"/>
      <c r="I92" s="6" t="s">
        <v>73</v>
      </c>
      <c r="J92" s="6"/>
      <c r="K92" s="6"/>
      <c r="L92" s="6" t="s">
        <v>2556</v>
      </c>
      <c r="M92" s="6"/>
      <c r="N92" s="6" t="s">
        <v>2557</v>
      </c>
      <c r="O92" s="6" t="str">
        <f>HYPERLINK("https://ceds.ed.gov/cedselementdetails.aspx?termid=5097")</f>
        <v>https://ceds.ed.gov/cedselementdetails.aspx?termid=5097</v>
      </c>
      <c r="P92" s="6" t="str">
        <f>HYPERLINK("https://ceds.ed.gov/elementComment.aspx?elementName=Enrollment Entry Date &amp;elementID=5097", "Click here to submit comment")</f>
        <v>Click here to submit comment</v>
      </c>
    </row>
    <row r="93" spans="1:16" ht="60">
      <c r="A93" s="6" t="s">
        <v>6715</v>
      </c>
      <c r="B93" s="6" t="s">
        <v>6716</v>
      </c>
      <c r="C93" s="6" t="s">
        <v>6735</v>
      </c>
      <c r="D93" s="6" t="s">
        <v>2578</v>
      </c>
      <c r="E93" s="6" t="s">
        <v>2579</v>
      </c>
      <c r="F93" s="6" t="s">
        <v>13</v>
      </c>
      <c r="G93" s="6" t="s">
        <v>24</v>
      </c>
      <c r="H93" s="6"/>
      <c r="I93" s="6" t="s">
        <v>73</v>
      </c>
      <c r="J93" s="6"/>
      <c r="K93" s="6"/>
      <c r="L93" s="6" t="s">
        <v>2580</v>
      </c>
      <c r="M93" s="6"/>
      <c r="N93" s="6" t="s">
        <v>2581</v>
      </c>
      <c r="O93" s="6" t="str">
        <f>HYPERLINK("https://ceds.ed.gov/cedselementdetails.aspx?termid=5107")</f>
        <v>https://ceds.ed.gov/cedselementdetails.aspx?termid=5107</v>
      </c>
      <c r="P93" s="6" t="str">
        <f>HYPERLINK("https://ceds.ed.gov/elementComment.aspx?elementName=Exit Date &amp;elementID=5107", "Click here to submit comment")</f>
        <v>Click here to submit comment</v>
      </c>
    </row>
    <row r="94" spans="1:16" ht="60">
      <c r="A94" s="6" t="s">
        <v>6715</v>
      </c>
      <c r="B94" s="6" t="s">
        <v>6716</v>
      </c>
      <c r="C94" s="6" t="s">
        <v>6735</v>
      </c>
      <c r="D94" s="6" t="s">
        <v>5297</v>
      </c>
      <c r="E94" s="6" t="s">
        <v>5298</v>
      </c>
      <c r="F94" s="6" t="s">
        <v>13</v>
      </c>
      <c r="G94" s="6"/>
      <c r="H94" s="6"/>
      <c r="I94" s="6" t="s">
        <v>73</v>
      </c>
      <c r="J94" s="6"/>
      <c r="K94" s="6"/>
      <c r="L94" s="6" t="s">
        <v>5299</v>
      </c>
      <c r="M94" s="6"/>
      <c r="N94" s="6" t="s">
        <v>5300</v>
      </c>
      <c r="O94" s="6" t="str">
        <f>HYPERLINK("https://ceds.ed.gov/cedselementdetails.aspx?termid=5326")</f>
        <v>https://ceds.ed.gov/cedselementdetails.aspx?termid=5326</v>
      </c>
      <c r="P94" s="6" t="str">
        <f>HYPERLINK("https://ceds.ed.gov/elementComment.aspx?elementName=Service Entry Date &amp;elementID=5326", "Click here to submit comment")</f>
        <v>Click here to submit comment</v>
      </c>
    </row>
    <row r="95" spans="1:16" ht="60">
      <c r="A95" s="6" t="s">
        <v>6715</v>
      </c>
      <c r="B95" s="6" t="s">
        <v>6716</v>
      </c>
      <c r="C95" s="6" t="s">
        <v>6735</v>
      </c>
      <c r="D95" s="6" t="s">
        <v>5301</v>
      </c>
      <c r="E95" s="6" t="s">
        <v>5302</v>
      </c>
      <c r="F95" s="6" t="s">
        <v>13</v>
      </c>
      <c r="G95" s="6"/>
      <c r="H95" s="6"/>
      <c r="I95" s="6" t="s">
        <v>73</v>
      </c>
      <c r="J95" s="6"/>
      <c r="K95" s="6"/>
      <c r="L95" s="6" t="s">
        <v>5303</v>
      </c>
      <c r="M95" s="6"/>
      <c r="N95" s="6" t="s">
        <v>5304</v>
      </c>
      <c r="O95" s="6" t="str">
        <f>HYPERLINK("https://ceds.ed.gov/cedselementdetails.aspx?termid=5327")</f>
        <v>https://ceds.ed.gov/cedselementdetails.aspx?termid=5327</v>
      </c>
      <c r="P95" s="6" t="str">
        <f>HYPERLINK("https://ceds.ed.gov/elementComment.aspx?elementName=Service Exit Date &amp;elementID=5327", "Click here to submit comment")</f>
        <v>Click here to submit comment</v>
      </c>
    </row>
    <row r="96" spans="1:16" ht="255">
      <c r="A96" s="6" t="s">
        <v>6715</v>
      </c>
      <c r="B96" s="6" t="s">
        <v>6716</v>
      </c>
      <c r="C96" s="6" t="s">
        <v>6735</v>
      </c>
      <c r="D96" s="6" t="s">
        <v>4269</v>
      </c>
      <c r="E96" s="6" t="s">
        <v>4270</v>
      </c>
      <c r="F96" s="6" t="s">
        <v>13</v>
      </c>
      <c r="G96" s="6" t="s">
        <v>6263</v>
      </c>
      <c r="H96" s="6"/>
      <c r="I96" s="6" t="s">
        <v>1461</v>
      </c>
      <c r="J96" s="6"/>
      <c r="K96" s="6" t="s">
        <v>4271</v>
      </c>
      <c r="L96" s="6" t="s">
        <v>4272</v>
      </c>
      <c r="M96" s="6"/>
      <c r="N96" s="6" t="s">
        <v>4273</v>
      </c>
      <c r="O96" s="6" t="str">
        <f>HYPERLINK("https://ceds.ed.gov/cedselementdetails.aspx?termid=5202")</f>
        <v>https://ceds.ed.gov/cedselementdetails.aspx?termid=5202</v>
      </c>
      <c r="P96" s="6" t="str">
        <f>HYPERLINK("https://ceds.ed.gov/elementComment.aspx?elementName=Number of Days in Attendance &amp;elementID=5202", "Click here to submit comment")</f>
        <v>Click here to submit comment</v>
      </c>
    </row>
    <row r="97" spans="1:16" ht="45">
      <c r="A97" s="6" t="s">
        <v>6715</v>
      </c>
      <c r="B97" s="6" t="s">
        <v>6716</v>
      </c>
      <c r="C97" s="6" t="s">
        <v>6735</v>
      </c>
      <c r="D97" s="6" t="s">
        <v>4821</v>
      </c>
      <c r="E97" s="6" t="s">
        <v>4822</v>
      </c>
      <c r="F97" s="6" t="s">
        <v>13</v>
      </c>
      <c r="G97" s="6" t="s">
        <v>6051</v>
      </c>
      <c r="H97" s="6"/>
      <c r="I97" s="6" t="s">
        <v>73</v>
      </c>
      <c r="J97" s="6"/>
      <c r="K97" s="6"/>
      <c r="L97" s="6" t="s">
        <v>4823</v>
      </c>
      <c r="M97" s="6"/>
      <c r="N97" s="6" t="s">
        <v>4824</v>
      </c>
      <c r="O97" s="6" t="str">
        <f>HYPERLINK("https://ceds.ed.gov/cedselementdetails.aspx?termid=5583")</f>
        <v>https://ceds.ed.gov/cedselementdetails.aspx?termid=5583</v>
      </c>
      <c r="P97" s="6" t="str">
        <f>HYPERLINK("https://ceds.ed.gov/elementComment.aspx?elementName=Program Participation Start Date &amp;elementID=5583", "Click here to submit comment")</f>
        <v>Click here to submit comment</v>
      </c>
    </row>
    <row r="98" spans="1:16" ht="45">
      <c r="A98" s="6" t="s">
        <v>6715</v>
      </c>
      <c r="B98" s="6" t="s">
        <v>6716</v>
      </c>
      <c r="C98" s="6" t="s">
        <v>6735</v>
      </c>
      <c r="D98" s="6" t="s">
        <v>4817</v>
      </c>
      <c r="E98" s="6" t="s">
        <v>4818</v>
      </c>
      <c r="F98" s="6" t="s">
        <v>13</v>
      </c>
      <c r="G98" s="6" t="s">
        <v>218</v>
      </c>
      <c r="H98" s="6"/>
      <c r="I98" s="6" t="s">
        <v>73</v>
      </c>
      <c r="J98" s="6"/>
      <c r="K98" s="6"/>
      <c r="L98" s="6" t="s">
        <v>4819</v>
      </c>
      <c r="M98" s="6"/>
      <c r="N98" s="6" t="s">
        <v>4820</v>
      </c>
      <c r="O98" s="6" t="str">
        <f>HYPERLINK("https://ceds.ed.gov/cedselementdetails.aspx?termid=5584")</f>
        <v>https://ceds.ed.gov/cedselementdetails.aspx?termid=5584</v>
      </c>
      <c r="P98" s="6" t="str">
        <f>HYPERLINK("https://ceds.ed.gov/elementComment.aspx?elementName=Program Participation Exit Date &amp;elementID=5584", "Click here to submit comment")</f>
        <v>Click here to submit comment</v>
      </c>
    </row>
    <row r="99" spans="1:16" ht="390">
      <c r="A99" s="6" t="s">
        <v>6715</v>
      </c>
      <c r="B99" s="6" t="s">
        <v>6716</v>
      </c>
      <c r="C99" s="6" t="s">
        <v>6735</v>
      </c>
      <c r="D99" s="6" t="s">
        <v>4423</v>
      </c>
      <c r="E99" s="6" t="s">
        <v>4424</v>
      </c>
      <c r="F99" s="7" t="s">
        <v>6596</v>
      </c>
      <c r="G99" s="6" t="s">
        <v>5988</v>
      </c>
      <c r="H99" s="6"/>
      <c r="I99" s="6"/>
      <c r="J99" s="6"/>
      <c r="K99" s="6"/>
      <c r="L99" s="6" t="s">
        <v>4425</v>
      </c>
      <c r="M99" s="6"/>
      <c r="N99" s="6" t="s">
        <v>4426</v>
      </c>
      <c r="O99" s="6" t="str">
        <f>HYPERLINK("https://ceds.ed.gov/cedselementdetails.aspx?termid=5325")</f>
        <v>https://ceds.ed.gov/cedselementdetails.aspx?termid=5325</v>
      </c>
      <c r="P99" s="6" t="str">
        <f>HYPERLINK("https://ceds.ed.gov/elementComment.aspx?elementName=Participation in School Food Service Programs &amp;elementID=5325", "Click here to submit comment")</f>
        <v>Click here to submit comment</v>
      </c>
    </row>
    <row r="100" spans="1:16" ht="409.5">
      <c r="A100" s="6" t="s">
        <v>6715</v>
      </c>
      <c r="B100" s="6" t="s">
        <v>6716</v>
      </c>
      <c r="C100" s="6" t="s">
        <v>6735</v>
      </c>
      <c r="D100" s="6" t="s">
        <v>2594</v>
      </c>
      <c r="E100" s="6" t="s">
        <v>2595</v>
      </c>
      <c r="F100" s="7" t="s">
        <v>6502</v>
      </c>
      <c r="G100" s="6"/>
      <c r="H100" s="6" t="s">
        <v>3</v>
      </c>
      <c r="I100" s="6"/>
      <c r="J100" s="6"/>
      <c r="K100" s="6"/>
      <c r="L100" s="6" t="s">
        <v>2596</v>
      </c>
      <c r="M100" s="6"/>
      <c r="N100" s="6" t="s">
        <v>2597</v>
      </c>
      <c r="O100" s="6" t="str">
        <f>HYPERLINK("https://ceds.ed.gov/cedselementdetails.aspx?termid=5222")</f>
        <v>https://ceds.ed.gov/cedselementdetails.aspx?termid=5222</v>
      </c>
      <c r="P100" s="6" t="str">
        <f>HYPERLINK("https://ceds.ed.gov/elementComment.aspx?elementName=Exit Reason &amp;elementID=5222", "Click here to submit comment")</f>
        <v>Click here to submit comment</v>
      </c>
    </row>
    <row r="101" spans="1:16" ht="360">
      <c r="A101" s="6" t="s">
        <v>6715</v>
      </c>
      <c r="B101" s="6" t="s">
        <v>6716</v>
      </c>
      <c r="C101" s="6" t="s">
        <v>6736</v>
      </c>
      <c r="D101" s="6" t="s">
        <v>2312</v>
      </c>
      <c r="E101" s="6" t="s">
        <v>2313</v>
      </c>
      <c r="F101" s="7" t="s">
        <v>6473</v>
      </c>
      <c r="G101" s="6" t="s">
        <v>2158</v>
      </c>
      <c r="H101" s="6" t="s">
        <v>66</v>
      </c>
      <c r="I101" s="6"/>
      <c r="J101" s="6" t="s">
        <v>2315</v>
      </c>
      <c r="K101" s="6"/>
      <c r="L101" s="6" t="s">
        <v>2316</v>
      </c>
      <c r="M101" s="6"/>
      <c r="N101" s="6" t="s">
        <v>2317</v>
      </c>
      <c r="O101" s="6" t="str">
        <f>HYPERLINK("https://ceds.ed.gov/cedselementdetails.aspx?termid=5321")</f>
        <v>https://ceds.ed.gov/cedselementdetails.aspx?termid=5321</v>
      </c>
      <c r="P101" s="6" t="str">
        <f>HYPERLINK("https://ceds.ed.gov/elementComment.aspx?elementName=Early Intervention or Special Education Services Received &amp;elementID=5321", "Click here to submit comment")</f>
        <v>Click here to submit comment</v>
      </c>
    </row>
    <row r="102" spans="1:16" ht="300">
      <c r="A102" s="6" t="s">
        <v>6715</v>
      </c>
      <c r="B102" s="6" t="s">
        <v>6716</v>
      </c>
      <c r="C102" s="6" t="s">
        <v>6736</v>
      </c>
      <c r="D102" s="6" t="s">
        <v>2318</v>
      </c>
      <c r="E102" s="6" t="s">
        <v>2319</v>
      </c>
      <c r="F102" s="7" t="s">
        <v>6474</v>
      </c>
      <c r="G102" s="6" t="s">
        <v>6141</v>
      </c>
      <c r="H102" s="6"/>
      <c r="I102" s="6"/>
      <c r="J102" s="6"/>
      <c r="K102" s="6"/>
      <c r="L102" s="6" t="s">
        <v>2320</v>
      </c>
      <c r="M102" s="6"/>
      <c r="N102" s="6" t="s">
        <v>2321</v>
      </c>
      <c r="O102" s="6" t="str">
        <f>HYPERLINK("https://ceds.ed.gov/cedselementdetails.aspx?termid=5322")</f>
        <v>https://ceds.ed.gov/cedselementdetails.aspx?termid=5322</v>
      </c>
      <c r="P102" s="6" t="str">
        <f>HYPERLINK("https://ceds.ed.gov/elementComment.aspx?elementName=Early Intervention or Special Education Services Setting &amp;elementID=5322", "Click here to submit comment")</f>
        <v>Click here to submit comment</v>
      </c>
    </row>
    <row r="103" spans="1:16" ht="90">
      <c r="A103" s="6" t="s">
        <v>6715</v>
      </c>
      <c r="B103" s="6" t="s">
        <v>6716</v>
      </c>
      <c r="C103" s="6" t="s">
        <v>6736</v>
      </c>
      <c r="D103" s="6" t="s">
        <v>5411</v>
      </c>
      <c r="E103" s="6" t="s">
        <v>5412</v>
      </c>
      <c r="F103" s="6" t="s">
        <v>13</v>
      </c>
      <c r="G103" s="6"/>
      <c r="H103" s="6"/>
      <c r="I103" s="6" t="s">
        <v>5413</v>
      </c>
      <c r="J103" s="6"/>
      <c r="K103" s="6"/>
      <c r="L103" s="6" t="s">
        <v>5414</v>
      </c>
      <c r="M103" s="6" t="s">
        <v>5415</v>
      </c>
      <c r="N103" s="6" t="s">
        <v>5416</v>
      </c>
      <c r="O103" s="6" t="str">
        <f>HYPERLINK("https://ceds.ed.gov/cedselementdetails.aspx?termid=6208")</f>
        <v>https://ceds.ed.gov/cedselementdetails.aspx?termid=6208</v>
      </c>
      <c r="P103" s="6" t="str">
        <f>HYPERLINK("https://ceds.ed.gov/elementComment.aspx?elementName=Special Education Full Time Equivalency &amp;elementID=6208", "Click here to submit comment")</f>
        <v>Click here to submit comment</v>
      </c>
    </row>
    <row r="104" spans="1:16" ht="210">
      <c r="A104" s="6" t="s">
        <v>6715</v>
      </c>
      <c r="B104" s="6" t="s">
        <v>6716</v>
      </c>
      <c r="C104" s="6" t="s">
        <v>6737</v>
      </c>
      <c r="D104" s="6" t="s">
        <v>2344</v>
      </c>
      <c r="E104" s="6" t="s">
        <v>2345</v>
      </c>
      <c r="F104" s="7" t="s">
        <v>6478</v>
      </c>
      <c r="G104" s="6"/>
      <c r="H104" s="6" t="s">
        <v>54</v>
      </c>
      <c r="I104" s="6"/>
      <c r="J104" s="6"/>
      <c r="K104" s="6"/>
      <c r="L104" s="6" t="s">
        <v>2347</v>
      </c>
      <c r="M104" s="6"/>
      <c r="N104" s="6" t="s">
        <v>2348</v>
      </c>
      <c r="O104" s="6" t="str">
        <f>HYPERLINK("https://ceds.ed.gov/cedselementdetails.aspx?termid=6294")</f>
        <v>https://ceds.ed.gov/cedselementdetails.aspx?termid=6294</v>
      </c>
      <c r="P104" s="6" t="str">
        <f>HYPERLINK("https://ceds.ed.gov/elementComment.aspx?elementName=Early Learning Federal Funding Type &amp;elementID=6294", "Click here to submit comment")</f>
        <v>Click here to submit comment</v>
      </c>
    </row>
    <row r="105" spans="1:16" ht="150">
      <c r="A105" s="6" t="s">
        <v>6715</v>
      </c>
      <c r="B105" s="6" t="s">
        <v>6716</v>
      </c>
      <c r="C105" s="6" t="s">
        <v>6737</v>
      </c>
      <c r="D105" s="6" t="s">
        <v>2363</v>
      </c>
      <c r="E105" s="6" t="s">
        <v>2364</v>
      </c>
      <c r="F105" s="7" t="s">
        <v>6480</v>
      </c>
      <c r="G105" s="6"/>
      <c r="H105" s="6" t="s">
        <v>54</v>
      </c>
      <c r="I105" s="6"/>
      <c r="J105" s="6"/>
      <c r="K105" s="6"/>
      <c r="L105" s="6" t="s">
        <v>2365</v>
      </c>
      <c r="M105" s="6"/>
      <c r="N105" s="6" t="s">
        <v>2366</v>
      </c>
      <c r="O105" s="6" t="str">
        <f>HYPERLINK("https://ceds.ed.gov/cedselementdetails.aspx?termid=6302")</f>
        <v>https://ceds.ed.gov/cedselementdetails.aspx?termid=6302</v>
      </c>
      <c r="P105" s="6" t="str">
        <f>HYPERLINK("https://ceds.ed.gov/elementComment.aspx?elementName=Early Learning Other Federal Funding Sources &amp;elementID=6302", "Click here to submit comment")</f>
        <v>Click here to submit comment</v>
      </c>
    </row>
    <row r="106" spans="1:16" ht="75">
      <c r="A106" s="6" t="s">
        <v>6715</v>
      </c>
      <c r="B106" s="6" t="s">
        <v>6716</v>
      </c>
      <c r="C106" s="6" t="s">
        <v>6737</v>
      </c>
      <c r="D106" s="6" t="s">
        <v>2653</v>
      </c>
      <c r="E106" s="6" t="s">
        <v>2654</v>
      </c>
      <c r="F106" s="6" t="s">
        <v>13</v>
      </c>
      <c r="G106" s="6" t="s">
        <v>218</v>
      </c>
      <c r="H106" s="6" t="s">
        <v>3</v>
      </c>
      <c r="I106" s="6"/>
      <c r="J106" s="6"/>
      <c r="K106" s="6"/>
      <c r="L106" s="6" t="s">
        <v>2655</v>
      </c>
      <c r="M106" s="6"/>
      <c r="N106" s="6" t="s">
        <v>2656</v>
      </c>
      <c r="O106" s="6" t="str">
        <f>HYPERLINK("https://ceds.ed.gov/cedselementdetails.aspx?termid=5538")</f>
        <v>https://ceds.ed.gov/cedselementdetails.aspx?termid=5538</v>
      </c>
      <c r="P106" s="6" t="str">
        <f>HYPERLINK("https://ceds.ed.gov/elementComment.aspx?elementName=Federal Program Code &amp;elementID=5538", "Click here to submit comment")</f>
        <v>Click here to submit comment</v>
      </c>
    </row>
    <row r="107" spans="1:16" ht="90">
      <c r="A107" s="6" t="s">
        <v>6715</v>
      </c>
      <c r="B107" s="6" t="s">
        <v>6716</v>
      </c>
      <c r="C107" s="6" t="s">
        <v>6738</v>
      </c>
      <c r="D107" s="6" t="s">
        <v>2802</v>
      </c>
      <c r="E107" s="6" t="s">
        <v>2803</v>
      </c>
      <c r="F107" s="6" t="s">
        <v>6177</v>
      </c>
      <c r="G107" s="6"/>
      <c r="H107" s="6" t="s">
        <v>54</v>
      </c>
      <c r="I107" s="6"/>
      <c r="J107" s="6"/>
      <c r="K107" s="6"/>
      <c r="L107" s="6" t="s">
        <v>2805</v>
      </c>
      <c r="M107" s="6"/>
      <c r="N107" s="6" t="s">
        <v>2806</v>
      </c>
      <c r="O107" s="6" t="str">
        <f>HYPERLINK("https://ceds.ed.gov/cedselementdetails.aspx?termid=6323")</f>
        <v>https://ceds.ed.gov/cedselementdetails.aspx?termid=6323</v>
      </c>
      <c r="P107" s="6" t="str">
        <f>HYPERLINK("https://ceds.ed.gov/elementComment.aspx?elementName=Frequency of Service &amp;elementID=6323", "Click here to submit comment")</f>
        <v>Click here to submit comment</v>
      </c>
    </row>
    <row r="108" spans="1:16" ht="45">
      <c r="A108" s="6" t="s">
        <v>6715</v>
      </c>
      <c r="B108" s="6" t="s">
        <v>6716</v>
      </c>
      <c r="C108" s="6" t="s">
        <v>6738</v>
      </c>
      <c r="D108" s="6" t="s">
        <v>3215</v>
      </c>
      <c r="E108" s="6" t="s">
        <v>3216</v>
      </c>
      <c r="F108" s="6" t="s">
        <v>13</v>
      </c>
      <c r="G108" s="6"/>
      <c r="H108" s="6" t="s">
        <v>54</v>
      </c>
      <c r="I108" s="6" t="s">
        <v>1461</v>
      </c>
      <c r="J108" s="6"/>
      <c r="K108" s="6"/>
      <c r="L108" s="6" t="s">
        <v>3217</v>
      </c>
      <c r="M108" s="6"/>
      <c r="N108" s="6" t="s">
        <v>3218</v>
      </c>
      <c r="O108" s="6" t="str">
        <f>HYPERLINK("https://ceds.ed.gov/cedselementdetails.aspx?termid=6493")</f>
        <v>https://ceds.ed.gov/cedselementdetails.aspx?termid=6493</v>
      </c>
      <c r="P108" s="6" t="str">
        <f>HYPERLINK("https://ceds.ed.gov/elementComment.aspx?elementName=Individualized Program Planned Service Duration &amp;elementID=6493", "Click here to submit comment")</f>
        <v>Click here to submit comment</v>
      </c>
    </row>
    <row r="109" spans="1:16" ht="150">
      <c r="A109" s="6" t="s">
        <v>6715</v>
      </c>
      <c r="B109" s="6" t="s">
        <v>6716</v>
      </c>
      <c r="C109" s="6" t="s">
        <v>6738</v>
      </c>
      <c r="D109" s="6" t="s">
        <v>3219</v>
      </c>
      <c r="E109" s="6" t="s">
        <v>3220</v>
      </c>
      <c r="F109" s="6" t="s">
        <v>6208</v>
      </c>
      <c r="G109" s="6"/>
      <c r="H109" s="6" t="s">
        <v>54</v>
      </c>
      <c r="I109" s="6"/>
      <c r="J109" s="6"/>
      <c r="K109" s="6"/>
      <c r="L109" s="6" t="s">
        <v>3221</v>
      </c>
      <c r="M109" s="6"/>
      <c r="N109" s="6" t="s">
        <v>3222</v>
      </c>
      <c r="O109" s="6" t="str">
        <f>HYPERLINK("https://ceds.ed.gov/cedselementdetails.aspx?termid=6492")</f>
        <v>https://ceds.ed.gov/cedselementdetails.aspx?termid=6492</v>
      </c>
      <c r="P109" s="6" t="str">
        <f>HYPERLINK("https://ceds.ed.gov/elementComment.aspx?elementName=Individualized Program Planned Service Frequency &amp;elementID=6492", "Click here to submit comment")</f>
        <v>Click here to submit comment</v>
      </c>
    </row>
    <row r="110" spans="1:16" ht="45">
      <c r="A110" s="6" t="s">
        <v>6715</v>
      </c>
      <c r="B110" s="6" t="s">
        <v>6716</v>
      </c>
      <c r="C110" s="6" t="s">
        <v>6738</v>
      </c>
      <c r="D110" s="6" t="s">
        <v>3223</v>
      </c>
      <c r="E110" s="6" t="s">
        <v>3224</v>
      </c>
      <c r="F110" s="6" t="s">
        <v>13</v>
      </c>
      <c r="G110" s="6"/>
      <c r="H110" s="6" t="s">
        <v>54</v>
      </c>
      <c r="I110" s="6" t="s">
        <v>73</v>
      </c>
      <c r="J110" s="6"/>
      <c r="K110" s="6" t="s">
        <v>3225</v>
      </c>
      <c r="L110" s="6" t="s">
        <v>3226</v>
      </c>
      <c r="M110" s="6"/>
      <c r="N110" s="6" t="s">
        <v>3227</v>
      </c>
      <c r="O110" s="6" t="str">
        <f>HYPERLINK("https://ceds.ed.gov/cedselementdetails.aspx?termid=6350")</f>
        <v>https://ceds.ed.gov/cedselementdetails.aspx?termid=6350</v>
      </c>
      <c r="P110" s="6" t="str">
        <f>HYPERLINK("https://ceds.ed.gov/elementComment.aspx?elementName=Individualized Program Planned Service Start Date &amp;elementID=6350", "Click here to submit comment")</f>
        <v>Click here to submit comment</v>
      </c>
    </row>
    <row r="111" spans="1:16" ht="360">
      <c r="A111" s="6" t="s">
        <v>6715</v>
      </c>
      <c r="B111" s="6" t="s">
        <v>6716</v>
      </c>
      <c r="C111" s="6" t="s">
        <v>6738</v>
      </c>
      <c r="D111" s="6" t="s">
        <v>3228</v>
      </c>
      <c r="E111" s="6" t="s">
        <v>2313</v>
      </c>
      <c r="F111" s="7" t="s">
        <v>6473</v>
      </c>
      <c r="G111" s="6"/>
      <c r="H111" s="6" t="s">
        <v>54</v>
      </c>
      <c r="I111" s="6"/>
      <c r="J111" s="6"/>
      <c r="K111" s="6"/>
      <c r="L111" s="6" t="s">
        <v>3229</v>
      </c>
      <c r="M111" s="6"/>
      <c r="N111" s="6" t="s">
        <v>3230</v>
      </c>
      <c r="O111" s="6" t="str">
        <f>HYPERLINK("https://ceds.ed.gov/cedselementdetails.aspx?termid=6352")</f>
        <v>https://ceds.ed.gov/cedselementdetails.aspx?termid=6352</v>
      </c>
      <c r="P111" s="6" t="str">
        <f>HYPERLINK("https://ceds.ed.gov/elementComment.aspx?elementName=Individualized Program Planned Service Type &amp;elementID=6352", "Click here to submit comment")</f>
        <v>Click here to submit comment</v>
      </c>
    </row>
    <row r="112" spans="1:16" ht="135">
      <c r="A112" s="6" t="s">
        <v>6715</v>
      </c>
      <c r="B112" s="6" t="s">
        <v>6716</v>
      </c>
      <c r="C112" s="6" t="s">
        <v>6739</v>
      </c>
      <c r="D112" s="6" t="s">
        <v>3203</v>
      </c>
      <c r="E112" s="6" t="s">
        <v>3204</v>
      </c>
      <c r="F112" s="7" t="s">
        <v>6549</v>
      </c>
      <c r="G112" s="6"/>
      <c r="H112" s="6"/>
      <c r="I112" s="6"/>
      <c r="J112" s="6"/>
      <c r="K112" s="6"/>
      <c r="L112" s="6" t="s">
        <v>3205</v>
      </c>
      <c r="M112" s="6"/>
      <c r="N112" s="6" t="s">
        <v>3206</v>
      </c>
      <c r="O112" s="6" t="str">
        <f>HYPERLINK("https://ceds.ed.gov/cedselementdetails.aspx?termid=6196")</f>
        <v>https://ceds.ed.gov/cedselementdetails.aspx?termid=6196</v>
      </c>
      <c r="P112" s="6" t="str">
        <f>HYPERLINK("https://ceds.ed.gov/elementComment.aspx?elementName=Individualized Program Date Type &amp;elementID=6196", "Click here to submit comment")</f>
        <v>Click here to submit comment</v>
      </c>
    </row>
    <row r="113" spans="1:16" ht="45">
      <c r="A113" s="6" t="s">
        <v>6715</v>
      </c>
      <c r="B113" s="6" t="s">
        <v>6716</v>
      </c>
      <c r="C113" s="6" t="s">
        <v>6739</v>
      </c>
      <c r="D113" s="6" t="s">
        <v>3199</v>
      </c>
      <c r="E113" s="6" t="s">
        <v>3200</v>
      </c>
      <c r="F113" s="6" t="s">
        <v>13</v>
      </c>
      <c r="G113" s="6"/>
      <c r="H113" s="6" t="s">
        <v>3</v>
      </c>
      <c r="I113" s="6" t="s">
        <v>73</v>
      </c>
      <c r="J113" s="6"/>
      <c r="K113" s="6"/>
      <c r="L113" s="6" t="s">
        <v>3201</v>
      </c>
      <c r="M113" s="6"/>
      <c r="N113" s="6" t="s">
        <v>3202</v>
      </c>
      <c r="O113" s="6" t="str">
        <f>HYPERLINK("https://ceds.ed.gov/cedselementdetails.aspx?termid=6197")</f>
        <v>https://ceds.ed.gov/cedselementdetails.aspx?termid=6197</v>
      </c>
      <c r="P113" s="6" t="str">
        <f>HYPERLINK("https://ceds.ed.gov/elementComment.aspx?elementName=Individualized Program Date &amp;elementID=6197", "Click here to submit comment")</f>
        <v>Click here to submit comment</v>
      </c>
    </row>
    <row r="114" spans="1:16" ht="60">
      <c r="A114" s="6" t="s">
        <v>6715</v>
      </c>
      <c r="B114" s="6" t="s">
        <v>6716</v>
      </c>
      <c r="C114" s="6" t="s">
        <v>6739</v>
      </c>
      <c r="D114" s="6" t="s">
        <v>3211</v>
      </c>
      <c r="E114" s="6" t="s">
        <v>3212</v>
      </c>
      <c r="F114" s="6" t="s">
        <v>13</v>
      </c>
      <c r="G114" s="6"/>
      <c r="H114" s="6"/>
      <c r="I114" s="6" t="s">
        <v>575</v>
      </c>
      <c r="J114" s="6"/>
      <c r="K114" s="6"/>
      <c r="L114" s="6" t="s">
        <v>3213</v>
      </c>
      <c r="M114" s="6"/>
      <c r="N114" s="6" t="s">
        <v>3214</v>
      </c>
      <c r="O114" s="6" t="str">
        <f>HYPERLINK("https://ceds.ed.gov/cedselementdetails.aspx?termid=6198")</f>
        <v>https://ceds.ed.gov/cedselementdetails.aspx?termid=6198</v>
      </c>
      <c r="P114" s="6" t="str">
        <f>HYPERLINK("https://ceds.ed.gov/elementComment.aspx?elementName=Individualized Program NonInclusion Minutes Per Week &amp;elementID=6198", "Click here to submit comment")</f>
        <v>Click here to submit comment</v>
      </c>
    </row>
    <row r="115" spans="1:16" ht="60">
      <c r="A115" s="6" t="s">
        <v>6715</v>
      </c>
      <c r="B115" s="6" t="s">
        <v>6716</v>
      </c>
      <c r="C115" s="6" t="s">
        <v>6739</v>
      </c>
      <c r="D115" s="6" t="s">
        <v>3207</v>
      </c>
      <c r="E115" s="6" t="s">
        <v>3208</v>
      </c>
      <c r="F115" s="6" t="s">
        <v>13</v>
      </c>
      <c r="G115" s="6"/>
      <c r="H115" s="6"/>
      <c r="I115" s="6" t="s">
        <v>575</v>
      </c>
      <c r="J115" s="6"/>
      <c r="K115" s="6"/>
      <c r="L115" s="6" t="s">
        <v>3209</v>
      </c>
      <c r="M115" s="6"/>
      <c r="N115" s="6" t="s">
        <v>3210</v>
      </c>
      <c r="O115" s="6" t="str">
        <f>HYPERLINK("https://ceds.ed.gov/cedselementdetails.aspx?termid=6199")</f>
        <v>https://ceds.ed.gov/cedselementdetails.aspx?termid=6199</v>
      </c>
      <c r="P115" s="6" t="str">
        <f>HYPERLINK("https://ceds.ed.gov/elementComment.aspx?elementName=Individualized Program Inclusion Minutes Per Week &amp;elementID=6199", "Click here to submit comment")</f>
        <v>Click here to submit comment</v>
      </c>
    </row>
    <row r="116" spans="1:16" ht="75">
      <c r="A116" s="6" t="s">
        <v>6715</v>
      </c>
      <c r="B116" s="6" t="s">
        <v>6716</v>
      </c>
      <c r="C116" s="6" t="s">
        <v>6739</v>
      </c>
      <c r="D116" s="6" t="s">
        <v>3255</v>
      </c>
      <c r="E116" s="6" t="s">
        <v>3256</v>
      </c>
      <c r="F116" s="7" t="s">
        <v>6551</v>
      </c>
      <c r="G116" s="6"/>
      <c r="H116" s="6"/>
      <c r="I116" s="6"/>
      <c r="J116" s="6"/>
      <c r="K116" s="6"/>
      <c r="L116" s="6" t="s">
        <v>3257</v>
      </c>
      <c r="M116" s="6"/>
      <c r="N116" s="6" t="s">
        <v>3258</v>
      </c>
      <c r="O116" s="6" t="str">
        <f>HYPERLINK("https://ceds.ed.gov/cedselementdetails.aspx?termid=6200")</f>
        <v>https://ceds.ed.gov/cedselementdetails.aspx?termid=6200</v>
      </c>
      <c r="P116" s="6" t="str">
        <f>HYPERLINK("https://ceds.ed.gov/elementComment.aspx?elementName=Individualized Program Transition Plan Type &amp;elementID=6200", "Click here to submit comment")</f>
        <v>Click here to submit comment</v>
      </c>
    </row>
    <row r="117" spans="1:16" ht="330">
      <c r="A117" s="6" t="s">
        <v>6715</v>
      </c>
      <c r="B117" s="6" t="s">
        <v>6716</v>
      </c>
      <c r="C117" s="6" t="s">
        <v>6739</v>
      </c>
      <c r="D117" s="6" t="s">
        <v>3259</v>
      </c>
      <c r="E117" s="6" t="s">
        <v>3260</v>
      </c>
      <c r="F117" s="7" t="s">
        <v>6552</v>
      </c>
      <c r="G117" s="6" t="s">
        <v>5988</v>
      </c>
      <c r="H117" s="6"/>
      <c r="I117" s="6"/>
      <c r="J117" s="6"/>
      <c r="K117" s="6"/>
      <c r="L117" s="6" t="s">
        <v>3261</v>
      </c>
      <c r="M117" s="6"/>
      <c r="N117" s="6" t="s">
        <v>3262</v>
      </c>
      <c r="O117" s="6" t="str">
        <f>HYPERLINK("https://ceds.ed.gov/cedselementdetails.aspx?termid=5320")</f>
        <v>https://ceds.ed.gov/cedselementdetails.aspx?termid=5320</v>
      </c>
      <c r="P117" s="6" t="str">
        <f>HYPERLINK("https://ceds.ed.gov/elementComment.aspx?elementName=Individualized Program Type &amp;elementID=5320", "Click here to submit comment")</f>
        <v>Click here to submit comment</v>
      </c>
    </row>
    <row r="118" spans="1:16" ht="45">
      <c r="A118" s="6" t="s">
        <v>6715</v>
      </c>
      <c r="B118" s="6" t="s">
        <v>6716</v>
      </c>
      <c r="C118" s="6" t="s">
        <v>6739</v>
      </c>
      <c r="D118" s="6" t="s">
        <v>3231</v>
      </c>
      <c r="E118" s="6" t="s">
        <v>3232</v>
      </c>
      <c r="F118" s="6" t="s">
        <v>13</v>
      </c>
      <c r="G118" s="6"/>
      <c r="H118" s="6"/>
      <c r="I118" s="6" t="s">
        <v>73</v>
      </c>
      <c r="J118" s="6"/>
      <c r="K118" s="6"/>
      <c r="L118" s="6" t="s">
        <v>3233</v>
      </c>
      <c r="M118" s="6"/>
      <c r="N118" s="6" t="s">
        <v>3234</v>
      </c>
      <c r="O118" s="6" t="str">
        <f>HYPERLINK("https://ceds.ed.gov/cedselementdetails.aspx?termid=6201")</f>
        <v>https://ceds.ed.gov/cedselementdetails.aspx?termid=6201</v>
      </c>
      <c r="P118" s="6" t="str">
        <f>HYPERLINK("https://ceds.ed.gov/elementComment.aspx?elementName=Individualized Program Service Plan Date &amp;elementID=6201", "Click here to submit comment")</f>
        <v>Click here to submit comment</v>
      </c>
    </row>
    <row r="119" spans="1:16" ht="345">
      <c r="A119" s="6" t="s">
        <v>6715</v>
      </c>
      <c r="B119" s="6" t="s">
        <v>6716</v>
      </c>
      <c r="C119" s="6" t="s">
        <v>6739</v>
      </c>
      <c r="D119" s="6" t="s">
        <v>3235</v>
      </c>
      <c r="E119" s="6" t="s">
        <v>3236</v>
      </c>
      <c r="F119" s="7" t="s">
        <v>6550</v>
      </c>
      <c r="G119" s="6"/>
      <c r="H119" s="6"/>
      <c r="I119" s="6"/>
      <c r="J119" s="6"/>
      <c r="K119" s="6"/>
      <c r="L119" s="6" t="s">
        <v>3237</v>
      </c>
      <c r="M119" s="6"/>
      <c r="N119" s="6" t="s">
        <v>3238</v>
      </c>
      <c r="O119" s="6" t="str">
        <f>HYPERLINK("https://ceds.ed.gov/cedselementdetails.aspx?termid=6202")</f>
        <v>https://ceds.ed.gov/cedselementdetails.aspx?termid=6202</v>
      </c>
      <c r="P119" s="6" t="str">
        <f>HYPERLINK("https://ceds.ed.gov/elementComment.aspx?elementName=Individualized Program Service Plan Meeting Location &amp;elementID=6202", "Click here to submit comment")</f>
        <v>Click here to submit comment</v>
      </c>
    </row>
    <row r="120" spans="1:16" ht="60">
      <c r="A120" s="6" t="s">
        <v>6715</v>
      </c>
      <c r="B120" s="6" t="s">
        <v>6716</v>
      </c>
      <c r="C120" s="6" t="s">
        <v>6739</v>
      </c>
      <c r="D120" s="6" t="s">
        <v>3239</v>
      </c>
      <c r="E120" s="6" t="s">
        <v>3240</v>
      </c>
      <c r="F120" s="6" t="s">
        <v>13</v>
      </c>
      <c r="G120" s="6"/>
      <c r="H120" s="6"/>
      <c r="I120" s="6" t="s">
        <v>319</v>
      </c>
      <c r="J120" s="6"/>
      <c r="K120" s="6"/>
      <c r="L120" s="6" t="s">
        <v>3241</v>
      </c>
      <c r="M120" s="6"/>
      <c r="N120" s="6" t="s">
        <v>3242</v>
      </c>
      <c r="O120" s="6" t="str">
        <f>HYPERLINK("https://ceds.ed.gov/cedselementdetails.aspx?termid=6203")</f>
        <v>https://ceds.ed.gov/cedselementdetails.aspx?termid=6203</v>
      </c>
      <c r="P120" s="6" t="str">
        <f>HYPERLINK("https://ceds.ed.gov/elementComment.aspx?elementName=Individualized Program Service Plan Meeting Participants &amp;elementID=6203", "Click here to submit comment")</f>
        <v>Click here to submit comment</v>
      </c>
    </row>
    <row r="121" spans="1:16" ht="45">
      <c r="A121" s="6" t="s">
        <v>6715</v>
      </c>
      <c r="B121" s="6" t="s">
        <v>6716</v>
      </c>
      <c r="C121" s="6" t="s">
        <v>6739</v>
      </c>
      <c r="D121" s="6" t="s">
        <v>3251</v>
      </c>
      <c r="E121" s="6" t="s">
        <v>3252</v>
      </c>
      <c r="F121" s="6" t="s">
        <v>13</v>
      </c>
      <c r="G121" s="6"/>
      <c r="H121" s="6"/>
      <c r="I121" s="6" t="s">
        <v>319</v>
      </c>
      <c r="J121" s="6"/>
      <c r="K121" s="6"/>
      <c r="L121" s="6" t="s">
        <v>3253</v>
      </c>
      <c r="M121" s="6"/>
      <c r="N121" s="6" t="s">
        <v>3254</v>
      </c>
      <c r="O121" s="6" t="str">
        <f>HYPERLINK("https://ceds.ed.gov/cedselementdetails.aspx?termid=6204")</f>
        <v>https://ceds.ed.gov/cedselementdetails.aspx?termid=6204</v>
      </c>
      <c r="P121" s="6" t="str">
        <f>HYPERLINK("https://ceds.ed.gov/elementComment.aspx?elementName=Individualized Program Service Plan Signed By &amp;elementID=6204", "Click here to submit comment")</f>
        <v>Click here to submit comment</v>
      </c>
    </row>
    <row r="122" spans="1:16" ht="60">
      <c r="A122" s="6" t="s">
        <v>6715</v>
      </c>
      <c r="B122" s="6" t="s">
        <v>6716</v>
      </c>
      <c r="C122" s="6" t="s">
        <v>6739</v>
      </c>
      <c r="D122" s="6" t="s">
        <v>3247</v>
      </c>
      <c r="E122" s="6" t="s">
        <v>3248</v>
      </c>
      <c r="F122" s="6" t="s">
        <v>13</v>
      </c>
      <c r="G122" s="6"/>
      <c r="H122" s="6"/>
      <c r="I122" s="6" t="s">
        <v>73</v>
      </c>
      <c r="J122" s="6"/>
      <c r="K122" s="6"/>
      <c r="L122" s="6" t="s">
        <v>3249</v>
      </c>
      <c r="M122" s="6"/>
      <c r="N122" s="6" t="s">
        <v>3250</v>
      </c>
      <c r="O122" s="6" t="str">
        <f>HYPERLINK("https://ceds.ed.gov/cedselementdetails.aspx?termid=6205")</f>
        <v>https://ceds.ed.gov/cedselementdetails.aspx?termid=6205</v>
      </c>
      <c r="P122" s="6" t="str">
        <f>HYPERLINK("https://ceds.ed.gov/elementComment.aspx?elementName=Individualized Program Service Plan Signature Date &amp;elementID=6205", "Click here to submit comment")</f>
        <v>Click here to submit comment</v>
      </c>
    </row>
    <row r="123" spans="1:16" ht="60">
      <c r="A123" s="6" t="s">
        <v>6715</v>
      </c>
      <c r="B123" s="6" t="s">
        <v>6716</v>
      </c>
      <c r="C123" s="6" t="s">
        <v>6739</v>
      </c>
      <c r="D123" s="6" t="s">
        <v>3243</v>
      </c>
      <c r="E123" s="6" t="s">
        <v>3244</v>
      </c>
      <c r="F123" s="6" t="s">
        <v>13</v>
      </c>
      <c r="G123" s="6"/>
      <c r="H123" s="6"/>
      <c r="I123" s="6" t="s">
        <v>73</v>
      </c>
      <c r="J123" s="6"/>
      <c r="K123" s="6"/>
      <c r="L123" s="6" t="s">
        <v>3245</v>
      </c>
      <c r="M123" s="6"/>
      <c r="N123" s="6" t="s">
        <v>3246</v>
      </c>
      <c r="O123" s="6" t="str">
        <f>HYPERLINK("https://ceds.ed.gov/cedselementdetails.aspx?termid=6207")</f>
        <v>https://ceds.ed.gov/cedselementdetails.aspx?termid=6207</v>
      </c>
      <c r="P123" s="6" t="str">
        <f>HYPERLINK("https://ceds.ed.gov/elementComment.aspx?elementName=Individualized Program Service Plan Reevaluation Date &amp;elementID=6207", "Click here to submit comment")</f>
        <v>Click here to submit comment</v>
      </c>
    </row>
    <row r="124" spans="1:16" ht="45">
      <c r="A124" s="6" t="s">
        <v>6715</v>
      </c>
      <c r="B124" s="6" t="s">
        <v>6716</v>
      </c>
      <c r="C124" s="6" t="s">
        <v>6739</v>
      </c>
      <c r="D124" s="6" t="s">
        <v>4078</v>
      </c>
      <c r="E124" s="6" t="s">
        <v>4079</v>
      </c>
      <c r="F124" s="6" t="s">
        <v>6254</v>
      </c>
      <c r="G124" s="6"/>
      <c r="H124" s="6" t="s">
        <v>54</v>
      </c>
      <c r="I124" s="6" t="s">
        <v>106</v>
      </c>
      <c r="J124" s="6"/>
      <c r="K124" s="6"/>
      <c r="L124" s="6" t="s">
        <v>4081</v>
      </c>
      <c r="M124" s="6"/>
      <c r="N124" s="6" t="s">
        <v>4082</v>
      </c>
      <c r="O124" s="6" t="str">
        <f>HYPERLINK("https://ceds.ed.gov/cedselementdetails.aspx?termid=6482")</f>
        <v>https://ceds.ed.gov/cedselementdetails.aspx?termid=6482</v>
      </c>
      <c r="P124" s="6" t="str">
        <f>HYPERLINK("https://ceds.ed.gov/elementComment.aspx?elementName=Method of Service Delivery &amp;elementID=6482", "Click here to submit comment")</f>
        <v>Click here to submit comment</v>
      </c>
    </row>
    <row r="125" spans="1:16" ht="45">
      <c r="A125" s="6" t="s">
        <v>6715</v>
      </c>
      <c r="B125" s="6" t="s">
        <v>6716</v>
      </c>
      <c r="C125" s="6" t="s">
        <v>6740</v>
      </c>
      <c r="D125" s="6" t="s">
        <v>1642</v>
      </c>
      <c r="E125" s="6" t="s">
        <v>1643</v>
      </c>
      <c r="F125" s="6" t="s">
        <v>5963</v>
      </c>
      <c r="G125" s="6"/>
      <c r="H125" s="6" t="s">
        <v>54</v>
      </c>
      <c r="I125" s="6"/>
      <c r="J125" s="6"/>
      <c r="K125" s="6"/>
      <c r="L125" s="6" t="s">
        <v>1645</v>
      </c>
      <c r="M125" s="6" t="s">
        <v>1646</v>
      </c>
      <c r="N125" s="6" t="s">
        <v>1647</v>
      </c>
      <c r="O125" s="6" t="str">
        <f>HYPERLINK("https://ceds.ed.gov/cedselementdetails.aspx?termid=6476")</f>
        <v>https://ceds.ed.gov/cedselementdetails.aspx?termid=6476</v>
      </c>
      <c r="P125" s="6" t="str">
        <f>HYPERLINK("https://ceds.ed.gov/elementComment.aspx?elementName=Child Outcomes Summary Progress A Indicator &amp;elementID=6476", "Click here to submit comment")</f>
        <v>Click here to submit comment</v>
      </c>
    </row>
    <row r="126" spans="1:16" ht="60">
      <c r="A126" s="6" t="s">
        <v>6715</v>
      </c>
      <c r="B126" s="6" t="s">
        <v>6716</v>
      </c>
      <c r="C126" s="6" t="s">
        <v>6740</v>
      </c>
      <c r="D126" s="6" t="s">
        <v>1648</v>
      </c>
      <c r="E126" s="6" t="s">
        <v>1649</v>
      </c>
      <c r="F126" s="6" t="s">
        <v>5963</v>
      </c>
      <c r="G126" s="6"/>
      <c r="H126" s="6" t="s">
        <v>54</v>
      </c>
      <c r="I126" s="6"/>
      <c r="J126" s="6"/>
      <c r="K126" s="6"/>
      <c r="L126" s="6" t="s">
        <v>1650</v>
      </c>
      <c r="M126" s="6" t="s">
        <v>1651</v>
      </c>
      <c r="N126" s="6" t="s">
        <v>1652</v>
      </c>
      <c r="O126" s="6" t="str">
        <f>HYPERLINK("https://ceds.ed.gov/cedselementdetails.aspx?termid=6477")</f>
        <v>https://ceds.ed.gov/cedselementdetails.aspx?termid=6477</v>
      </c>
      <c r="P126" s="6" t="str">
        <f>HYPERLINK("https://ceds.ed.gov/elementComment.aspx?elementName=Child Outcomes Summary Progress B Indicator &amp;elementID=6477", "Click here to submit comment")</f>
        <v>Click here to submit comment</v>
      </c>
    </row>
    <row r="127" spans="1:16" ht="45">
      <c r="A127" s="6" t="s">
        <v>6715</v>
      </c>
      <c r="B127" s="6" t="s">
        <v>6716</v>
      </c>
      <c r="C127" s="6" t="s">
        <v>6740</v>
      </c>
      <c r="D127" s="6" t="s">
        <v>1653</v>
      </c>
      <c r="E127" s="6" t="s">
        <v>1654</v>
      </c>
      <c r="F127" s="6" t="s">
        <v>5963</v>
      </c>
      <c r="G127" s="6"/>
      <c r="H127" s="6" t="s">
        <v>54</v>
      </c>
      <c r="I127" s="6"/>
      <c r="J127" s="6"/>
      <c r="K127" s="6"/>
      <c r="L127" s="6" t="s">
        <v>1655</v>
      </c>
      <c r="M127" s="6" t="s">
        <v>1656</v>
      </c>
      <c r="N127" s="6" t="s">
        <v>1657</v>
      </c>
      <c r="O127" s="6" t="str">
        <f>HYPERLINK("https://ceds.ed.gov/cedselementdetails.aspx?termid=6478")</f>
        <v>https://ceds.ed.gov/cedselementdetails.aspx?termid=6478</v>
      </c>
      <c r="P127" s="6" t="str">
        <f>HYPERLINK("https://ceds.ed.gov/elementComment.aspx?elementName=Child Outcomes Summary Progress C Indicator &amp;elementID=6478", "Click here to submit comment")</f>
        <v>Click here to submit comment</v>
      </c>
    </row>
    <row r="128" spans="1:16" ht="409.5">
      <c r="A128" s="6" t="s">
        <v>6715</v>
      </c>
      <c r="B128" s="6" t="s">
        <v>6716</v>
      </c>
      <c r="C128" s="6" t="s">
        <v>6740</v>
      </c>
      <c r="D128" s="6" t="s">
        <v>1658</v>
      </c>
      <c r="E128" s="6" t="s">
        <v>1659</v>
      </c>
      <c r="F128" s="7" t="s">
        <v>6423</v>
      </c>
      <c r="G128" s="6"/>
      <c r="H128" s="6" t="s">
        <v>54</v>
      </c>
      <c r="I128" s="6"/>
      <c r="J128" s="6"/>
      <c r="K128" s="6"/>
      <c r="L128" s="6" t="s">
        <v>1660</v>
      </c>
      <c r="M128" s="6" t="s">
        <v>1661</v>
      </c>
      <c r="N128" s="6" t="s">
        <v>1662</v>
      </c>
      <c r="O128" s="6" t="str">
        <f>HYPERLINK("https://ceds.ed.gov/cedselementdetails.aspx?termid=6479")</f>
        <v>https://ceds.ed.gov/cedselementdetails.aspx?termid=6479</v>
      </c>
      <c r="P128" s="6" t="str">
        <f>HYPERLINK("https://ceds.ed.gov/elementComment.aspx?elementName=Child Outcomes Summary Rating A &amp;elementID=6479", "Click here to submit comment")</f>
        <v>Click here to submit comment</v>
      </c>
    </row>
    <row r="129" spans="1:16" ht="409.5">
      <c r="A129" s="6" t="s">
        <v>6715</v>
      </c>
      <c r="B129" s="6" t="s">
        <v>6716</v>
      </c>
      <c r="C129" s="6" t="s">
        <v>6740</v>
      </c>
      <c r="D129" s="6" t="s">
        <v>1663</v>
      </c>
      <c r="E129" s="6" t="s">
        <v>1664</v>
      </c>
      <c r="F129" s="7" t="s">
        <v>6423</v>
      </c>
      <c r="G129" s="6"/>
      <c r="H129" s="6" t="s">
        <v>54</v>
      </c>
      <c r="I129" s="6"/>
      <c r="J129" s="6"/>
      <c r="K129" s="6"/>
      <c r="L129" s="6" t="s">
        <v>1665</v>
      </c>
      <c r="M129" s="6" t="s">
        <v>1666</v>
      </c>
      <c r="N129" s="6" t="s">
        <v>1667</v>
      </c>
      <c r="O129" s="6" t="str">
        <f>HYPERLINK("https://ceds.ed.gov/cedselementdetails.aspx?termid=6480")</f>
        <v>https://ceds.ed.gov/cedselementdetails.aspx?termid=6480</v>
      </c>
      <c r="P129" s="6" t="str">
        <f>HYPERLINK("https://ceds.ed.gov/elementComment.aspx?elementName=Child Outcomes Summary Rating B &amp;elementID=6480", "Click here to submit comment")</f>
        <v>Click here to submit comment</v>
      </c>
    </row>
    <row r="130" spans="1:16" ht="409.5">
      <c r="A130" s="6" t="s">
        <v>6715</v>
      </c>
      <c r="B130" s="6" t="s">
        <v>6716</v>
      </c>
      <c r="C130" s="6" t="s">
        <v>6740</v>
      </c>
      <c r="D130" s="6" t="s">
        <v>1668</v>
      </c>
      <c r="E130" s="6" t="s">
        <v>1669</v>
      </c>
      <c r="F130" s="7" t="s">
        <v>6423</v>
      </c>
      <c r="G130" s="6"/>
      <c r="H130" s="6" t="s">
        <v>54</v>
      </c>
      <c r="I130" s="6"/>
      <c r="J130" s="6"/>
      <c r="K130" s="6"/>
      <c r="L130" s="6" t="s">
        <v>1670</v>
      </c>
      <c r="M130" s="6" t="s">
        <v>1671</v>
      </c>
      <c r="N130" s="6" t="s">
        <v>1672</v>
      </c>
      <c r="O130" s="6" t="str">
        <f>HYPERLINK("https://ceds.ed.gov/cedselementdetails.aspx?termid=6481")</f>
        <v>https://ceds.ed.gov/cedselementdetails.aspx?termid=6481</v>
      </c>
      <c r="P130" s="6" t="str">
        <f>HYPERLINK("https://ceds.ed.gov/elementComment.aspx?elementName=Child Outcomes Summary Rating C &amp;elementID=6481", "Click here to submit comment")</f>
        <v>Click here to submit comment</v>
      </c>
    </row>
    <row r="131" spans="1:16" ht="210">
      <c r="A131" s="6" t="s">
        <v>6715</v>
      </c>
      <c r="B131" s="6" t="s">
        <v>6741</v>
      </c>
      <c r="C131" s="6"/>
      <c r="D131" s="6" t="s">
        <v>2096</v>
      </c>
      <c r="E131" s="6" t="s">
        <v>2097</v>
      </c>
      <c r="F131" s="7" t="s">
        <v>6453</v>
      </c>
      <c r="G131" s="6" t="s">
        <v>5988</v>
      </c>
      <c r="H131" s="6"/>
      <c r="I131" s="6"/>
      <c r="J131" s="6"/>
      <c r="K131" s="6"/>
      <c r="L131" s="6" t="s">
        <v>2099</v>
      </c>
      <c r="M131" s="6"/>
      <c r="N131" s="6" t="s">
        <v>2100</v>
      </c>
      <c r="O131" s="6" t="str">
        <f>HYPERLINK("https://ceds.ed.gov/cedselementdetails.aspx?termid=5328")</f>
        <v>https://ceds.ed.gov/cedselementdetails.aspx?termid=5328</v>
      </c>
      <c r="P131" s="6" t="str">
        <f>HYPERLINK("https://ceds.ed.gov/elementComment.aspx?elementName=Custodial Parent or Guardian Indicator &amp;elementID=5328", "Click here to submit comment")</f>
        <v>Click here to submit comment</v>
      </c>
    </row>
    <row r="132" spans="1:16" ht="409.5">
      <c r="A132" s="6" t="s">
        <v>6715</v>
      </c>
      <c r="B132" s="6" t="s">
        <v>6741</v>
      </c>
      <c r="C132" s="6"/>
      <c r="D132" s="6" t="s">
        <v>4490</v>
      </c>
      <c r="E132" s="6" t="s">
        <v>4491</v>
      </c>
      <c r="F132" s="7" t="s">
        <v>6598</v>
      </c>
      <c r="G132" s="6" t="s">
        <v>1480</v>
      </c>
      <c r="H132" s="6" t="s">
        <v>3</v>
      </c>
      <c r="I132" s="6"/>
      <c r="J132" s="6"/>
      <c r="K132" s="6"/>
      <c r="L132" s="6" t="s">
        <v>4492</v>
      </c>
      <c r="M132" s="6"/>
      <c r="N132" s="6" t="s">
        <v>4493</v>
      </c>
      <c r="O132" s="6" t="str">
        <f>HYPERLINK("https://ceds.ed.gov/cedselementdetails.aspx?termid=5415")</f>
        <v>https://ceds.ed.gov/cedselementdetails.aspx?termid=5415</v>
      </c>
      <c r="P132" s="6" t="str">
        <f>HYPERLINK("https://ceds.ed.gov/elementComment.aspx?elementName=Person Relationship to Learner Type &amp;elementID=5415", "Click here to submit comment")</f>
        <v>Click here to submit comment</v>
      </c>
    </row>
    <row r="133" spans="1:16" ht="45">
      <c r="A133" s="6" t="s">
        <v>6715</v>
      </c>
      <c r="B133" s="6" t="s">
        <v>6741</v>
      </c>
      <c r="C133" s="6"/>
      <c r="D133" s="6" t="s">
        <v>2470</v>
      </c>
      <c r="E133" s="6" t="s">
        <v>2471</v>
      </c>
      <c r="F133" s="6" t="s">
        <v>5963</v>
      </c>
      <c r="G133" s="6"/>
      <c r="H133" s="6" t="s">
        <v>54</v>
      </c>
      <c r="I133" s="6"/>
      <c r="J133" s="6"/>
      <c r="K133" s="6"/>
      <c r="L133" s="6" t="s">
        <v>2472</v>
      </c>
      <c r="M133" s="6"/>
      <c r="N133" s="6" t="s">
        <v>2473</v>
      </c>
      <c r="O133" s="6" t="str">
        <f>HYPERLINK("https://ceds.ed.gov/cedselementdetails.aspx?termid=6308")</f>
        <v>https://ceds.ed.gov/cedselementdetails.aspx?termid=6308</v>
      </c>
      <c r="P133" s="6" t="str">
        <f>HYPERLINK("https://ceds.ed.gov/elementComment.aspx?elementName=Emergency Contact Indicator &amp;elementID=6308", "Click here to submit comment")</f>
        <v>Click here to submit comment</v>
      </c>
    </row>
    <row r="134" spans="1:16" ht="60">
      <c r="A134" s="6" t="s">
        <v>6715</v>
      </c>
      <c r="B134" s="6" t="s">
        <v>6741</v>
      </c>
      <c r="C134" s="6"/>
      <c r="D134" s="6" t="s">
        <v>4478</v>
      </c>
      <c r="E134" s="6" t="s">
        <v>4479</v>
      </c>
      <c r="F134" s="6" t="s">
        <v>13</v>
      </c>
      <c r="G134" s="6"/>
      <c r="H134" s="6" t="s">
        <v>54</v>
      </c>
      <c r="I134" s="6" t="s">
        <v>575</v>
      </c>
      <c r="J134" s="6"/>
      <c r="K134" s="6"/>
      <c r="L134" s="6" t="s">
        <v>4480</v>
      </c>
      <c r="M134" s="6"/>
      <c r="N134" s="6" t="s">
        <v>4481</v>
      </c>
      <c r="O134" s="6" t="str">
        <f>HYPERLINK("https://ceds.ed.gov/cedselementdetails.aspx?termid=6392")</f>
        <v>https://ceds.ed.gov/cedselementdetails.aspx?termid=6392</v>
      </c>
      <c r="P134" s="6" t="str">
        <f>HYPERLINK("https://ceds.ed.gov/elementComment.aspx?elementName=Person Relationship to Learner Contact Priority Number &amp;elementID=6392", "Click here to submit comment")</f>
        <v>Click here to submit comment</v>
      </c>
    </row>
    <row r="135" spans="1:16" ht="75">
      <c r="A135" s="6" t="s">
        <v>6715</v>
      </c>
      <c r="B135" s="6" t="s">
        <v>6741</v>
      </c>
      <c r="C135" s="6"/>
      <c r="D135" s="6" t="s">
        <v>4482</v>
      </c>
      <c r="E135" s="6" t="s">
        <v>4483</v>
      </c>
      <c r="F135" s="6" t="s">
        <v>13</v>
      </c>
      <c r="G135" s="6"/>
      <c r="H135" s="6" t="s">
        <v>54</v>
      </c>
      <c r="I135" s="6" t="s">
        <v>319</v>
      </c>
      <c r="J135" s="6"/>
      <c r="K135" s="6"/>
      <c r="L135" s="6" t="s">
        <v>4484</v>
      </c>
      <c r="M135" s="6"/>
      <c r="N135" s="6" t="s">
        <v>4485</v>
      </c>
      <c r="O135" s="6" t="str">
        <f>HYPERLINK("https://ceds.ed.gov/cedselementdetails.aspx?termid=6393")</f>
        <v>https://ceds.ed.gov/cedselementdetails.aspx?termid=6393</v>
      </c>
      <c r="P135" s="6" t="str">
        <f>HYPERLINK("https://ceds.ed.gov/elementComment.aspx?elementName=Person Relationship to Learner Contact Restrictions Description &amp;elementID=6393", "Click here to submit comment")</f>
        <v>Click here to submit comment</v>
      </c>
    </row>
    <row r="136" spans="1:16" ht="60">
      <c r="A136" s="6" t="s">
        <v>6715</v>
      </c>
      <c r="B136" s="6" t="s">
        <v>6741</v>
      </c>
      <c r="C136" s="6"/>
      <c r="D136" s="6" t="s">
        <v>4486</v>
      </c>
      <c r="E136" s="6" t="s">
        <v>4487</v>
      </c>
      <c r="F136" s="6" t="s">
        <v>5963</v>
      </c>
      <c r="G136" s="6"/>
      <c r="H136" s="6" t="s">
        <v>54</v>
      </c>
      <c r="I136" s="6"/>
      <c r="J136" s="6"/>
      <c r="K136" s="6"/>
      <c r="L136" s="6" t="s">
        <v>4488</v>
      </c>
      <c r="M136" s="6"/>
      <c r="N136" s="6" t="s">
        <v>4489</v>
      </c>
      <c r="O136" s="6" t="str">
        <f>HYPERLINK("https://ceds.ed.gov/cedselementdetails.aspx?termid=6394")</f>
        <v>https://ceds.ed.gov/cedselementdetails.aspx?termid=6394</v>
      </c>
      <c r="P136" s="6" t="str">
        <f>HYPERLINK("https://ceds.ed.gov/elementComment.aspx?elementName=Person Relationship to Learner Lives With Indicator &amp;elementID=6394", "Click here to submit comment")</f>
        <v>Click here to submit comment</v>
      </c>
    </row>
    <row r="137" spans="1:16" ht="90">
      <c r="A137" s="6" t="s">
        <v>6715</v>
      </c>
      <c r="B137" s="6" t="s">
        <v>6741</v>
      </c>
      <c r="C137" s="6"/>
      <c r="D137" s="6" t="s">
        <v>4583</v>
      </c>
      <c r="E137" s="6" t="s">
        <v>4584</v>
      </c>
      <c r="F137" s="6" t="s">
        <v>5963</v>
      </c>
      <c r="G137" s="6"/>
      <c r="H137" s="6" t="s">
        <v>54</v>
      </c>
      <c r="I137" s="6"/>
      <c r="J137" s="6"/>
      <c r="K137" s="6"/>
      <c r="L137" s="6" t="s">
        <v>4585</v>
      </c>
      <c r="M137" s="6"/>
      <c r="N137" s="6" t="s">
        <v>4586</v>
      </c>
      <c r="O137" s="6" t="str">
        <f>HYPERLINK("https://ceds.ed.gov/cedselementdetails.aspx?termid=6397")</f>
        <v>https://ceds.ed.gov/cedselementdetails.aspx?termid=6397</v>
      </c>
      <c r="P137" s="6" t="str">
        <f>HYPERLINK("https://ceds.ed.gov/elementComment.aspx?elementName=Primary Contact Indicator &amp;elementID=6397", "Click here to submit comment")</f>
        <v>Click here to submit comment</v>
      </c>
    </row>
    <row r="138" spans="1:16" ht="195">
      <c r="A138" s="6" t="s">
        <v>6715</v>
      </c>
      <c r="B138" s="6" t="s">
        <v>6741</v>
      </c>
      <c r="C138" s="6" t="s">
        <v>6717</v>
      </c>
      <c r="D138" s="6" t="s">
        <v>2776</v>
      </c>
      <c r="E138" s="6" t="s">
        <v>2777</v>
      </c>
      <c r="F138" s="6" t="s">
        <v>13</v>
      </c>
      <c r="G138" s="6" t="s">
        <v>6176</v>
      </c>
      <c r="H138" s="6" t="s">
        <v>3</v>
      </c>
      <c r="I138" s="6" t="s">
        <v>1368</v>
      </c>
      <c r="J138" s="6"/>
      <c r="K138" s="6" t="s">
        <v>2778</v>
      </c>
      <c r="L138" s="6" t="s">
        <v>2779</v>
      </c>
      <c r="M138" s="6"/>
      <c r="N138" s="6" t="s">
        <v>2780</v>
      </c>
      <c r="O138" s="6" t="str">
        <f>HYPERLINK("https://ceds.ed.gov/cedselementdetails.aspx?termid=5115")</f>
        <v>https://ceds.ed.gov/cedselementdetails.aspx?termid=5115</v>
      </c>
      <c r="P138" s="6" t="str">
        <f>HYPERLINK("https://ceds.ed.gov/elementComment.aspx?elementName=First Name &amp;elementID=5115", "Click here to submit comment")</f>
        <v>Click here to submit comment</v>
      </c>
    </row>
    <row r="139" spans="1:16" ht="195">
      <c r="A139" s="6" t="s">
        <v>6715</v>
      </c>
      <c r="B139" s="6" t="s">
        <v>6741</v>
      </c>
      <c r="C139" s="6" t="s">
        <v>6717</v>
      </c>
      <c r="D139" s="6" t="s">
        <v>4088</v>
      </c>
      <c r="E139" s="6" t="s">
        <v>4089</v>
      </c>
      <c r="F139" s="6" t="s">
        <v>13</v>
      </c>
      <c r="G139" s="6" t="s">
        <v>6176</v>
      </c>
      <c r="H139" s="6" t="s">
        <v>3</v>
      </c>
      <c r="I139" s="6" t="s">
        <v>1368</v>
      </c>
      <c r="J139" s="6"/>
      <c r="K139" s="6" t="s">
        <v>2778</v>
      </c>
      <c r="L139" s="6" t="s">
        <v>4090</v>
      </c>
      <c r="M139" s="6"/>
      <c r="N139" s="6" t="s">
        <v>4091</v>
      </c>
      <c r="O139" s="6" t="str">
        <f>HYPERLINK("https://ceds.ed.gov/cedselementdetails.aspx?termid=5184")</f>
        <v>https://ceds.ed.gov/cedselementdetails.aspx?termid=5184</v>
      </c>
      <c r="P139" s="6" t="str">
        <f>HYPERLINK("https://ceds.ed.gov/elementComment.aspx?elementName=Middle Name &amp;elementID=5184", "Click here to submit comment")</f>
        <v>Click here to submit comment</v>
      </c>
    </row>
    <row r="140" spans="1:16" ht="195">
      <c r="A140" s="6" t="s">
        <v>6715</v>
      </c>
      <c r="B140" s="6" t="s">
        <v>6741</v>
      </c>
      <c r="C140" s="6" t="s">
        <v>6717</v>
      </c>
      <c r="D140" s="6" t="s">
        <v>3427</v>
      </c>
      <c r="E140" s="6" t="s">
        <v>3428</v>
      </c>
      <c r="F140" s="6" t="s">
        <v>13</v>
      </c>
      <c r="G140" s="6" t="s">
        <v>6176</v>
      </c>
      <c r="H140" s="6" t="s">
        <v>3</v>
      </c>
      <c r="I140" s="6" t="s">
        <v>1368</v>
      </c>
      <c r="J140" s="6"/>
      <c r="K140" s="6" t="s">
        <v>2778</v>
      </c>
      <c r="L140" s="6" t="s">
        <v>3429</v>
      </c>
      <c r="M140" s="6" t="s">
        <v>3430</v>
      </c>
      <c r="N140" s="6" t="s">
        <v>3431</v>
      </c>
      <c r="O140" s="6" t="str">
        <f>HYPERLINK("https://ceds.ed.gov/cedselementdetails.aspx?termid=5172")</f>
        <v>https://ceds.ed.gov/cedselementdetails.aspx?termid=5172</v>
      </c>
      <c r="P140" s="6" t="str">
        <f>HYPERLINK("https://ceds.ed.gov/elementComment.aspx?elementName=Last or Surname &amp;elementID=5172", "Click here to submit comment")</f>
        <v>Click here to submit comment</v>
      </c>
    </row>
    <row r="141" spans="1:16" ht="150">
      <c r="A141" s="6" t="s">
        <v>6715</v>
      </c>
      <c r="B141" s="6" t="s">
        <v>6741</v>
      </c>
      <c r="C141" s="6" t="s">
        <v>6717</v>
      </c>
      <c r="D141" s="6" t="s">
        <v>2829</v>
      </c>
      <c r="E141" s="6" t="s">
        <v>2830</v>
      </c>
      <c r="F141" s="6" t="s">
        <v>13</v>
      </c>
      <c r="G141" s="6" t="s">
        <v>6179</v>
      </c>
      <c r="H141" s="6" t="s">
        <v>3</v>
      </c>
      <c r="I141" s="6" t="s">
        <v>2031</v>
      </c>
      <c r="J141" s="6"/>
      <c r="K141" s="6" t="s">
        <v>2778</v>
      </c>
      <c r="L141" s="6" t="s">
        <v>2831</v>
      </c>
      <c r="M141" s="6"/>
      <c r="N141" s="6" t="s">
        <v>2832</v>
      </c>
      <c r="O141" s="6" t="str">
        <f>HYPERLINK("https://ceds.ed.gov/cedselementdetails.aspx?termid=5121")</f>
        <v>https://ceds.ed.gov/cedselementdetails.aspx?termid=5121</v>
      </c>
      <c r="P141" s="6" t="str">
        <f>HYPERLINK("https://ceds.ed.gov/elementComment.aspx?elementName=Generation Code or Suffix &amp;elementID=5121", "Click here to submit comment")</f>
        <v>Click here to submit comment</v>
      </c>
    </row>
    <row r="142" spans="1:16" ht="105">
      <c r="A142" s="6" t="s">
        <v>6715</v>
      </c>
      <c r="B142" s="6" t="s">
        <v>6741</v>
      </c>
      <c r="C142" s="6" t="s">
        <v>6717</v>
      </c>
      <c r="D142" s="6" t="s">
        <v>4498</v>
      </c>
      <c r="E142" s="6" t="s">
        <v>4499</v>
      </c>
      <c r="F142" s="6" t="s">
        <v>13</v>
      </c>
      <c r="G142" s="6" t="s">
        <v>6280</v>
      </c>
      <c r="H142" s="6" t="s">
        <v>3</v>
      </c>
      <c r="I142" s="6" t="s">
        <v>100</v>
      </c>
      <c r="J142" s="6"/>
      <c r="K142" s="6"/>
      <c r="L142" s="6" t="s">
        <v>4500</v>
      </c>
      <c r="M142" s="6" t="s">
        <v>4501</v>
      </c>
      <c r="N142" s="6" t="s">
        <v>4502</v>
      </c>
      <c r="O142" s="6" t="str">
        <f>HYPERLINK("https://ceds.ed.gov/cedselementdetails.aspx?termid=5212")</f>
        <v>https://ceds.ed.gov/cedselementdetails.aspx?termid=5212</v>
      </c>
      <c r="P142" s="6" t="str">
        <f>HYPERLINK("https://ceds.ed.gov/elementComment.aspx?elementName=Personal Title or Prefix &amp;elementID=5212", "Click here to submit comment")</f>
        <v>Click here to submit comment</v>
      </c>
    </row>
    <row r="143" spans="1:16" ht="90">
      <c r="A143" s="6" t="s">
        <v>6715</v>
      </c>
      <c r="B143" s="6" t="s">
        <v>6741</v>
      </c>
      <c r="C143" s="6" t="s">
        <v>6718</v>
      </c>
      <c r="D143" s="6" t="s">
        <v>4394</v>
      </c>
      <c r="E143" s="6" t="s">
        <v>4395</v>
      </c>
      <c r="F143" s="7" t="s">
        <v>6593</v>
      </c>
      <c r="G143" s="6" t="s">
        <v>6273</v>
      </c>
      <c r="H143" s="6" t="s">
        <v>3</v>
      </c>
      <c r="I143" s="6" t="s">
        <v>100</v>
      </c>
      <c r="J143" s="6"/>
      <c r="K143" s="6"/>
      <c r="L143" s="6" t="s">
        <v>4396</v>
      </c>
      <c r="M143" s="6"/>
      <c r="N143" s="6" t="s">
        <v>4397</v>
      </c>
      <c r="O143" s="6" t="str">
        <f>HYPERLINK("https://ceds.ed.gov/cedselementdetails.aspx?termid=5627")</f>
        <v>https://ceds.ed.gov/cedselementdetails.aspx?termid=5627</v>
      </c>
      <c r="P143" s="6" t="str">
        <f>HYPERLINK("https://ceds.ed.gov/elementComment.aspx?elementName=Other Name Type &amp;elementID=5627", "Click here to submit comment")</f>
        <v>Click here to submit comment</v>
      </c>
    </row>
    <row r="144" spans="1:16" ht="30">
      <c r="A144" s="6" t="s">
        <v>6715</v>
      </c>
      <c r="B144" s="6" t="s">
        <v>6741</v>
      </c>
      <c r="C144" s="6" t="s">
        <v>6718</v>
      </c>
      <c r="D144" s="6" t="s">
        <v>4375</v>
      </c>
      <c r="E144" s="6" t="s">
        <v>4376</v>
      </c>
      <c r="F144" s="6" t="s">
        <v>13</v>
      </c>
      <c r="G144" s="6"/>
      <c r="H144" s="6" t="s">
        <v>54</v>
      </c>
      <c r="I144" s="6" t="s">
        <v>1368</v>
      </c>
      <c r="J144" s="6"/>
      <c r="K144" s="6" t="s">
        <v>4377</v>
      </c>
      <c r="L144" s="6" t="s">
        <v>4378</v>
      </c>
      <c r="M144" s="6"/>
      <c r="N144" s="6" t="s">
        <v>4379</v>
      </c>
      <c r="O144" s="6" t="str">
        <f>HYPERLINK("https://ceds.ed.gov/cedselementdetails.aspx?termid=6486")</f>
        <v>https://ceds.ed.gov/cedselementdetails.aspx?termid=6486</v>
      </c>
      <c r="P144" s="6" t="str">
        <f>HYPERLINK("https://ceds.ed.gov/elementComment.aspx?elementName=Other First Name &amp;elementID=6486", "Click here to submit comment")</f>
        <v>Click here to submit comment</v>
      </c>
    </row>
    <row r="145" spans="1:16" ht="30">
      <c r="A145" s="6" t="s">
        <v>6715</v>
      </c>
      <c r="B145" s="6" t="s">
        <v>6741</v>
      </c>
      <c r="C145" s="6" t="s">
        <v>6718</v>
      </c>
      <c r="D145" s="6" t="s">
        <v>4380</v>
      </c>
      <c r="E145" s="6" t="s">
        <v>4381</v>
      </c>
      <c r="F145" s="6" t="s">
        <v>13</v>
      </c>
      <c r="G145" s="6"/>
      <c r="H145" s="6" t="s">
        <v>54</v>
      </c>
      <c r="I145" s="6" t="s">
        <v>1368</v>
      </c>
      <c r="J145" s="6"/>
      <c r="K145" s="6" t="s">
        <v>4382</v>
      </c>
      <c r="L145" s="6" t="s">
        <v>4383</v>
      </c>
      <c r="M145" s="6"/>
      <c r="N145" s="6" t="s">
        <v>4384</v>
      </c>
      <c r="O145" s="6" t="str">
        <f>HYPERLINK("https://ceds.ed.gov/cedselementdetails.aspx?termid=6485")</f>
        <v>https://ceds.ed.gov/cedselementdetails.aspx?termid=6485</v>
      </c>
      <c r="P145" s="6" t="str">
        <f>HYPERLINK("https://ceds.ed.gov/elementComment.aspx?elementName=Other Last Name &amp;elementID=6485", "Click here to submit comment")</f>
        <v>Click here to submit comment</v>
      </c>
    </row>
    <row r="146" spans="1:16" ht="30">
      <c r="A146" s="6" t="s">
        <v>6715</v>
      </c>
      <c r="B146" s="6" t="s">
        <v>6741</v>
      </c>
      <c r="C146" s="6" t="s">
        <v>6718</v>
      </c>
      <c r="D146" s="6" t="s">
        <v>4385</v>
      </c>
      <c r="E146" s="6" t="s">
        <v>4386</v>
      </c>
      <c r="F146" s="6" t="s">
        <v>13</v>
      </c>
      <c r="G146" s="6"/>
      <c r="H146" s="6" t="s">
        <v>54</v>
      </c>
      <c r="I146" s="6" t="s">
        <v>1368</v>
      </c>
      <c r="J146" s="6"/>
      <c r="K146" s="6" t="s">
        <v>4387</v>
      </c>
      <c r="L146" s="6" t="s">
        <v>4388</v>
      </c>
      <c r="M146" s="6"/>
      <c r="N146" s="6" t="s">
        <v>4389</v>
      </c>
      <c r="O146" s="6" t="str">
        <f>HYPERLINK("https://ceds.ed.gov/cedselementdetails.aspx?termid=6487")</f>
        <v>https://ceds.ed.gov/cedselementdetails.aspx?termid=6487</v>
      </c>
      <c r="P146" s="6" t="str">
        <f>HYPERLINK("https://ceds.ed.gov/elementComment.aspx?elementName=Other Middle Name &amp;elementID=6487", "Click here to submit comment")</f>
        <v>Click here to submit comment</v>
      </c>
    </row>
    <row r="147" spans="1:16" ht="150">
      <c r="A147" s="6" t="s">
        <v>6715</v>
      </c>
      <c r="B147" s="6" t="s">
        <v>6741</v>
      </c>
      <c r="C147" s="6" t="s">
        <v>6718</v>
      </c>
      <c r="D147" s="6" t="s">
        <v>4390</v>
      </c>
      <c r="E147" s="6" t="s">
        <v>4391</v>
      </c>
      <c r="F147" s="6" t="s">
        <v>13</v>
      </c>
      <c r="G147" s="6" t="s">
        <v>6179</v>
      </c>
      <c r="H147" s="6" t="s">
        <v>3</v>
      </c>
      <c r="I147" s="6" t="s">
        <v>149</v>
      </c>
      <c r="J147" s="6"/>
      <c r="K147" s="6"/>
      <c r="L147" s="6" t="s">
        <v>4392</v>
      </c>
      <c r="M147" s="6"/>
      <c r="N147" s="6" t="s">
        <v>4393</v>
      </c>
      <c r="O147" s="6" t="str">
        <f>HYPERLINK("https://ceds.ed.gov/cedselementdetails.aspx?termid=5206")</f>
        <v>https://ceds.ed.gov/cedselementdetails.aspx?termid=5206</v>
      </c>
      <c r="P147" s="6" t="str">
        <f>HYPERLINK("https://ceds.ed.gov/elementComment.aspx?elementName=Other Name &amp;elementID=5206", "Click here to submit comment")</f>
        <v>Click here to submit comment</v>
      </c>
    </row>
    <row r="148" spans="1:16" ht="285">
      <c r="A148" s="6" t="s">
        <v>6715</v>
      </c>
      <c r="B148" s="6" t="s">
        <v>6741</v>
      </c>
      <c r="C148" s="6" t="s">
        <v>6720</v>
      </c>
      <c r="D148" s="6" t="s">
        <v>191</v>
      </c>
      <c r="E148" s="6" t="s">
        <v>192</v>
      </c>
      <c r="F148" s="7" t="s">
        <v>6353</v>
      </c>
      <c r="G148" s="6" t="s">
        <v>5976</v>
      </c>
      <c r="H148" s="6" t="s">
        <v>66</v>
      </c>
      <c r="I148" s="6" t="s">
        <v>100</v>
      </c>
      <c r="J148" s="6" t="s">
        <v>193</v>
      </c>
      <c r="K148" s="6"/>
      <c r="L148" s="6" t="s">
        <v>194</v>
      </c>
      <c r="M148" s="6"/>
      <c r="N148" s="6" t="s">
        <v>195</v>
      </c>
      <c r="O148" s="6" t="str">
        <f>HYPERLINK("https://ceds.ed.gov/cedselementdetails.aspx?termid=5358")</f>
        <v>https://ceds.ed.gov/cedselementdetails.aspx?termid=5358</v>
      </c>
      <c r="P148" s="6" t="str">
        <f>HYPERLINK("https://ceds.ed.gov/elementComment.aspx?elementName=Address Type for Learner or Family &amp;elementID=5358", "Click here to submit comment")</f>
        <v>Click here to submit comment</v>
      </c>
    </row>
    <row r="149" spans="1:16" ht="225">
      <c r="A149" s="6" t="s">
        <v>6715</v>
      </c>
      <c r="B149" s="6" t="s">
        <v>6741</v>
      </c>
      <c r="C149" s="6" t="s">
        <v>6720</v>
      </c>
      <c r="D149" s="6" t="s">
        <v>187</v>
      </c>
      <c r="E149" s="6" t="s">
        <v>188</v>
      </c>
      <c r="F149" s="6" t="s">
        <v>13</v>
      </c>
      <c r="G149" s="6" t="s">
        <v>5973</v>
      </c>
      <c r="H149" s="6" t="s">
        <v>3</v>
      </c>
      <c r="I149" s="6" t="s">
        <v>149</v>
      </c>
      <c r="J149" s="6"/>
      <c r="K149" s="6"/>
      <c r="L149" s="6" t="s">
        <v>189</v>
      </c>
      <c r="M149" s="6"/>
      <c r="N149" s="6" t="s">
        <v>190</v>
      </c>
      <c r="O149" s="6" t="str">
        <f>HYPERLINK("https://ceds.ed.gov/cedselementdetails.aspx?termid=5269")</f>
        <v>https://ceds.ed.gov/cedselementdetails.aspx?termid=5269</v>
      </c>
      <c r="P149" s="6" t="str">
        <f>HYPERLINK("https://ceds.ed.gov/elementComment.aspx?elementName=Address Street Number and Name &amp;elementID=5269", "Click here to submit comment")</f>
        <v>Click here to submit comment</v>
      </c>
    </row>
    <row r="150" spans="1:16" ht="225">
      <c r="A150" s="6" t="s">
        <v>6715</v>
      </c>
      <c r="B150" s="6" t="s">
        <v>6741</v>
      </c>
      <c r="C150" s="6" t="s">
        <v>6720</v>
      </c>
      <c r="D150" s="6" t="s">
        <v>170</v>
      </c>
      <c r="E150" s="6" t="s">
        <v>171</v>
      </c>
      <c r="F150" s="6" t="s">
        <v>13</v>
      </c>
      <c r="G150" s="6" t="s">
        <v>5973</v>
      </c>
      <c r="H150" s="6" t="s">
        <v>3</v>
      </c>
      <c r="I150" s="6" t="s">
        <v>100</v>
      </c>
      <c r="J150" s="6"/>
      <c r="K150" s="6"/>
      <c r="L150" s="6" t="s">
        <v>172</v>
      </c>
      <c r="M150" s="6"/>
      <c r="N150" s="6" t="s">
        <v>173</v>
      </c>
      <c r="O150" s="6" t="str">
        <f>HYPERLINK("https://ceds.ed.gov/cedselementdetails.aspx?termid=5019")</f>
        <v>https://ceds.ed.gov/cedselementdetails.aspx?termid=5019</v>
      </c>
      <c r="P150" s="6" t="str">
        <f>HYPERLINK("https://ceds.ed.gov/elementComment.aspx?elementName=Address Apartment Room or Suite Number &amp;elementID=5019", "Click here to submit comment")</f>
        <v>Click here to submit comment</v>
      </c>
    </row>
    <row r="151" spans="1:16" ht="225">
      <c r="A151" s="6" t="s">
        <v>6715</v>
      </c>
      <c r="B151" s="6" t="s">
        <v>6741</v>
      </c>
      <c r="C151" s="6" t="s">
        <v>6720</v>
      </c>
      <c r="D151" s="6" t="s">
        <v>174</v>
      </c>
      <c r="E151" s="6" t="s">
        <v>175</v>
      </c>
      <c r="F151" s="6" t="s">
        <v>13</v>
      </c>
      <c r="G151" s="6" t="s">
        <v>5973</v>
      </c>
      <c r="H151" s="6" t="s">
        <v>3</v>
      </c>
      <c r="I151" s="6" t="s">
        <v>100</v>
      </c>
      <c r="J151" s="6"/>
      <c r="K151" s="6"/>
      <c r="L151" s="6" t="s">
        <v>176</v>
      </c>
      <c r="M151" s="6"/>
      <c r="N151" s="6" t="s">
        <v>177</v>
      </c>
      <c r="O151" s="6" t="str">
        <f>HYPERLINK("https://ceds.ed.gov/cedselementdetails.aspx?termid=5040")</f>
        <v>https://ceds.ed.gov/cedselementdetails.aspx?termid=5040</v>
      </c>
      <c r="P151" s="6" t="str">
        <f>HYPERLINK("https://ceds.ed.gov/elementComment.aspx?elementName=Address City &amp;elementID=5040", "Click here to submit comment")</f>
        <v>Click here to submit comment</v>
      </c>
    </row>
    <row r="152" spans="1:16" ht="409.5">
      <c r="A152" s="6" t="s">
        <v>6715</v>
      </c>
      <c r="B152" s="6" t="s">
        <v>6741</v>
      </c>
      <c r="C152" s="6" t="s">
        <v>6720</v>
      </c>
      <c r="D152" s="6" t="s">
        <v>5533</v>
      </c>
      <c r="E152" s="6" t="s">
        <v>5534</v>
      </c>
      <c r="F152" s="7" t="s">
        <v>6633</v>
      </c>
      <c r="G152" s="6" t="s">
        <v>6324</v>
      </c>
      <c r="H152" s="6" t="s">
        <v>3</v>
      </c>
      <c r="I152" s="6"/>
      <c r="J152" s="6"/>
      <c r="K152" s="6"/>
      <c r="L152" s="6" t="s">
        <v>5535</v>
      </c>
      <c r="M152" s="6"/>
      <c r="N152" s="6" t="s">
        <v>5536</v>
      </c>
      <c r="O152" s="6" t="str">
        <f>HYPERLINK("https://ceds.ed.gov/cedselementdetails.aspx?termid=5267")</f>
        <v>https://ceds.ed.gov/cedselementdetails.aspx?termid=5267</v>
      </c>
      <c r="P152" s="6" t="str">
        <f>HYPERLINK("https://ceds.ed.gov/elementComment.aspx?elementName=State Abbreviation &amp;elementID=5267", "Click here to submit comment")</f>
        <v>Click here to submit comment</v>
      </c>
    </row>
    <row r="153" spans="1:16" ht="225">
      <c r="A153" s="6" t="s">
        <v>6715</v>
      </c>
      <c r="B153" s="6" t="s">
        <v>6741</v>
      </c>
      <c r="C153" s="6" t="s">
        <v>6720</v>
      </c>
      <c r="D153" s="6" t="s">
        <v>182</v>
      </c>
      <c r="E153" s="6" t="s">
        <v>183</v>
      </c>
      <c r="F153" s="6" t="s">
        <v>13</v>
      </c>
      <c r="G153" s="6" t="s">
        <v>5973</v>
      </c>
      <c r="H153" s="6" t="s">
        <v>3</v>
      </c>
      <c r="I153" s="6" t="s">
        <v>184</v>
      </c>
      <c r="J153" s="6"/>
      <c r="K153" s="6"/>
      <c r="L153" s="6" t="s">
        <v>185</v>
      </c>
      <c r="M153" s="6"/>
      <c r="N153" s="6" t="s">
        <v>186</v>
      </c>
      <c r="O153" s="6" t="str">
        <f>HYPERLINK("https://ceds.ed.gov/cedselementdetails.aspx?termid=5214")</f>
        <v>https://ceds.ed.gov/cedselementdetails.aspx?termid=5214</v>
      </c>
      <c r="P153" s="6" t="str">
        <f>HYPERLINK("https://ceds.ed.gov/elementComment.aspx?elementName=Address Postal Code &amp;elementID=5214", "Click here to submit comment")</f>
        <v>Click here to submit comment</v>
      </c>
    </row>
    <row r="154" spans="1:16" ht="225">
      <c r="A154" s="6" t="s">
        <v>6715</v>
      </c>
      <c r="B154" s="6" t="s">
        <v>6741</v>
      </c>
      <c r="C154" s="6" t="s">
        <v>6720</v>
      </c>
      <c r="D154" s="6" t="s">
        <v>178</v>
      </c>
      <c r="E154" s="6" t="s">
        <v>179</v>
      </c>
      <c r="F154" s="6" t="s">
        <v>13</v>
      </c>
      <c r="G154" s="6" t="s">
        <v>5973</v>
      </c>
      <c r="H154" s="6" t="s">
        <v>3</v>
      </c>
      <c r="I154" s="6" t="s">
        <v>100</v>
      </c>
      <c r="J154" s="6"/>
      <c r="K154" s="6"/>
      <c r="L154" s="6" t="s">
        <v>180</v>
      </c>
      <c r="M154" s="6"/>
      <c r="N154" s="6" t="s">
        <v>181</v>
      </c>
      <c r="O154" s="6" t="str">
        <f>HYPERLINK("https://ceds.ed.gov/cedselementdetails.aspx?termid=5190")</f>
        <v>https://ceds.ed.gov/cedselementdetails.aspx?termid=5190</v>
      </c>
      <c r="P154" s="6" t="str">
        <f>HYPERLINK("https://ceds.ed.gov/elementComment.aspx?elementName=Address County Name &amp;elementID=5190", "Click here to submit comment")</f>
        <v>Click here to submit comment</v>
      </c>
    </row>
    <row r="155" spans="1:16" ht="409.5">
      <c r="A155" s="6" t="s">
        <v>6715</v>
      </c>
      <c r="B155" s="6" t="s">
        <v>6741</v>
      </c>
      <c r="C155" s="6" t="s">
        <v>6720</v>
      </c>
      <c r="D155" s="6" t="s">
        <v>1809</v>
      </c>
      <c r="E155" s="6" t="s">
        <v>1810</v>
      </c>
      <c r="F155" s="7" t="s">
        <v>6433</v>
      </c>
      <c r="G155" s="6" t="s">
        <v>6107</v>
      </c>
      <c r="H155" s="6" t="s">
        <v>3</v>
      </c>
      <c r="I155" s="6"/>
      <c r="J155" s="6"/>
      <c r="K155" s="6"/>
      <c r="L155" s="6" t="s">
        <v>1811</v>
      </c>
      <c r="M155" s="6"/>
      <c r="N155" s="6" t="s">
        <v>1812</v>
      </c>
      <c r="O155" s="6" t="str">
        <f>HYPERLINK("https://ceds.ed.gov/cedselementdetails.aspx?termid=5050")</f>
        <v>https://ceds.ed.gov/cedselementdetails.aspx?termid=5050</v>
      </c>
      <c r="P155" s="6" t="str">
        <f>HYPERLINK("https://ceds.ed.gov/elementComment.aspx?elementName=Country Code &amp;elementID=5050", "Click here to submit comment")</f>
        <v>Click here to submit comment</v>
      </c>
    </row>
    <row r="156" spans="1:16" ht="135">
      <c r="A156" s="6" t="s">
        <v>6715</v>
      </c>
      <c r="B156" s="6" t="s">
        <v>6741</v>
      </c>
      <c r="C156" s="6" t="s">
        <v>6721</v>
      </c>
      <c r="D156" s="6" t="s">
        <v>5732</v>
      </c>
      <c r="E156" s="6" t="s">
        <v>5733</v>
      </c>
      <c r="F156" s="7" t="s">
        <v>6675</v>
      </c>
      <c r="G156" s="6" t="s">
        <v>5968</v>
      </c>
      <c r="H156" s="6" t="s">
        <v>3</v>
      </c>
      <c r="I156" s="6" t="s">
        <v>2844</v>
      </c>
      <c r="J156" s="6"/>
      <c r="K156" s="6"/>
      <c r="L156" s="6" t="s">
        <v>5734</v>
      </c>
      <c r="M156" s="6"/>
      <c r="N156" s="6" t="s">
        <v>5735</v>
      </c>
      <c r="O156" s="6" t="str">
        <f>HYPERLINK("https://ceds.ed.gov/cedselementdetails.aspx?termid=5280")</f>
        <v>https://ceds.ed.gov/cedselementdetails.aspx?termid=5280</v>
      </c>
      <c r="P156" s="6" t="str">
        <f>HYPERLINK("https://ceds.ed.gov/elementComment.aspx?elementName=Telephone Number Type &amp;elementID=5280", "Click here to submit comment")</f>
        <v>Click here to submit comment</v>
      </c>
    </row>
    <row r="157" spans="1:16" ht="90">
      <c r="A157" s="6" t="s">
        <v>6715</v>
      </c>
      <c r="B157" s="6" t="s">
        <v>6741</v>
      </c>
      <c r="C157" s="6" t="s">
        <v>6721</v>
      </c>
      <c r="D157" s="6" t="s">
        <v>4591</v>
      </c>
      <c r="E157" s="6" t="s">
        <v>4592</v>
      </c>
      <c r="F157" s="6" t="s">
        <v>5963</v>
      </c>
      <c r="G157" s="6" t="s">
        <v>5968</v>
      </c>
      <c r="H157" s="6" t="s">
        <v>3</v>
      </c>
      <c r="I157" s="6"/>
      <c r="J157" s="6"/>
      <c r="K157" s="6"/>
      <c r="L157" s="6" t="s">
        <v>4593</v>
      </c>
      <c r="M157" s="6"/>
      <c r="N157" s="6" t="s">
        <v>4594</v>
      </c>
      <c r="O157" s="6" t="str">
        <f>HYPERLINK("https://ceds.ed.gov/cedselementdetails.aspx?termid=5219")</f>
        <v>https://ceds.ed.gov/cedselementdetails.aspx?termid=5219</v>
      </c>
      <c r="P157" s="6" t="str">
        <f>HYPERLINK("https://ceds.ed.gov/elementComment.aspx?elementName=Primary Telephone Number Indicator &amp;elementID=5219", "Click here to submit comment")</f>
        <v>Click here to submit comment</v>
      </c>
    </row>
    <row r="158" spans="1:16" ht="90">
      <c r="A158" s="6" t="s">
        <v>6715</v>
      </c>
      <c r="B158" s="6" t="s">
        <v>6741</v>
      </c>
      <c r="C158" s="6" t="s">
        <v>6721</v>
      </c>
      <c r="D158" s="6" t="s">
        <v>5727</v>
      </c>
      <c r="E158" s="6" t="s">
        <v>5728</v>
      </c>
      <c r="F158" s="6" t="s">
        <v>13</v>
      </c>
      <c r="G158" s="6" t="s">
        <v>5968</v>
      </c>
      <c r="H158" s="6" t="s">
        <v>3</v>
      </c>
      <c r="I158" s="6" t="s">
        <v>5729</v>
      </c>
      <c r="J158" s="6"/>
      <c r="K158" s="6"/>
      <c r="L158" s="6" t="s">
        <v>5730</v>
      </c>
      <c r="M158" s="6"/>
      <c r="N158" s="6" t="s">
        <v>5731</v>
      </c>
      <c r="O158" s="6" t="str">
        <f>HYPERLINK("https://ceds.ed.gov/cedselementdetails.aspx?termid=5279")</f>
        <v>https://ceds.ed.gov/cedselementdetails.aspx?termid=5279</v>
      </c>
      <c r="P158" s="6" t="str">
        <f>HYPERLINK("https://ceds.ed.gov/elementComment.aspx?elementName=Telephone Number &amp;elementID=5279", "Click here to submit comment")</f>
        <v>Click here to submit comment</v>
      </c>
    </row>
    <row r="159" spans="1:16" ht="105">
      <c r="A159" s="6" t="s">
        <v>6715</v>
      </c>
      <c r="B159" s="6" t="s">
        <v>6741</v>
      </c>
      <c r="C159" s="6" t="s">
        <v>6742</v>
      </c>
      <c r="D159" s="6" t="s">
        <v>2457</v>
      </c>
      <c r="E159" s="6" t="s">
        <v>2458</v>
      </c>
      <c r="F159" s="7" t="s">
        <v>6489</v>
      </c>
      <c r="G159" s="6" t="s">
        <v>5968</v>
      </c>
      <c r="H159" s="6" t="s">
        <v>3</v>
      </c>
      <c r="I159" s="6"/>
      <c r="J159" s="6"/>
      <c r="K159" s="6"/>
      <c r="L159" s="6" t="s">
        <v>2459</v>
      </c>
      <c r="M159" s="6" t="s">
        <v>2460</v>
      </c>
      <c r="N159" s="6" t="s">
        <v>2461</v>
      </c>
      <c r="O159" s="6" t="str">
        <f>HYPERLINK("https://ceds.ed.gov/cedselementdetails.aspx?termid=5089")</f>
        <v>https://ceds.ed.gov/cedselementdetails.aspx?termid=5089</v>
      </c>
      <c r="P159" s="6" t="str">
        <f>HYPERLINK("https://ceds.ed.gov/elementComment.aspx?elementName=Electronic Mail Address Type &amp;elementID=5089", "Click here to submit comment")</f>
        <v>Click here to submit comment</v>
      </c>
    </row>
    <row r="160" spans="1:16" ht="90">
      <c r="A160" s="6" t="s">
        <v>6715</v>
      </c>
      <c r="B160" s="6" t="s">
        <v>6741</v>
      </c>
      <c r="C160" s="6" t="s">
        <v>6742</v>
      </c>
      <c r="D160" s="6" t="s">
        <v>2451</v>
      </c>
      <c r="E160" s="6" t="s">
        <v>2452</v>
      </c>
      <c r="F160" s="6" t="s">
        <v>13</v>
      </c>
      <c r="G160" s="6" t="s">
        <v>5968</v>
      </c>
      <c r="H160" s="6" t="s">
        <v>3</v>
      </c>
      <c r="I160" s="6" t="s">
        <v>2453</v>
      </c>
      <c r="J160" s="6"/>
      <c r="K160" s="6"/>
      <c r="L160" s="6" t="s">
        <v>2454</v>
      </c>
      <c r="M160" s="6" t="s">
        <v>2455</v>
      </c>
      <c r="N160" s="6" t="s">
        <v>2456</v>
      </c>
      <c r="O160" s="6" t="str">
        <f>HYPERLINK("https://ceds.ed.gov/cedselementdetails.aspx?termid=5088")</f>
        <v>https://ceds.ed.gov/cedselementdetails.aspx?termid=5088</v>
      </c>
      <c r="P160" s="6" t="str">
        <f>HYPERLINK("https://ceds.ed.gov/elementComment.aspx?elementName=Electronic Mail Address &amp;elementID=5088", "Click here to submit comment")</f>
        <v>Click here to submit comment</v>
      </c>
    </row>
    <row r="161" spans="1:16" ht="240">
      <c r="A161" s="6" t="s">
        <v>6715</v>
      </c>
      <c r="B161" s="6" t="s">
        <v>6741</v>
      </c>
      <c r="C161" s="6" t="s">
        <v>6722</v>
      </c>
      <c r="D161" s="6" t="s">
        <v>1474</v>
      </c>
      <c r="E161" s="6" t="s">
        <v>1475</v>
      </c>
      <c r="F161" s="6" t="s">
        <v>13</v>
      </c>
      <c r="G161" s="6" t="s">
        <v>6080</v>
      </c>
      <c r="H161" s="6" t="s">
        <v>3</v>
      </c>
      <c r="I161" s="6" t="s">
        <v>73</v>
      </c>
      <c r="J161" s="6"/>
      <c r="K161" s="6"/>
      <c r="L161" s="6" t="s">
        <v>1476</v>
      </c>
      <c r="M161" s="6"/>
      <c r="N161" s="6" t="s">
        <v>1474</v>
      </c>
      <c r="O161" s="6" t="str">
        <f>HYPERLINK("https://ceds.ed.gov/cedselementdetails.aspx?termid=5033")</f>
        <v>https://ceds.ed.gov/cedselementdetails.aspx?termid=5033</v>
      </c>
      <c r="P161" s="6" t="str">
        <f>HYPERLINK("https://ceds.ed.gov/elementComment.aspx?elementName=Birthdate &amp;elementID=5033", "Click here to submit comment")</f>
        <v>Click here to submit comment</v>
      </c>
    </row>
    <row r="162" spans="1:16" ht="409.5">
      <c r="A162" s="6" t="s">
        <v>6715</v>
      </c>
      <c r="B162" s="6" t="s">
        <v>6741</v>
      </c>
      <c r="C162" s="6" t="s">
        <v>6743</v>
      </c>
      <c r="D162" s="6" t="s">
        <v>2970</v>
      </c>
      <c r="E162" s="6" t="s">
        <v>2971</v>
      </c>
      <c r="F162" s="7" t="s">
        <v>6531</v>
      </c>
      <c r="G162" s="6" t="s">
        <v>6195</v>
      </c>
      <c r="H162" s="6" t="s">
        <v>66</v>
      </c>
      <c r="I162" s="6"/>
      <c r="J162" s="6" t="s">
        <v>2972</v>
      </c>
      <c r="K162" s="6"/>
      <c r="L162" s="6" t="s">
        <v>2973</v>
      </c>
      <c r="M162" s="6"/>
      <c r="N162" s="6" t="s">
        <v>2974</v>
      </c>
      <c r="O162" s="6" t="str">
        <f>HYPERLINK("https://ceds.ed.gov/cedselementdetails.aspx?termid=5141")</f>
        <v>https://ceds.ed.gov/cedselementdetails.aspx?termid=5141</v>
      </c>
      <c r="P162" s="6" t="str">
        <f>HYPERLINK("https://ceds.ed.gov/elementComment.aspx?elementName=Highest Level of Education Completed &amp;elementID=5141", "Click here to submit comment")</f>
        <v>Click here to submit comment</v>
      </c>
    </row>
    <row r="163" spans="1:16" ht="60">
      <c r="A163" s="6" t="s">
        <v>6715</v>
      </c>
      <c r="B163" s="6" t="s">
        <v>6744</v>
      </c>
      <c r="C163" s="6" t="s">
        <v>6745</v>
      </c>
      <c r="D163" s="6" t="s">
        <v>2637</v>
      </c>
      <c r="E163" s="6" t="s">
        <v>2638</v>
      </c>
      <c r="F163" s="6" t="s">
        <v>13</v>
      </c>
      <c r="G163" s="6" t="s">
        <v>6095</v>
      </c>
      <c r="H163" s="6"/>
      <c r="I163" s="6" t="s">
        <v>100</v>
      </c>
      <c r="J163" s="6"/>
      <c r="K163" s="6"/>
      <c r="L163" s="6" t="s">
        <v>2640</v>
      </c>
      <c r="M163" s="6"/>
      <c r="N163" s="6" t="s">
        <v>2641</v>
      </c>
      <c r="O163" s="6" t="str">
        <f>HYPERLINK("https://ceds.ed.gov/cedselementdetails.aspx?termid=5784")</f>
        <v>https://ceds.ed.gov/cedselementdetails.aspx?termid=5784</v>
      </c>
      <c r="P163" s="6" t="str">
        <f>HYPERLINK("https://ceds.ed.gov/elementComment.aspx?elementName=Family Identifier &amp;elementID=5784", "Click here to submit comment")</f>
        <v>Click here to submit comment</v>
      </c>
    </row>
    <row r="164" spans="1:16" ht="195">
      <c r="A164" s="6" t="s">
        <v>6715</v>
      </c>
      <c r="B164" s="6" t="s">
        <v>6744</v>
      </c>
      <c r="C164" s="6" t="s">
        <v>6746</v>
      </c>
      <c r="D164" s="6" t="s">
        <v>4294</v>
      </c>
      <c r="E164" s="6" t="s">
        <v>4295</v>
      </c>
      <c r="F164" s="6" t="s">
        <v>13</v>
      </c>
      <c r="G164" s="6" t="s">
        <v>2147</v>
      </c>
      <c r="H164" s="6"/>
      <c r="I164" s="6" t="s">
        <v>308</v>
      </c>
      <c r="J164" s="6"/>
      <c r="K164" s="6"/>
      <c r="L164" s="6" t="s">
        <v>4296</v>
      </c>
      <c r="M164" s="6"/>
      <c r="N164" s="6" t="s">
        <v>4297</v>
      </c>
      <c r="O164" s="6" t="str">
        <f>HYPERLINK("https://ceds.ed.gov/cedselementdetails.aspx?termid=5329")</f>
        <v>https://ceds.ed.gov/cedselementdetails.aspx?termid=5329</v>
      </c>
      <c r="P164" s="6" t="str">
        <f>HYPERLINK("https://ceds.ed.gov/elementComment.aspx?elementName=Number of People in Family &amp;elementID=5329", "Click here to submit comment")</f>
        <v>Click here to submit comment</v>
      </c>
    </row>
    <row r="165" spans="1:16" ht="30">
      <c r="A165" s="6" t="s">
        <v>6715</v>
      </c>
      <c r="B165" s="6" t="s">
        <v>6744</v>
      </c>
      <c r="C165" s="6" t="s">
        <v>6746</v>
      </c>
      <c r="D165" s="6" t="s">
        <v>4298</v>
      </c>
      <c r="E165" s="6" t="s">
        <v>4299</v>
      </c>
      <c r="F165" s="6" t="s">
        <v>13</v>
      </c>
      <c r="G165" s="6" t="s">
        <v>2147</v>
      </c>
      <c r="H165" s="6"/>
      <c r="I165" s="6" t="s">
        <v>308</v>
      </c>
      <c r="J165" s="6"/>
      <c r="K165" s="6"/>
      <c r="L165" s="6" t="s">
        <v>4300</v>
      </c>
      <c r="M165" s="6"/>
      <c r="N165" s="6" t="s">
        <v>4301</v>
      </c>
      <c r="O165" s="6" t="str">
        <f>HYPERLINK("https://ceds.ed.gov/cedselementdetails.aspx?termid=5330")</f>
        <v>https://ceds.ed.gov/cedselementdetails.aspx?termid=5330</v>
      </c>
      <c r="P165" s="6" t="str">
        <f>HYPERLINK("https://ceds.ed.gov/elementComment.aspx?elementName=Number of People in Household &amp;elementID=5330", "Click here to submit comment")</f>
        <v>Click here to submit comment</v>
      </c>
    </row>
    <row r="166" spans="1:16" ht="409.5">
      <c r="A166" s="6" t="s">
        <v>6715</v>
      </c>
      <c r="B166" s="6" t="s">
        <v>6744</v>
      </c>
      <c r="C166" s="6" t="s">
        <v>6746</v>
      </c>
      <c r="D166" s="6" t="s">
        <v>2642</v>
      </c>
      <c r="E166" s="6" t="s">
        <v>2643</v>
      </c>
      <c r="F166" s="6" t="s">
        <v>13</v>
      </c>
      <c r="G166" s="6" t="s">
        <v>5988</v>
      </c>
      <c r="H166" s="6" t="s">
        <v>66</v>
      </c>
      <c r="I166" s="6" t="s">
        <v>1461</v>
      </c>
      <c r="J166" s="6" t="s">
        <v>2645</v>
      </c>
      <c r="K166" s="6" t="s">
        <v>2646</v>
      </c>
      <c r="L166" s="6" t="s">
        <v>2647</v>
      </c>
      <c r="M166" s="6"/>
      <c r="N166" s="6" t="s">
        <v>2648</v>
      </c>
      <c r="O166" s="6" t="str">
        <f>HYPERLINK("https://ceds.ed.gov/cedselementdetails.aspx?termid=5331")</f>
        <v>https://ceds.ed.gov/cedselementdetails.aspx?termid=5331</v>
      </c>
      <c r="P166" s="6" t="str">
        <f>HYPERLINK("https://ceds.ed.gov/elementComment.aspx?elementName=Family Income &amp;elementID=5331", "Click here to submit comment")</f>
        <v>Click here to submit comment</v>
      </c>
    </row>
    <row r="167" spans="1:16" ht="240">
      <c r="A167" s="6" t="s">
        <v>6715</v>
      </c>
      <c r="B167" s="6" t="s">
        <v>6744</v>
      </c>
      <c r="C167" s="6" t="s">
        <v>6746</v>
      </c>
      <c r="D167" s="6" t="s">
        <v>5394</v>
      </c>
      <c r="E167" s="6" t="s">
        <v>5395</v>
      </c>
      <c r="F167" s="7" t="s">
        <v>6657</v>
      </c>
      <c r="G167" s="6" t="s">
        <v>5988</v>
      </c>
      <c r="H167" s="6"/>
      <c r="I167" s="6"/>
      <c r="J167" s="6"/>
      <c r="K167" s="6"/>
      <c r="L167" s="6" t="s">
        <v>5396</v>
      </c>
      <c r="M167" s="6"/>
      <c r="N167" s="6" t="s">
        <v>5397</v>
      </c>
      <c r="O167" s="6" t="str">
        <f>HYPERLINK("https://ceds.ed.gov/cedselementdetails.aspx?termid=5332")</f>
        <v>https://ceds.ed.gov/cedselementdetails.aspx?termid=5332</v>
      </c>
      <c r="P167" s="6" t="str">
        <f>HYPERLINK("https://ceds.ed.gov/elementComment.aspx?elementName=Source of Family Income &amp;elementID=5332", "Click here to submit comment")</f>
        <v>Click here to submit comment</v>
      </c>
    </row>
    <row r="168" spans="1:16" ht="75">
      <c r="A168" s="6" t="s">
        <v>6715</v>
      </c>
      <c r="B168" s="6" t="s">
        <v>6744</v>
      </c>
      <c r="C168" s="6" t="s">
        <v>6746</v>
      </c>
      <c r="D168" s="6" t="s">
        <v>3191</v>
      </c>
      <c r="E168" s="6" t="s">
        <v>3192</v>
      </c>
      <c r="F168" s="7" t="s">
        <v>6547</v>
      </c>
      <c r="G168" s="6"/>
      <c r="H168" s="6"/>
      <c r="I168" s="6"/>
      <c r="J168" s="6"/>
      <c r="K168" s="6"/>
      <c r="L168" s="6" t="s">
        <v>3193</v>
      </c>
      <c r="M168" s="6"/>
      <c r="N168" s="6" t="s">
        <v>3194</v>
      </c>
      <c r="O168" s="6" t="str">
        <f>HYPERLINK("https://ceds.ed.gov/cedselementdetails.aspx?termid=5333")</f>
        <v>https://ceds.ed.gov/cedselementdetails.aspx?termid=5333</v>
      </c>
      <c r="P168" s="6" t="str">
        <f>HYPERLINK("https://ceds.ed.gov/elementComment.aspx?elementName=Income Calculation Method &amp;elementID=5333", "Click here to submit comment")</f>
        <v>Click here to submit comment</v>
      </c>
    </row>
    <row r="169" spans="1:16" ht="90">
      <c r="A169" s="6" t="s">
        <v>6715</v>
      </c>
      <c r="B169" s="6" t="s">
        <v>6744</v>
      </c>
      <c r="C169" s="6" t="s">
        <v>6746</v>
      </c>
      <c r="D169" s="6" t="s">
        <v>4873</v>
      </c>
      <c r="E169" s="6" t="s">
        <v>4874</v>
      </c>
      <c r="F169" s="7" t="s">
        <v>6629</v>
      </c>
      <c r="G169" s="6" t="s">
        <v>2147</v>
      </c>
      <c r="H169" s="6" t="s">
        <v>66</v>
      </c>
      <c r="I169" s="6"/>
      <c r="J169" s="6" t="s">
        <v>4875</v>
      </c>
      <c r="K169" s="6"/>
      <c r="L169" s="6" t="s">
        <v>4876</v>
      </c>
      <c r="M169" s="6"/>
      <c r="N169" s="6" t="s">
        <v>4877</v>
      </c>
      <c r="O169" s="6" t="str">
        <f>HYPERLINK("https://ceds.ed.gov/cedselementdetails.aspx?termid=5305")</f>
        <v>https://ceds.ed.gov/cedselementdetails.aspx?termid=5305</v>
      </c>
      <c r="P169" s="6" t="str">
        <f>HYPERLINK("https://ceds.ed.gov/elementComment.aspx?elementName=Proof of Residency Type &amp;elementID=5305", "Click here to submit comment")</f>
        <v>Click here to submit comment</v>
      </c>
    </row>
    <row r="170" spans="1:16" ht="60">
      <c r="A170" s="6" t="s">
        <v>6715</v>
      </c>
      <c r="B170" s="6" t="s">
        <v>6747</v>
      </c>
      <c r="C170" s="6" t="s">
        <v>6748</v>
      </c>
      <c r="D170" s="6" t="s">
        <v>5059</v>
      </c>
      <c r="E170" s="6" t="s">
        <v>5060</v>
      </c>
      <c r="F170" s="6" t="s">
        <v>13</v>
      </c>
      <c r="G170" s="6" t="s">
        <v>6104</v>
      </c>
      <c r="H170" s="6" t="s">
        <v>3</v>
      </c>
      <c r="I170" s="6" t="s">
        <v>106</v>
      </c>
      <c r="J170" s="6"/>
      <c r="K170" s="6"/>
      <c r="L170" s="6" t="s">
        <v>5061</v>
      </c>
      <c r="M170" s="6"/>
      <c r="N170" s="6" t="s">
        <v>5062</v>
      </c>
      <c r="O170" s="6" t="str">
        <f>HYPERLINK("https://ceds.ed.gov/cedselementdetails.aspx?termid=5624")</f>
        <v>https://ceds.ed.gov/cedselementdetails.aspx?termid=5624</v>
      </c>
      <c r="P170" s="6" t="str">
        <f>HYPERLINK("https://ceds.ed.gov/elementComment.aspx?elementName=Responsible Organization Name &amp;elementID=5624", "Click here to submit comment")</f>
        <v>Click here to submit comment</v>
      </c>
    </row>
    <row r="171" spans="1:16" ht="315">
      <c r="A171" s="6" t="s">
        <v>6715</v>
      </c>
      <c r="B171" s="6" t="s">
        <v>6747</v>
      </c>
      <c r="C171" s="6" t="s">
        <v>6745</v>
      </c>
      <c r="D171" s="6" t="s">
        <v>4337</v>
      </c>
      <c r="E171" s="6" t="s">
        <v>4338</v>
      </c>
      <c r="F171" s="7" t="s">
        <v>6364</v>
      </c>
      <c r="G171" s="6" t="s">
        <v>65</v>
      </c>
      <c r="H171" s="6" t="s">
        <v>66</v>
      </c>
      <c r="I171" s="6"/>
      <c r="J171" s="6" t="s">
        <v>2309</v>
      </c>
      <c r="K171" s="6"/>
      <c r="L171" s="6" t="s">
        <v>4339</v>
      </c>
      <c r="M171" s="6"/>
      <c r="N171" s="6" t="s">
        <v>4340</v>
      </c>
      <c r="O171" s="6" t="str">
        <f>HYPERLINK("https://ceds.ed.gov/cedselementdetails.aspx?termid=5827")</f>
        <v>https://ceds.ed.gov/cedselementdetails.aspx?termid=5827</v>
      </c>
      <c r="P171" s="6" t="str">
        <f>HYPERLINK("https://ceds.ed.gov/elementComment.aspx?elementName=Organization Identification System &amp;elementID=5827", "Click here to submit comment")</f>
        <v>Click here to submit comment</v>
      </c>
    </row>
    <row r="172" spans="1:16" ht="60">
      <c r="A172" s="6" t="s">
        <v>6715</v>
      </c>
      <c r="B172" s="6" t="s">
        <v>6747</v>
      </c>
      <c r="C172" s="6" t="s">
        <v>6745</v>
      </c>
      <c r="D172" s="6" t="s">
        <v>4341</v>
      </c>
      <c r="E172" s="6" t="s">
        <v>4342</v>
      </c>
      <c r="F172" s="6" t="s">
        <v>13</v>
      </c>
      <c r="G172" s="6" t="s">
        <v>65</v>
      </c>
      <c r="H172" s="6" t="s">
        <v>3</v>
      </c>
      <c r="I172" s="6" t="s">
        <v>100</v>
      </c>
      <c r="J172" s="6"/>
      <c r="K172" s="6"/>
      <c r="L172" s="6" t="s">
        <v>4343</v>
      </c>
      <c r="M172" s="6"/>
      <c r="N172" s="6" t="s">
        <v>4344</v>
      </c>
      <c r="O172" s="6" t="str">
        <f>HYPERLINK("https://ceds.ed.gov/cedselementdetails.aspx?termid=5825")</f>
        <v>https://ceds.ed.gov/cedselementdetails.aspx?termid=5825</v>
      </c>
      <c r="P172" s="6" t="str">
        <f>HYPERLINK("https://ceds.ed.gov/elementComment.aspx?elementName=Organization Identifier &amp;elementID=5825", "Click here to submit comment")</f>
        <v>Click here to submit comment</v>
      </c>
    </row>
    <row r="173" spans="1:16" ht="409.5">
      <c r="A173" s="6" t="s">
        <v>6715</v>
      </c>
      <c r="B173" s="6" t="s">
        <v>6747</v>
      </c>
      <c r="C173" s="6" t="s">
        <v>6745</v>
      </c>
      <c r="D173" s="6" t="s">
        <v>4361</v>
      </c>
      <c r="E173" s="6" t="s">
        <v>4362</v>
      </c>
      <c r="F173" s="7" t="s">
        <v>6592</v>
      </c>
      <c r="G173" s="6"/>
      <c r="H173" s="6" t="s">
        <v>66</v>
      </c>
      <c r="I173" s="6" t="s">
        <v>149</v>
      </c>
      <c r="J173" s="6" t="s">
        <v>4363</v>
      </c>
      <c r="K173" s="6" t="s">
        <v>4364</v>
      </c>
      <c r="L173" s="6" t="s">
        <v>4365</v>
      </c>
      <c r="M173" s="6"/>
      <c r="N173" s="6" t="s">
        <v>4366</v>
      </c>
      <c r="O173" s="6" t="str">
        <f>HYPERLINK("https://ceds.ed.gov/cedselementdetails.aspx?termid=6165")</f>
        <v>https://ceds.ed.gov/cedselementdetails.aspx?termid=6165</v>
      </c>
      <c r="P173" s="6" t="str">
        <f>HYPERLINK("https://ceds.ed.gov/elementComment.aspx?elementName=Organization Type &amp;elementID=6165", "Click here to submit comment")</f>
        <v>Click here to submit comment</v>
      </c>
    </row>
    <row r="174" spans="1:16" ht="90">
      <c r="A174" s="6" t="s">
        <v>6715</v>
      </c>
      <c r="B174" s="6" t="s">
        <v>6747</v>
      </c>
      <c r="C174" s="6" t="s">
        <v>6749</v>
      </c>
      <c r="D174" s="6" t="s">
        <v>196</v>
      </c>
      <c r="E174" s="6" t="s">
        <v>197</v>
      </c>
      <c r="F174" s="7" t="s">
        <v>6354</v>
      </c>
      <c r="G174" s="6" t="s">
        <v>5968</v>
      </c>
      <c r="H174" s="6" t="s">
        <v>3</v>
      </c>
      <c r="I174" s="6" t="s">
        <v>100</v>
      </c>
      <c r="J174" s="6"/>
      <c r="K174" s="6"/>
      <c r="L174" s="6" t="s">
        <v>198</v>
      </c>
      <c r="M174" s="6"/>
      <c r="N174" s="6" t="s">
        <v>199</v>
      </c>
      <c r="O174" s="6" t="str">
        <f>HYPERLINK("https://ceds.ed.gov/cedselementdetails.aspx?termid=5644")</f>
        <v>https://ceds.ed.gov/cedselementdetails.aspx?termid=5644</v>
      </c>
      <c r="P174" s="6" t="str">
        <f>HYPERLINK("https://ceds.ed.gov/elementComment.aspx?elementName=Address Type for Organization &amp;elementID=5644", "Click here to submit comment")</f>
        <v>Click here to submit comment</v>
      </c>
    </row>
    <row r="175" spans="1:16" ht="225">
      <c r="A175" s="6" t="s">
        <v>6715</v>
      </c>
      <c r="B175" s="6" t="s">
        <v>6747</v>
      </c>
      <c r="C175" s="6" t="s">
        <v>6749</v>
      </c>
      <c r="D175" s="6" t="s">
        <v>187</v>
      </c>
      <c r="E175" s="6" t="s">
        <v>188</v>
      </c>
      <c r="F175" s="6" t="s">
        <v>13</v>
      </c>
      <c r="G175" s="6" t="s">
        <v>5973</v>
      </c>
      <c r="H175" s="6" t="s">
        <v>3</v>
      </c>
      <c r="I175" s="6" t="s">
        <v>149</v>
      </c>
      <c r="J175" s="6"/>
      <c r="K175" s="6"/>
      <c r="L175" s="6" t="s">
        <v>189</v>
      </c>
      <c r="M175" s="6"/>
      <c r="N175" s="6" t="s">
        <v>190</v>
      </c>
      <c r="O175" s="6" t="str">
        <f>HYPERLINK("https://ceds.ed.gov/cedselementdetails.aspx?termid=5269")</f>
        <v>https://ceds.ed.gov/cedselementdetails.aspx?termid=5269</v>
      </c>
      <c r="P175" s="6" t="str">
        <f>HYPERLINK("https://ceds.ed.gov/elementComment.aspx?elementName=Address Street Number and Name &amp;elementID=5269", "Click here to submit comment")</f>
        <v>Click here to submit comment</v>
      </c>
    </row>
    <row r="176" spans="1:16" ht="225">
      <c r="A176" s="6" t="s">
        <v>6715</v>
      </c>
      <c r="B176" s="6" t="s">
        <v>6747</v>
      </c>
      <c r="C176" s="6" t="s">
        <v>6749</v>
      </c>
      <c r="D176" s="6" t="s">
        <v>170</v>
      </c>
      <c r="E176" s="6" t="s">
        <v>171</v>
      </c>
      <c r="F176" s="6" t="s">
        <v>13</v>
      </c>
      <c r="G176" s="6" t="s">
        <v>5973</v>
      </c>
      <c r="H176" s="6" t="s">
        <v>3</v>
      </c>
      <c r="I176" s="6" t="s">
        <v>100</v>
      </c>
      <c r="J176" s="6"/>
      <c r="K176" s="6"/>
      <c r="L176" s="6" t="s">
        <v>172</v>
      </c>
      <c r="M176" s="6"/>
      <c r="N176" s="6" t="s">
        <v>173</v>
      </c>
      <c r="O176" s="6" t="str">
        <f>HYPERLINK("https://ceds.ed.gov/cedselementdetails.aspx?termid=5019")</f>
        <v>https://ceds.ed.gov/cedselementdetails.aspx?termid=5019</v>
      </c>
      <c r="P176" s="6" t="str">
        <f>HYPERLINK("https://ceds.ed.gov/elementComment.aspx?elementName=Address Apartment Room or Suite Number &amp;elementID=5019", "Click here to submit comment")</f>
        <v>Click here to submit comment</v>
      </c>
    </row>
    <row r="177" spans="1:16" ht="225">
      <c r="A177" s="6" t="s">
        <v>6715</v>
      </c>
      <c r="B177" s="6" t="s">
        <v>6747</v>
      </c>
      <c r="C177" s="6" t="s">
        <v>6749</v>
      </c>
      <c r="D177" s="6" t="s">
        <v>174</v>
      </c>
      <c r="E177" s="6" t="s">
        <v>175</v>
      </c>
      <c r="F177" s="6" t="s">
        <v>13</v>
      </c>
      <c r="G177" s="6" t="s">
        <v>5973</v>
      </c>
      <c r="H177" s="6" t="s">
        <v>3</v>
      </c>
      <c r="I177" s="6" t="s">
        <v>100</v>
      </c>
      <c r="J177" s="6"/>
      <c r="K177" s="6"/>
      <c r="L177" s="6" t="s">
        <v>176</v>
      </c>
      <c r="M177" s="6"/>
      <c r="N177" s="6" t="s">
        <v>177</v>
      </c>
      <c r="O177" s="6" t="str">
        <f>HYPERLINK("https://ceds.ed.gov/cedselementdetails.aspx?termid=5040")</f>
        <v>https://ceds.ed.gov/cedselementdetails.aspx?termid=5040</v>
      </c>
      <c r="P177" s="6" t="str">
        <f>HYPERLINK("https://ceds.ed.gov/elementComment.aspx?elementName=Address City &amp;elementID=5040", "Click here to submit comment")</f>
        <v>Click here to submit comment</v>
      </c>
    </row>
    <row r="178" spans="1:16" ht="409.5">
      <c r="A178" s="6" t="s">
        <v>6715</v>
      </c>
      <c r="B178" s="6" t="s">
        <v>6747</v>
      </c>
      <c r="C178" s="6" t="s">
        <v>6749</v>
      </c>
      <c r="D178" s="6" t="s">
        <v>5533</v>
      </c>
      <c r="E178" s="6" t="s">
        <v>5534</v>
      </c>
      <c r="F178" s="7" t="s">
        <v>6633</v>
      </c>
      <c r="G178" s="6" t="s">
        <v>6324</v>
      </c>
      <c r="H178" s="6" t="s">
        <v>3</v>
      </c>
      <c r="I178" s="6"/>
      <c r="J178" s="6"/>
      <c r="K178" s="6"/>
      <c r="L178" s="6" t="s">
        <v>5535</v>
      </c>
      <c r="M178" s="6"/>
      <c r="N178" s="6" t="s">
        <v>5536</v>
      </c>
      <c r="O178" s="6" t="str">
        <f>HYPERLINK("https://ceds.ed.gov/cedselementdetails.aspx?termid=5267")</f>
        <v>https://ceds.ed.gov/cedselementdetails.aspx?termid=5267</v>
      </c>
      <c r="P178" s="6" t="str">
        <f>HYPERLINK("https://ceds.ed.gov/elementComment.aspx?elementName=State Abbreviation &amp;elementID=5267", "Click here to submit comment")</f>
        <v>Click here to submit comment</v>
      </c>
    </row>
    <row r="179" spans="1:16" ht="225">
      <c r="A179" s="6" t="s">
        <v>6715</v>
      </c>
      <c r="B179" s="6" t="s">
        <v>6747</v>
      </c>
      <c r="C179" s="6" t="s">
        <v>6749</v>
      </c>
      <c r="D179" s="6" t="s">
        <v>182</v>
      </c>
      <c r="E179" s="6" t="s">
        <v>183</v>
      </c>
      <c r="F179" s="6" t="s">
        <v>13</v>
      </c>
      <c r="G179" s="6" t="s">
        <v>5973</v>
      </c>
      <c r="H179" s="6" t="s">
        <v>3</v>
      </c>
      <c r="I179" s="6" t="s">
        <v>184</v>
      </c>
      <c r="J179" s="6"/>
      <c r="K179" s="6"/>
      <c r="L179" s="6" t="s">
        <v>185</v>
      </c>
      <c r="M179" s="6"/>
      <c r="N179" s="6" t="s">
        <v>186</v>
      </c>
      <c r="O179" s="6" t="str">
        <f>HYPERLINK("https://ceds.ed.gov/cedselementdetails.aspx?termid=5214")</f>
        <v>https://ceds.ed.gov/cedselementdetails.aspx?termid=5214</v>
      </c>
      <c r="P179" s="6" t="str">
        <f>HYPERLINK("https://ceds.ed.gov/elementComment.aspx?elementName=Address Postal Code &amp;elementID=5214", "Click here to submit comment")</f>
        <v>Click here to submit comment</v>
      </c>
    </row>
    <row r="180" spans="1:16" ht="225">
      <c r="A180" s="6" t="s">
        <v>6715</v>
      </c>
      <c r="B180" s="6" t="s">
        <v>6747</v>
      </c>
      <c r="C180" s="6" t="s">
        <v>6749</v>
      </c>
      <c r="D180" s="6" t="s">
        <v>178</v>
      </c>
      <c r="E180" s="6" t="s">
        <v>179</v>
      </c>
      <c r="F180" s="6" t="s">
        <v>13</v>
      </c>
      <c r="G180" s="6" t="s">
        <v>5973</v>
      </c>
      <c r="H180" s="6" t="s">
        <v>3</v>
      </c>
      <c r="I180" s="6" t="s">
        <v>100</v>
      </c>
      <c r="J180" s="6"/>
      <c r="K180" s="6"/>
      <c r="L180" s="6" t="s">
        <v>180</v>
      </c>
      <c r="M180" s="6"/>
      <c r="N180" s="6" t="s">
        <v>181</v>
      </c>
      <c r="O180" s="6" t="str">
        <f>HYPERLINK("https://ceds.ed.gov/cedselementdetails.aspx?termid=5190")</f>
        <v>https://ceds.ed.gov/cedselementdetails.aspx?termid=5190</v>
      </c>
      <c r="P180" s="6" t="str">
        <f>HYPERLINK("https://ceds.ed.gov/elementComment.aspx?elementName=Address County Name &amp;elementID=5190", "Click here to submit comment")</f>
        <v>Click here to submit comment</v>
      </c>
    </row>
    <row r="181" spans="1:16" ht="180">
      <c r="A181" s="6" t="s">
        <v>6715</v>
      </c>
      <c r="B181" s="6" t="s">
        <v>6747</v>
      </c>
      <c r="C181" s="6" t="s">
        <v>6749</v>
      </c>
      <c r="D181" s="6" t="s">
        <v>1817</v>
      </c>
      <c r="E181" s="6" t="s">
        <v>1818</v>
      </c>
      <c r="F181" s="6" t="s">
        <v>13</v>
      </c>
      <c r="G181" s="6"/>
      <c r="H181" s="6" t="s">
        <v>66</v>
      </c>
      <c r="I181" s="6" t="s">
        <v>1819</v>
      </c>
      <c r="J181" s="6" t="s">
        <v>1820</v>
      </c>
      <c r="K181" s="6"/>
      <c r="L181" s="6" t="s">
        <v>1821</v>
      </c>
      <c r="M181" s="6"/>
      <c r="N181" s="6" t="s">
        <v>1822</v>
      </c>
      <c r="O181" s="6" t="str">
        <f>HYPERLINK("https://ceds.ed.gov/cedselementdetails.aspx?termid=6176")</f>
        <v>https://ceds.ed.gov/cedselementdetails.aspx?termid=6176</v>
      </c>
      <c r="P181" s="6" t="str">
        <f>HYPERLINK("https://ceds.ed.gov/elementComment.aspx?elementName=County ANSI Code &amp;elementID=6176", "Click here to submit comment")</f>
        <v>Click here to submit comment</v>
      </c>
    </row>
    <row r="182" spans="1:16" ht="240">
      <c r="A182" s="6" t="s">
        <v>6715</v>
      </c>
      <c r="B182" s="6" t="s">
        <v>6747</v>
      </c>
      <c r="C182" s="6" t="s">
        <v>6750</v>
      </c>
      <c r="D182" s="6" t="s">
        <v>3289</v>
      </c>
      <c r="E182" s="6" t="s">
        <v>3290</v>
      </c>
      <c r="F182" s="7" t="s">
        <v>6553</v>
      </c>
      <c r="G182" s="6"/>
      <c r="H182" s="6"/>
      <c r="I182" s="6"/>
      <c r="J182" s="6"/>
      <c r="K182" s="6"/>
      <c r="L182" s="6" t="s">
        <v>3291</v>
      </c>
      <c r="M182" s="6"/>
      <c r="N182" s="6" t="s">
        <v>3292</v>
      </c>
      <c r="O182" s="6" t="str">
        <f>HYPERLINK("https://ceds.ed.gov/cedselementdetails.aspx?termid=5167")</f>
        <v>https://ceds.ed.gov/cedselementdetails.aspx?termid=5167</v>
      </c>
      <c r="P182" s="6" t="str">
        <f>HYPERLINK("https://ceds.ed.gov/elementComment.aspx?elementName=Institution Telephone Number Type &amp;elementID=5167", "Click here to submit comment")</f>
        <v>Click here to submit comment</v>
      </c>
    </row>
    <row r="183" spans="1:16" ht="90">
      <c r="A183" s="6" t="s">
        <v>6715</v>
      </c>
      <c r="B183" s="6" t="s">
        <v>6747</v>
      </c>
      <c r="C183" s="6" t="s">
        <v>6750</v>
      </c>
      <c r="D183" s="6" t="s">
        <v>4591</v>
      </c>
      <c r="E183" s="6" t="s">
        <v>4592</v>
      </c>
      <c r="F183" s="6" t="s">
        <v>5963</v>
      </c>
      <c r="G183" s="6" t="s">
        <v>5968</v>
      </c>
      <c r="H183" s="6" t="s">
        <v>3</v>
      </c>
      <c r="I183" s="6"/>
      <c r="J183" s="6"/>
      <c r="K183" s="6"/>
      <c r="L183" s="6" t="s">
        <v>4593</v>
      </c>
      <c r="M183" s="6"/>
      <c r="N183" s="6" t="s">
        <v>4594</v>
      </c>
      <c r="O183" s="6" t="str">
        <f>HYPERLINK("https://ceds.ed.gov/cedselementdetails.aspx?termid=5219")</f>
        <v>https://ceds.ed.gov/cedselementdetails.aspx?termid=5219</v>
      </c>
      <c r="P183" s="6" t="str">
        <f>HYPERLINK("https://ceds.ed.gov/elementComment.aspx?elementName=Primary Telephone Number Indicator &amp;elementID=5219", "Click here to submit comment")</f>
        <v>Click here to submit comment</v>
      </c>
    </row>
    <row r="184" spans="1:16" ht="90">
      <c r="A184" s="6" t="s">
        <v>6715</v>
      </c>
      <c r="B184" s="6" t="s">
        <v>6747</v>
      </c>
      <c r="C184" s="6" t="s">
        <v>6750</v>
      </c>
      <c r="D184" s="6" t="s">
        <v>5727</v>
      </c>
      <c r="E184" s="6" t="s">
        <v>5728</v>
      </c>
      <c r="F184" s="6" t="s">
        <v>13</v>
      </c>
      <c r="G184" s="6" t="s">
        <v>5968</v>
      </c>
      <c r="H184" s="6" t="s">
        <v>3</v>
      </c>
      <c r="I184" s="6" t="s">
        <v>5729</v>
      </c>
      <c r="J184" s="6"/>
      <c r="K184" s="6"/>
      <c r="L184" s="6" t="s">
        <v>5730</v>
      </c>
      <c r="M184" s="6"/>
      <c r="N184" s="6" t="s">
        <v>5731</v>
      </c>
      <c r="O184" s="6" t="str">
        <f>HYPERLINK("https://ceds.ed.gov/cedselementdetails.aspx?termid=5279")</f>
        <v>https://ceds.ed.gov/cedselementdetails.aspx?termid=5279</v>
      </c>
      <c r="P184" s="6" t="str">
        <f>HYPERLINK("https://ceds.ed.gov/elementComment.aspx?elementName=Telephone Number &amp;elementID=5279", "Click here to submit comment")</f>
        <v>Click here to submit comment</v>
      </c>
    </row>
    <row r="185" spans="1:16" ht="60">
      <c r="A185" s="6" t="s">
        <v>6715</v>
      </c>
      <c r="B185" s="6" t="s">
        <v>6747</v>
      </c>
      <c r="C185" s="6" t="s">
        <v>6751</v>
      </c>
      <c r="D185" s="6" t="s">
        <v>2606</v>
      </c>
      <c r="E185" s="6" t="s">
        <v>2607</v>
      </c>
      <c r="F185" s="6" t="s">
        <v>6168</v>
      </c>
      <c r="G185" s="6" t="s">
        <v>6145</v>
      </c>
      <c r="H185" s="6"/>
      <c r="I185" s="6"/>
      <c r="J185" s="6"/>
      <c r="K185" s="6"/>
      <c r="L185" s="6" t="s">
        <v>2608</v>
      </c>
      <c r="M185" s="6"/>
      <c r="N185" s="6" t="s">
        <v>2609</v>
      </c>
      <c r="O185" s="6" t="str">
        <f>HYPERLINK("https://ceds.ed.gov/cedselementdetails.aspx?termid=5985")</f>
        <v>https://ceds.ed.gov/cedselementdetails.aspx?termid=5985</v>
      </c>
      <c r="P185" s="6" t="str">
        <f>HYPERLINK("https://ceds.ed.gov/elementComment.aspx?elementName=Facility Licensing Status &amp;elementID=5985", "Click here to submit comment")</f>
        <v>Click here to submit comment</v>
      </c>
    </row>
    <row r="186" spans="1:16" ht="30">
      <c r="A186" s="6" t="s">
        <v>6715</v>
      </c>
      <c r="B186" s="6" t="s">
        <v>6747</v>
      </c>
      <c r="C186" s="6" t="s">
        <v>6751</v>
      </c>
      <c r="D186" s="6" t="s">
        <v>5571</v>
      </c>
      <c r="E186" s="6" t="s">
        <v>5572</v>
      </c>
      <c r="F186" s="6" t="s">
        <v>13</v>
      </c>
      <c r="G186" s="6" t="s">
        <v>65</v>
      </c>
      <c r="H186" s="6"/>
      <c r="I186" s="6" t="s">
        <v>308</v>
      </c>
      <c r="J186" s="6"/>
      <c r="K186" s="6"/>
      <c r="L186" s="6" t="s">
        <v>5573</v>
      </c>
      <c r="M186" s="6"/>
      <c r="N186" s="6" t="s">
        <v>5574</v>
      </c>
      <c r="O186" s="6" t="str">
        <f>HYPERLINK("https://ceds.ed.gov/cedselementdetails.aspx?termid=5865")</f>
        <v>https://ceds.ed.gov/cedselementdetails.aspx?termid=5865</v>
      </c>
      <c r="P186" s="6" t="str">
        <f>HYPERLINK("https://ceds.ed.gov/elementComment.aspx?elementName=State Licensed Facility Capacity &amp;elementID=5865", "Click here to submit comment")</f>
        <v>Click here to submit comment</v>
      </c>
    </row>
    <row r="187" spans="1:16" ht="105">
      <c r="A187" s="6" t="s">
        <v>6715</v>
      </c>
      <c r="B187" s="6" t="s">
        <v>6747</v>
      </c>
      <c r="C187" s="6" t="s">
        <v>6751</v>
      </c>
      <c r="D187" s="6" t="s">
        <v>2416</v>
      </c>
      <c r="E187" s="6" t="s">
        <v>2417</v>
      </c>
      <c r="F187" s="7" t="s">
        <v>6486</v>
      </c>
      <c r="G187" s="6" t="s">
        <v>65</v>
      </c>
      <c r="H187" s="6"/>
      <c r="I187" s="6"/>
      <c r="J187" s="6"/>
      <c r="K187" s="6"/>
      <c r="L187" s="6" t="s">
        <v>2418</v>
      </c>
      <c r="M187" s="6"/>
      <c r="N187" s="6" t="s">
        <v>2419</v>
      </c>
      <c r="O187" s="6" t="str">
        <f>HYPERLINK("https://ceds.ed.gov/cedselementdetails.aspx?termid=5828")</f>
        <v>https://ceds.ed.gov/cedselementdetails.aspx?termid=5828</v>
      </c>
      <c r="P187" s="6" t="str">
        <f>HYPERLINK("https://ceds.ed.gov/elementComment.aspx?elementName=Early Learning Program Licensing Status &amp;elementID=5828", "Click here to submit comment")</f>
        <v>Click here to submit comment</v>
      </c>
    </row>
    <row r="188" spans="1:16" ht="45">
      <c r="A188" s="6" t="s">
        <v>6715</v>
      </c>
      <c r="B188" s="6" t="s">
        <v>6747</v>
      </c>
      <c r="C188" s="6" t="s">
        <v>6751</v>
      </c>
      <c r="D188" s="6" t="s">
        <v>3267</v>
      </c>
      <c r="E188" s="6" t="s">
        <v>3268</v>
      </c>
      <c r="F188" s="6" t="s">
        <v>13</v>
      </c>
      <c r="G188" s="6" t="s">
        <v>6104</v>
      </c>
      <c r="H188" s="6"/>
      <c r="I188" s="6" t="s">
        <v>73</v>
      </c>
      <c r="J188" s="6"/>
      <c r="K188" s="6"/>
      <c r="L188" s="6" t="s">
        <v>3269</v>
      </c>
      <c r="M188" s="6"/>
      <c r="N188" s="6" t="s">
        <v>3270</v>
      </c>
      <c r="O188" s="6" t="str">
        <f>HYPERLINK("https://ceds.ed.gov/cedselementdetails.aspx?termid=5347")</f>
        <v>https://ceds.ed.gov/cedselementdetails.aspx?termid=5347</v>
      </c>
      <c r="P188" s="6" t="str">
        <f>HYPERLINK("https://ceds.ed.gov/elementComment.aspx?elementName=Initial License Date &amp;elementID=5347", "Click here to submit comment")</f>
        <v>Click here to submit comment</v>
      </c>
    </row>
    <row r="189" spans="1:16" ht="45">
      <c r="A189" s="6" t="s">
        <v>6715</v>
      </c>
      <c r="B189" s="6" t="s">
        <v>6747</v>
      </c>
      <c r="C189" s="6" t="s">
        <v>6751</v>
      </c>
      <c r="D189" s="6" t="s">
        <v>1772</v>
      </c>
      <c r="E189" s="6" t="s">
        <v>1773</v>
      </c>
      <c r="F189" s="6" t="s">
        <v>13</v>
      </c>
      <c r="G189" s="6" t="s">
        <v>6104</v>
      </c>
      <c r="H189" s="6"/>
      <c r="I189" s="6" t="s">
        <v>73</v>
      </c>
      <c r="J189" s="6"/>
      <c r="K189" s="6"/>
      <c r="L189" s="6" t="s">
        <v>1775</v>
      </c>
      <c r="M189" s="6"/>
      <c r="N189" s="6" t="s">
        <v>1776</v>
      </c>
      <c r="O189" s="6" t="str">
        <f>HYPERLINK("https://ceds.ed.gov/cedselementdetails.aspx?termid=5348")</f>
        <v>https://ceds.ed.gov/cedselementdetails.aspx?termid=5348</v>
      </c>
      <c r="P189" s="6" t="str">
        <f>HYPERLINK("https://ceds.ed.gov/elementComment.aspx?elementName=Continuing License Date &amp;elementID=5348", "Click here to submit comment")</f>
        <v>Click here to submit comment</v>
      </c>
    </row>
    <row r="190" spans="1:16" ht="60">
      <c r="A190" s="6" t="s">
        <v>6715</v>
      </c>
      <c r="B190" s="6" t="s">
        <v>6747</v>
      </c>
      <c r="C190" s="6" t="s">
        <v>6751</v>
      </c>
      <c r="D190" s="6" t="s">
        <v>3971</v>
      </c>
      <c r="E190" s="6" t="s">
        <v>3972</v>
      </c>
      <c r="F190" s="7" t="s">
        <v>6371</v>
      </c>
      <c r="G190" s="6" t="s">
        <v>6104</v>
      </c>
      <c r="H190" s="6"/>
      <c r="I190" s="6"/>
      <c r="J190" s="6"/>
      <c r="K190" s="6"/>
      <c r="L190" s="6" t="s">
        <v>3973</v>
      </c>
      <c r="M190" s="6"/>
      <c r="N190" s="6" t="s">
        <v>3974</v>
      </c>
      <c r="O190" s="6" t="str">
        <f>HYPERLINK("https://ceds.ed.gov/cedselementdetails.aspx?termid=5349")</f>
        <v>https://ceds.ed.gov/cedselementdetails.aspx?termid=5349</v>
      </c>
      <c r="P190" s="6" t="str">
        <f>HYPERLINK("https://ceds.ed.gov/elementComment.aspx?elementName=License Exempt &amp;elementID=5349", "Click here to submit comment")</f>
        <v>Click here to submit comment</v>
      </c>
    </row>
    <row r="191" spans="1:16" ht="45">
      <c r="A191" s="6" t="s">
        <v>6715</v>
      </c>
      <c r="B191" s="6" t="s">
        <v>6747</v>
      </c>
      <c r="C191" s="6" t="s">
        <v>6751</v>
      </c>
      <c r="D191" s="6" t="s">
        <v>4278</v>
      </c>
      <c r="E191" s="6" t="s">
        <v>4279</v>
      </c>
      <c r="F191" s="6" t="s">
        <v>13</v>
      </c>
      <c r="G191" s="6" t="s">
        <v>65</v>
      </c>
      <c r="H191" s="6"/>
      <c r="I191" s="6" t="s">
        <v>308</v>
      </c>
      <c r="J191" s="6"/>
      <c r="K191" s="6"/>
      <c r="L191" s="6" t="s">
        <v>4280</v>
      </c>
      <c r="M191" s="6"/>
      <c r="N191" s="6" t="s">
        <v>4281</v>
      </c>
      <c r="O191" s="6" t="str">
        <f>HYPERLINK("https://ceds.ed.gov/cedselementdetails.aspx?termid=5835")</f>
        <v>https://ceds.ed.gov/cedselementdetails.aspx?termid=5835</v>
      </c>
      <c r="P191" s="6" t="str">
        <f>HYPERLINK("https://ceds.ed.gov/elementComment.aspx?elementName=Number of Early Learning Fatalities &amp;elementID=5835", "Click here to submit comment")</f>
        <v>Click here to submit comment</v>
      </c>
    </row>
    <row r="192" spans="1:16" ht="45">
      <c r="A192" s="6" t="s">
        <v>6715</v>
      </c>
      <c r="B192" s="6" t="s">
        <v>6747</v>
      </c>
      <c r="C192" s="6" t="s">
        <v>6751</v>
      </c>
      <c r="D192" s="6" t="s">
        <v>4282</v>
      </c>
      <c r="E192" s="6" t="s">
        <v>4283</v>
      </c>
      <c r="F192" s="6" t="s">
        <v>13</v>
      </c>
      <c r="G192" s="6" t="s">
        <v>65</v>
      </c>
      <c r="H192" s="6"/>
      <c r="I192" s="6" t="s">
        <v>308</v>
      </c>
      <c r="J192" s="6"/>
      <c r="K192" s="6"/>
      <c r="L192" s="6" t="s">
        <v>4284</v>
      </c>
      <c r="M192" s="6"/>
      <c r="N192" s="6" t="s">
        <v>4285</v>
      </c>
      <c r="O192" s="6" t="str">
        <f>HYPERLINK("https://ceds.ed.gov/cedselementdetails.aspx?termid=5836")</f>
        <v>https://ceds.ed.gov/cedselementdetails.aspx?termid=5836</v>
      </c>
      <c r="P192" s="6" t="str">
        <f>HYPERLINK("https://ceds.ed.gov/elementComment.aspx?elementName=Number of Early Learning Injuries &amp;elementID=5836", "Click here to submit comment")</f>
        <v>Click here to submit comment</v>
      </c>
    </row>
    <row r="193" spans="1:16" ht="45">
      <c r="A193" s="6" t="s">
        <v>6715</v>
      </c>
      <c r="B193" s="6" t="s">
        <v>6747</v>
      </c>
      <c r="C193" s="6" t="s">
        <v>6751</v>
      </c>
      <c r="D193" s="6" t="s">
        <v>2412</v>
      </c>
      <c r="E193" s="6" t="s">
        <v>2413</v>
      </c>
      <c r="F193" s="6" t="s">
        <v>5963</v>
      </c>
      <c r="G193" s="6" t="s">
        <v>65</v>
      </c>
      <c r="H193" s="6"/>
      <c r="I193" s="6"/>
      <c r="J193" s="6"/>
      <c r="K193" s="6"/>
      <c r="L193" s="6" t="s">
        <v>2414</v>
      </c>
      <c r="M193" s="6"/>
      <c r="N193" s="6" t="s">
        <v>2415</v>
      </c>
      <c r="O193" s="6" t="str">
        <f>HYPERLINK("https://ceds.ed.gov/cedselementdetails.aspx?termid=5837")</f>
        <v>https://ceds.ed.gov/cedselementdetails.aspx?termid=5837</v>
      </c>
      <c r="P193" s="6" t="str">
        <f>HYPERLINK("https://ceds.ed.gov/elementComment.aspx?elementName=Early Learning Program License Suspension Status &amp;elementID=5837", "Click here to submit comment")</f>
        <v>Click here to submit comment</v>
      </c>
    </row>
    <row r="194" spans="1:16" ht="45">
      <c r="A194" s="6" t="s">
        <v>6715</v>
      </c>
      <c r="B194" s="6" t="s">
        <v>6747</v>
      </c>
      <c r="C194" s="6" t="s">
        <v>6751</v>
      </c>
      <c r="D194" s="6" t="s">
        <v>2408</v>
      </c>
      <c r="E194" s="6" t="s">
        <v>2409</v>
      </c>
      <c r="F194" s="6" t="s">
        <v>5963</v>
      </c>
      <c r="G194" s="6" t="s">
        <v>65</v>
      </c>
      <c r="H194" s="6"/>
      <c r="I194" s="6"/>
      <c r="J194" s="6"/>
      <c r="K194" s="6"/>
      <c r="L194" s="6" t="s">
        <v>2410</v>
      </c>
      <c r="M194" s="6"/>
      <c r="N194" s="6" t="s">
        <v>2411</v>
      </c>
      <c r="O194" s="6" t="str">
        <f>HYPERLINK("https://ceds.ed.gov/cedselementdetails.aspx?termid=5838")</f>
        <v>https://ceds.ed.gov/cedselementdetails.aspx?termid=5838</v>
      </c>
      <c r="P194" s="6" t="str">
        <f>HYPERLINK("https://ceds.ed.gov/elementComment.aspx?elementName=Early Learning Program License Revocation Status &amp;elementID=5838", "Click here to submit comment")</f>
        <v>Click here to submit comment</v>
      </c>
    </row>
    <row r="195" spans="1:16" ht="30">
      <c r="A195" s="6" t="s">
        <v>6715</v>
      </c>
      <c r="B195" s="6" t="s">
        <v>6747</v>
      </c>
      <c r="C195" s="6" t="s">
        <v>6752</v>
      </c>
      <c r="D195" s="6" t="s">
        <v>4321</v>
      </c>
      <c r="E195" s="6" t="s">
        <v>4322</v>
      </c>
      <c r="F195" s="6" t="s">
        <v>13</v>
      </c>
      <c r="G195" s="6" t="s">
        <v>6104</v>
      </c>
      <c r="H195" s="6"/>
      <c r="I195" s="6" t="s">
        <v>73</v>
      </c>
      <c r="J195" s="6"/>
      <c r="K195" s="6"/>
      <c r="L195" s="6" t="s">
        <v>4323</v>
      </c>
      <c r="M195" s="6"/>
      <c r="N195" s="6" t="s">
        <v>4324</v>
      </c>
      <c r="O195" s="6" t="str">
        <f>HYPERLINK("https://ceds.ed.gov/cedselementdetails.aspx?termid=5350")</f>
        <v>https://ceds.ed.gov/cedselementdetails.aspx?termid=5350</v>
      </c>
      <c r="P195" s="6" t="str">
        <f>HYPERLINK("https://ceds.ed.gov/elementComment.aspx?elementName=Operation Date &amp;elementID=5350", "Click here to submit comment")</f>
        <v>Click here to submit comment</v>
      </c>
    </row>
    <row r="196" spans="1:16" ht="180">
      <c r="A196" s="6" t="s">
        <v>6715</v>
      </c>
      <c r="B196" s="6" t="s">
        <v>6747</v>
      </c>
      <c r="C196" s="6" t="s">
        <v>6752</v>
      </c>
      <c r="D196" s="6" t="s">
        <v>5305</v>
      </c>
      <c r="E196" s="6" t="s">
        <v>5306</v>
      </c>
      <c r="F196" s="7" t="s">
        <v>6654</v>
      </c>
      <c r="G196" s="6" t="s">
        <v>6129</v>
      </c>
      <c r="H196" s="6"/>
      <c r="I196" s="6"/>
      <c r="J196" s="6"/>
      <c r="K196" s="6"/>
      <c r="L196" s="6" t="s">
        <v>5307</v>
      </c>
      <c r="M196" s="6"/>
      <c r="N196" s="6" t="s">
        <v>5308</v>
      </c>
      <c r="O196" s="6" t="str">
        <f>HYPERLINK("https://ceds.ed.gov/cedselementdetails.aspx?termid=5352")</f>
        <v>https://ceds.ed.gov/cedselementdetails.aspx?termid=5352</v>
      </c>
      <c r="P196" s="6" t="str">
        <f>HYPERLINK("https://ceds.ed.gov/elementComment.aspx?elementName=Service Option Variation &amp;elementID=5352", "Click here to submit comment")</f>
        <v>Click here to submit comment</v>
      </c>
    </row>
    <row r="197" spans="1:16" ht="60">
      <c r="A197" s="6" t="s">
        <v>6715</v>
      </c>
      <c r="B197" s="6" t="s">
        <v>6747</v>
      </c>
      <c r="C197" s="6" t="s">
        <v>6752</v>
      </c>
      <c r="D197" s="6" t="s">
        <v>3015</v>
      </c>
      <c r="E197" s="6" t="s">
        <v>3016</v>
      </c>
      <c r="F197" s="6" t="s">
        <v>13</v>
      </c>
      <c r="G197" s="6" t="s">
        <v>6129</v>
      </c>
      <c r="H197" s="6"/>
      <c r="I197" s="6" t="s">
        <v>1461</v>
      </c>
      <c r="J197" s="6"/>
      <c r="K197" s="6"/>
      <c r="L197" s="6" t="s">
        <v>3017</v>
      </c>
      <c r="M197" s="6"/>
      <c r="N197" s="6" t="s">
        <v>3018</v>
      </c>
      <c r="O197" s="6" t="str">
        <f>HYPERLINK("https://ceds.ed.gov/cedselementdetails.aspx?termid=5353")</f>
        <v>https://ceds.ed.gov/cedselementdetails.aspx?termid=5353</v>
      </c>
      <c r="P197" s="6" t="str">
        <f>HYPERLINK("https://ceds.ed.gov/elementComment.aspx?elementName=Hours Available Per Day &amp;elementID=5353", "Click here to submit comment")</f>
        <v>Click here to submit comment</v>
      </c>
    </row>
    <row r="198" spans="1:16" ht="60">
      <c r="A198" s="6" t="s">
        <v>6715</v>
      </c>
      <c r="B198" s="6" t="s">
        <v>6747</v>
      </c>
      <c r="C198" s="6" t="s">
        <v>6752</v>
      </c>
      <c r="D198" s="6" t="s">
        <v>2110</v>
      </c>
      <c r="E198" s="6" t="s">
        <v>2111</v>
      </c>
      <c r="F198" s="6" t="s">
        <v>13</v>
      </c>
      <c r="G198" s="6" t="s">
        <v>6129</v>
      </c>
      <c r="H198" s="6"/>
      <c r="I198" s="6" t="s">
        <v>308</v>
      </c>
      <c r="J198" s="6"/>
      <c r="K198" s="6"/>
      <c r="L198" s="6" t="s">
        <v>2112</v>
      </c>
      <c r="M198" s="6"/>
      <c r="N198" s="6" t="s">
        <v>2113</v>
      </c>
      <c r="O198" s="6" t="str">
        <f>HYPERLINK("https://ceds.ed.gov/cedselementdetails.aspx?termid=5354")</f>
        <v>https://ceds.ed.gov/cedselementdetails.aspx?termid=5354</v>
      </c>
      <c r="P198" s="6" t="str">
        <f>HYPERLINK("https://ceds.ed.gov/elementComment.aspx?elementName=Days Available Per Week &amp;elementID=5354", "Click here to submit comment")</f>
        <v>Click here to submit comment</v>
      </c>
    </row>
    <row r="199" spans="1:16" ht="240">
      <c r="A199" s="6" t="s">
        <v>6715</v>
      </c>
      <c r="B199" s="6" t="s">
        <v>6747</v>
      </c>
      <c r="C199" s="6" t="s">
        <v>6752</v>
      </c>
      <c r="D199" s="6" t="s">
        <v>2307</v>
      </c>
      <c r="E199" s="6" t="s">
        <v>2308</v>
      </c>
      <c r="F199" s="7" t="s">
        <v>6472</v>
      </c>
      <c r="G199" s="6" t="s">
        <v>6129</v>
      </c>
      <c r="H199" s="6" t="s">
        <v>66</v>
      </c>
      <c r="I199" s="6"/>
      <c r="J199" s="6" t="s">
        <v>2309</v>
      </c>
      <c r="K199" s="6"/>
      <c r="L199" s="6" t="s">
        <v>2310</v>
      </c>
      <c r="M199" s="6"/>
      <c r="N199" s="6" t="s">
        <v>2311</v>
      </c>
      <c r="O199" s="6" t="str">
        <f>HYPERLINK("https://ceds.ed.gov/cedselementdetails.aspx?termid=5355")</f>
        <v>https://ceds.ed.gov/cedselementdetails.aspx?termid=5355</v>
      </c>
      <c r="P199" s="6" t="str">
        <f>HYPERLINK("https://ceds.ed.gov/elementComment.aspx?elementName=Early Childhood Setting &amp;elementID=5355", "Click here to submit comment")</f>
        <v>Click here to submit comment</v>
      </c>
    </row>
    <row r="200" spans="1:16" ht="45">
      <c r="A200" s="6" t="s">
        <v>6715</v>
      </c>
      <c r="B200" s="6" t="s">
        <v>6747</v>
      </c>
      <c r="C200" s="6" t="s">
        <v>6752</v>
      </c>
      <c r="D200" s="6" t="s">
        <v>4249</v>
      </c>
      <c r="E200" s="6" t="s">
        <v>4250</v>
      </c>
      <c r="F200" s="6" t="s">
        <v>13</v>
      </c>
      <c r="G200" s="6" t="s">
        <v>65</v>
      </c>
      <c r="H200" s="6"/>
      <c r="I200" s="6" t="s">
        <v>308</v>
      </c>
      <c r="J200" s="6"/>
      <c r="K200" s="6"/>
      <c r="L200" s="6" t="s">
        <v>4251</v>
      </c>
      <c r="M200" s="6"/>
      <c r="N200" s="6" t="s">
        <v>4252</v>
      </c>
      <c r="O200" s="6" t="str">
        <f>HYPERLINK("https://ceds.ed.gov/cedselementdetails.aspx?termid=5844")</f>
        <v>https://ceds.ed.gov/cedselementdetails.aspx?termid=5844</v>
      </c>
      <c r="P200" s="6" t="str">
        <f>HYPERLINK("https://ceds.ed.gov/elementComment.aspx?elementName=Number of Classrooms &amp;elementID=5844", "Click here to submit comment")</f>
        <v>Click here to submit comment</v>
      </c>
    </row>
    <row r="201" spans="1:16" ht="60">
      <c r="A201" s="6" t="s">
        <v>6715</v>
      </c>
      <c r="B201" s="6" t="s">
        <v>6747</v>
      </c>
      <c r="C201" s="6" t="s">
        <v>6752</v>
      </c>
      <c r="D201" s="6" t="s">
        <v>2428</v>
      </c>
      <c r="E201" s="6" t="s">
        <v>2429</v>
      </c>
      <c r="F201" s="6" t="s">
        <v>13</v>
      </c>
      <c r="G201" s="6" t="s">
        <v>6143</v>
      </c>
      <c r="H201" s="6"/>
      <c r="I201" s="6" t="s">
        <v>575</v>
      </c>
      <c r="J201" s="6"/>
      <c r="K201" s="6"/>
      <c r="L201" s="6" t="s">
        <v>2430</v>
      </c>
      <c r="M201" s="6"/>
      <c r="N201" s="6" t="s">
        <v>2431</v>
      </c>
      <c r="O201" s="6" t="str">
        <f>HYPERLINK("https://ceds.ed.gov/cedselementdetails.aspx?termid=5626")</f>
        <v>https://ceds.ed.gov/cedselementdetails.aspx?termid=5626</v>
      </c>
      <c r="P201" s="6" t="str">
        <f>HYPERLINK("https://ceds.ed.gov/elementComment.aspx?elementName=Early Learning Youngest Age Authorized to Serve &amp;elementID=5626", "Click here to submit comment")</f>
        <v>Click here to submit comment</v>
      </c>
    </row>
    <row r="202" spans="1:16" ht="60">
      <c r="A202" s="6" t="s">
        <v>6715</v>
      </c>
      <c r="B202" s="6" t="s">
        <v>6747</v>
      </c>
      <c r="C202" s="6" t="s">
        <v>6752</v>
      </c>
      <c r="D202" s="6" t="s">
        <v>2359</v>
      </c>
      <c r="E202" s="6" t="s">
        <v>2360</v>
      </c>
      <c r="F202" s="6" t="s">
        <v>13</v>
      </c>
      <c r="G202" s="6" t="s">
        <v>6143</v>
      </c>
      <c r="H202" s="6"/>
      <c r="I202" s="6" t="s">
        <v>575</v>
      </c>
      <c r="J202" s="6"/>
      <c r="K202" s="6"/>
      <c r="L202" s="6" t="s">
        <v>2361</v>
      </c>
      <c r="M202" s="6"/>
      <c r="N202" s="6" t="s">
        <v>2362</v>
      </c>
      <c r="O202" s="6" t="str">
        <f>HYPERLINK("https://ceds.ed.gov/cedselementdetails.aspx?termid=6189")</f>
        <v>https://ceds.ed.gov/cedselementdetails.aspx?termid=6189</v>
      </c>
      <c r="P202" s="6" t="str">
        <f>HYPERLINK("https://ceds.ed.gov/elementComment.aspx?elementName=Early Learning Oldest Age Authorized to Serve &amp;elementID=6189", "Click here to submit comment")</f>
        <v>Click here to submit comment</v>
      </c>
    </row>
    <row r="203" spans="1:16" ht="180">
      <c r="A203" s="6" t="s">
        <v>6715</v>
      </c>
      <c r="B203" s="6" t="s">
        <v>6747</v>
      </c>
      <c r="C203" s="6" t="s">
        <v>6752</v>
      </c>
      <c r="D203" s="6" t="s">
        <v>5398</v>
      </c>
      <c r="E203" s="6" t="s">
        <v>5399</v>
      </c>
      <c r="F203" s="7" t="s">
        <v>6658</v>
      </c>
      <c r="G203" s="6" t="s">
        <v>65</v>
      </c>
      <c r="H203" s="6"/>
      <c r="I203" s="6"/>
      <c r="J203" s="6"/>
      <c r="K203" s="6"/>
      <c r="L203" s="6" t="s">
        <v>5400</v>
      </c>
      <c r="M203" s="6"/>
      <c r="N203" s="6" t="s">
        <v>5401</v>
      </c>
      <c r="O203" s="6" t="str">
        <f>HYPERLINK("https://ceds.ed.gov/cedselementdetails.aspx?termid=5852")</f>
        <v>https://ceds.ed.gov/cedselementdetails.aspx?termid=5852</v>
      </c>
      <c r="P203" s="6" t="str">
        <f>HYPERLINK("https://ceds.ed.gov/elementComment.aspx?elementName=Special Circumstances Population Served &amp;elementID=5852", "Click here to submit comment")</f>
        <v>Click here to submit comment</v>
      </c>
    </row>
    <row r="204" spans="1:16" ht="409.5">
      <c r="A204" s="6" t="s">
        <v>6715</v>
      </c>
      <c r="B204" s="6" t="s">
        <v>6747</v>
      </c>
      <c r="C204" s="6" t="s">
        <v>6752</v>
      </c>
      <c r="D204" s="6" t="s">
        <v>2437</v>
      </c>
      <c r="E204" s="6" t="s">
        <v>2438</v>
      </c>
      <c r="F204" s="7" t="s">
        <v>6487</v>
      </c>
      <c r="G204" s="6" t="s">
        <v>6145</v>
      </c>
      <c r="H204" s="6"/>
      <c r="I204" s="6"/>
      <c r="J204" s="6"/>
      <c r="K204" s="6"/>
      <c r="L204" s="6" t="s">
        <v>2440</v>
      </c>
      <c r="M204" s="6" t="s">
        <v>2441</v>
      </c>
      <c r="N204" s="6" t="s">
        <v>2442</v>
      </c>
      <c r="O204" s="6" t="str">
        <f>HYPERLINK("https://ceds.ed.gov/cedselementdetails.aspx?termid=5862")</f>
        <v>https://ceds.ed.gov/cedselementdetails.aspx?termid=5862</v>
      </c>
      <c r="P204" s="6" t="str">
        <f>HYPERLINK("https://ceds.ed.gov/elementComment.aspx?elementName=Economic Research Service Rural-Urban Continuum Code &amp;elementID=5862", "Click here to submit comment")</f>
        <v>Click here to submit comment</v>
      </c>
    </row>
    <row r="205" spans="1:16" ht="120">
      <c r="A205" s="6" t="s">
        <v>6715</v>
      </c>
      <c r="B205" s="6" t="s">
        <v>6747</v>
      </c>
      <c r="C205" s="6" t="s">
        <v>6753</v>
      </c>
      <c r="D205" s="6" t="s">
        <v>4950</v>
      </c>
      <c r="E205" s="6" t="s">
        <v>4951</v>
      </c>
      <c r="F205" s="7" t="s">
        <v>6634</v>
      </c>
      <c r="G205" s="6" t="s">
        <v>4952</v>
      </c>
      <c r="H205" s="6"/>
      <c r="I205" s="6"/>
      <c r="J205" s="6"/>
      <c r="K205" s="6"/>
      <c r="L205" s="6" t="s">
        <v>4953</v>
      </c>
      <c r="M205" s="6" t="s">
        <v>4954</v>
      </c>
      <c r="N205" s="6" t="s">
        <v>4955</v>
      </c>
      <c r="O205" s="6" t="str">
        <f>HYPERLINK("https://ceds.ed.gov/cedselementdetails.aspx?termid=5356")</f>
        <v>https://ceds.ed.gov/cedselementdetails.aspx?termid=5356</v>
      </c>
      <c r="P205" s="6" t="str">
        <f>HYPERLINK("https://ceds.ed.gov/elementComment.aspx?elementName=Quality Rating and Improvement System Participation &amp;elementID=5356", "Click here to submit comment")</f>
        <v>Click here to submit comment</v>
      </c>
    </row>
    <row r="206" spans="1:16" ht="45">
      <c r="A206" s="6" t="s">
        <v>6715</v>
      </c>
      <c r="B206" s="6" t="s">
        <v>6747</v>
      </c>
      <c r="C206" s="6" t="s">
        <v>6753</v>
      </c>
      <c r="D206" s="6" t="s">
        <v>4956</v>
      </c>
      <c r="E206" s="6" t="s">
        <v>4957</v>
      </c>
      <c r="F206" s="6" t="s">
        <v>13</v>
      </c>
      <c r="G206" s="6" t="s">
        <v>4952</v>
      </c>
      <c r="H206" s="6"/>
      <c r="I206" s="6" t="s">
        <v>1249</v>
      </c>
      <c r="J206" s="6"/>
      <c r="K206" s="6"/>
      <c r="L206" s="6" t="s">
        <v>4958</v>
      </c>
      <c r="M206" s="6" t="s">
        <v>4959</v>
      </c>
      <c r="N206" s="6" t="s">
        <v>4960</v>
      </c>
      <c r="O206" s="6" t="str">
        <f>HYPERLINK("https://ceds.ed.gov/cedselementdetails.aspx?termid=5357")</f>
        <v>https://ceds.ed.gov/cedselementdetails.aspx?termid=5357</v>
      </c>
      <c r="P206" s="6" t="str">
        <f>HYPERLINK("https://ceds.ed.gov/elementComment.aspx?elementName=Quality Rating and Improvement System Score &amp;elementID=5357", "Click here to submit comment")</f>
        <v>Click here to submit comment</v>
      </c>
    </row>
    <row r="207" spans="1:16" ht="60">
      <c r="A207" s="6" t="s">
        <v>6715</v>
      </c>
      <c r="B207" s="6" t="s">
        <v>6747</v>
      </c>
      <c r="C207" s="6" t="s">
        <v>6753</v>
      </c>
      <c r="D207" s="6" t="s">
        <v>4940</v>
      </c>
      <c r="E207" s="6" t="s">
        <v>4941</v>
      </c>
      <c r="F207" s="6" t="s">
        <v>13</v>
      </c>
      <c r="G207" s="6" t="s">
        <v>65</v>
      </c>
      <c r="H207" s="6"/>
      <c r="I207" s="6" t="s">
        <v>73</v>
      </c>
      <c r="J207" s="6"/>
      <c r="K207" s="6"/>
      <c r="L207" s="6" t="s">
        <v>4942</v>
      </c>
      <c r="M207" s="6" t="s">
        <v>4943</v>
      </c>
      <c r="N207" s="6" t="s">
        <v>4944</v>
      </c>
      <c r="O207" s="6" t="str">
        <f>HYPERLINK("https://ceds.ed.gov/cedselementdetails.aspx?termid=5830")</f>
        <v>https://ceds.ed.gov/cedselementdetails.aspx?termid=5830</v>
      </c>
      <c r="P207" s="6" t="str">
        <f>HYPERLINK("https://ceds.ed.gov/elementComment.aspx?elementName=Quality Rating and Improvement System Award Date &amp;elementID=5830", "Click here to submit comment")</f>
        <v>Click here to submit comment</v>
      </c>
    </row>
    <row r="208" spans="1:16" ht="60">
      <c r="A208" s="6" t="s">
        <v>6715</v>
      </c>
      <c r="B208" s="6" t="s">
        <v>6747</v>
      </c>
      <c r="C208" s="6" t="s">
        <v>6753</v>
      </c>
      <c r="D208" s="6" t="s">
        <v>4945</v>
      </c>
      <c r="E208" s="6" t="s">
        <v>4946</v>
      </c>
      <c r="F208" s="6" t="s">
        <v>13</v>
      </c>
      <c r="G208" s="6" t="s">
        <v>65</v>
      </c>
      <c r="H208" s="6"/>
      <c r="I208" s="6" t="s">
        <v>73</v>
      </c>
      <c r="J208" s="6"/>
      <c r="K208" s="6"/>
      <c r="L208" s="6" t="s">
        <v>4947</v>
      </c>
      <c r="M208" s="6" t="s">
        <v>4948</v>
      </c>
      <c r="N208" s="6" t="s">
        <v>4949</v>
      </c>
      <c r="O208" s="6" t="str">
        <f>HYPERLINK("https://ceds.ed.gov/cedselementdetails.aspx?termid=5831")</f>
        <v>https://ceds.ed.gov/cedselementdetails.aspx?termid=5831</v>
      </c>
      <c r="P208" s="6" t="str">
        <f>HYPERLINK("https://ceds.ed.gov/elementComment.aspx?elementName=Quality Rating and Improvement System Expiration Date &amp;elementID=5831", "Click here to submit comment")</f>
        <v>Click here to submit comment</v>
      </c>
    </row>
    <row r="209" spans="1:16" ht="60">
      <c r="A209" s="6" t="s">
        <v>6715</v>
      </c>
      <c r="B209" s="6" t="s">
        <v>6747</v>
      </c>
      <c r="C209" s="6" t="s">
        <v>6753</v>
      </c>
      <c r="D209" s="6" t="s">
        <v>4302</v>
      </c>
      <c r="E209" s="6" t="s">
        <v>4303</v>
      </c>
      <c r="F209" s="6" t="s">
        <v>13</v>
      </c>
      <c r="G209" s="6" t="s">
        <v>65</v>
      </c>
      <c r="H209" s="6"/>
      <c r="I209" s="6" t="s">
        <v>308</v>
      </c>
      <c r="J209" s="6"/>
      <c r="K209" s="6"/>
      <c r="L209" s="6" t="s">
        <v>4305</v>
      </c>
      <c r="M209" s="6" t="s">
        <v>4306</v>
      </c>
      <c r="N209" s="6" t="s">
        <v>4307</v>
      </c>
      <c r="O209" s="6" t="str">
        <f>HYPERLINK("https://ceds.ed.gov/cedselementdetails.aspx?termid=5843")</f>
        <v>https://ceds.ed.gov/cedselementdetails.aspx?termid=5843</v>
      </c>
      <c r="P209" s="6" t="str">
        <f>HYPERLINK("https://ceds.ed.gov/elementComment.aspx?elementName=Number of Quality Rating and Improvement System Levels &amp;elementID=5843", "Click here to submit comment")</f>
        <v>Click here to submit comment</v>
      </c>
    </row>
    <row r="210" spans="1:16" ht="105">
      <c r="A210" s="6" t="s">
        <v>6715</v>
      </c>
      <c r="B210" s="6" t="s">
        <v>6747</v>
      </c>
      <c r="C210" s="6" t="s">
        <v>6754</v>
      </c>
      <c r="D210" s="6" t="s">
        <v>2610</v>
      </c>
      <c r="E210" s="6" t="s">
        <v>2611</v>
      </c>
      <c r="F210" s="7" t="s">
        <v>6503</v>
      </c>
      <c r="G210" s="6" t="s">
        <v>65</v>
      </c>
      <c r="H210" s="6"/>
      <c r="I210" s="6"/>
      <c r="J210" s="6"/>
      <c r="K210" s="6"/>
      <c r="L210" s="6" t="s">
        <v>2613</v>
      </c>
      <c r="M210" s="6"/>
      <c r="N210" s="6" t="s">
        <v>2614</v>
      </c>
      <c r="O210" s="6" t="str">
        <f>HYPERLINK("https://ceds.ed.gov/cedselementdetails.aspx?termid=5834")</f>
        <v>https://ceds.ed.gov/cedselementdetails.aspx?termid=5834</v>
      </c>
      <c r="P210" s="6" t="str">
        <f>HYPERLINK("https://ceds.ed.gov/elementComment.aspx?elementName=Facility Profit Status &amp;elementID=5834", "Click here to submit comment")</f>
        <v>Click here to submit comment</v>
      </c>
    </row>
    <row r="211" spans="1:16" ht="45">
      <c r="A211" s="6" t="s">
        <v>6715</v>
      </c>
      <c r="B211" s="6" t="s">
        <v>6747</v>
      </c>
      <c r="C211" s="6" t="s">
        <v>6755</v>
      </c>
      <c r="D211" s="6" t="s">
        <v>4286</v>
      </c>
      <c r="E211" s="6" t="s">
        <v>4287</v>
      </c>
      <c r="F211" s="6" t="s">
        <v>13</v>
      </c>
      <c r="G211" s="6" t="s">
        <v>65</v>
      </c>
      <c r="H211" s="6"/>
      <c r="I211" s="6" t="s">
        <v>308</v>
      </c>
      <c r="J211" s="6"/>
      <c r="K211" s="6"/>
      <c r="L211" s="6" t="s">
        <v>4288</v>
      </c>
      <c r="M211" s="6"/>
      <c r="N211" s="6" t="s">
        <v>4289</v>
      </c>
      <c r="O211" s="6" t="str">
        <f>HYPERLINK("https://ceds.ed.gov/cedselementdetails.aspx?termid=5839")</f>
        <v>https://ceds.ed.gov/cedselementdetails.aspx?termid=5839</v>
      </c>
      <c r="P211" s="6" t="str">
        <f>HYPERLINK("https://ceds.ed.gov/elementComment.aspx?elementName=Number of Early Learning Program Monitoring Visits &amp;elementID=5839", "Click here to submit comment")</f>
        <v>Click here to submit comment</v>
      </c>
    </row>
    <row r="212" spans="1:16" ht="30">
      <c r="A212" s="6" t="s">
        <v>6715</v>
      </c>
      <c r="B212" s="6" t="s">
        <v>6747</v>
      </c>
      <c r="C212" s="6" t="s">
        <v>6755</v>
      </c>
      <c r="D212" s="6" t="s">
        <v>4164</v>
      </c>
      <c r="E212" s="6" t="s">
        <v>4165</v>
      </c>
      <c r="F212" s="6" t="s">
        <v>13</v>
      </c>
      <c r="G212" s="6"/>
      <c r="H212" s="6" t="s">
        <v>54</v>
      </c>
      <c r="I212" s="6" t="s">
        <v>73</v>
      </c>
      <c r="J212" s="6"/>
      <c r="K212" s="6"/>
      <c r="L212" s="6" t="s">
        <v>4167</v>
      </c>
      <c r="M212" s="6"/>
      <c r="N212" s="6" t="s">
        <v>4168</v>
      </c>
      <c r="O212" s="6" t="str">
        <f>HYPERLINK("https://ceds.ed.gov/cedselementdetails.aspx?termid=6298")</f>
        <v>https://ceds.ed.gov/cedselementdetails.aspx?termid=6298</v>
      </c>
      <c r="P212" s="6" t="str">
        <f>HYPERLINK("https://ceds.ed.gov/elementComment.aspx?elementName=Monitoring Visit End Date &amp;elementID=6298", "Click here to submit comment")</f>
        <v>Click here to submit comment</v>
      </c>
    </row>
    <row r="213" spans="1:16" ht="30">
      <c r="A213" s="6" t="s">
        <v>6715</v>
      </c>
      <c r="B213" s="6" t="s">
        <v>6747</v>
      </c>
      <c r="C213" s="6" t="s">
        <v>6755</v>
      </c>
      <c r="D213" s="6" t="s">
        <v>4169</v>
      </c>
      <c r="E213" s="6" t="s">
        <v>4170</v>
      </c>
      <c r="F213" s="6" t="s">
        <v>13</v>
      </c>
      <c r="G213" s="6"/>
      <c r="H213" s="6" t="s">
        <v>54</v>
      </c>
      <c r="I213" s="6" t="s">
        <v>73</v>
      </c>
      <c r="J213" s="6"/>
      <c r="K213" s="6"/>
      <c r="L213" s="6" t="s">
        <v>4171</v>
      </c>
      <c r="M213" s="6"/>
      <c r="N213" s="6" t="s">
        <v>4172</v>
      </c>
      <c r="O213" s="6" t="str">
        <f>HYPERLINK("https://ceds.ed.gov/cedselementdetails.aspx?termid=6297")</f>
        <v>https://ceds.ed.gov/cedselementdetails.aspx?termid=6297</v>
      </c>
      <c r="P213" s="6" t="str">
        <f>HYPERLINK("https://ceds.ed.gov/elementComment.aspx?elementName=Monitoring Visit Start Date &amp;elementID=6297", "Click here to submit comment")</f>
        <v>Click here to submit comment</v>
      </c>
    </row>
    <row r="214" spans="1:16" ht="45">
      <c r="A214" s="6" t="s">
        <v>6715</v>
      </c>
      <c r="B214" s="6" t="s">
        <v>6747</v>
      </c>
      <c r="C214" s="6" t="s">
        <v>6755</v>
      </c>
      <c r="D214" s="6" t="s">
        <v>4345</v>
      </c>
      <c r="E214" s="6" t="s">
        <v>4346</v>
      </c>
      <c r="F214" s="6" t="s">
        <v>6265</v>
      </c>
      <c r="G214" s="6"/>
      <c r="H214" s="6" t="s">
        <v>54</v>
      </c>
      <c r="I214" s="6"/>
      <c r="J214" s="6"/>
      <c r="K214" s="6"/>
      <c r="L214" s="6" t="s">
        <v>4347</v>
      </c>
      <c r="M214" s="6"/>
      <c r="N214" s="6" t="s">
        <v>4348</v>
      </c>
      <c r="O214" s="6" t="str">
        <f>HYPERLINK("https://ceds.ed.gov/cedselementdetails.aspx?termid=6296")</f>
        <v>https://ceds.ed.gov/cedselementdetails.aspx?termid=6296</v>
      </c>
      <c r="P214" s="6" t="str">
        <f>HYPERLINK("https://ceds.ed.gov/elementComment.aspx?elementName=Organization Monitoring Notifications &amp;elementID=6296", "Click here to submit comment")</f>
        <v>Click here to submit comment</v>
      </c>
    </row>
    <row r="215" spans="1:16" ht="30">
      <c r="A215" s="6" t="s">
        <v>6715</v>
      </c>
      <c r="B215" s="6" t="s">
        <v>6747</v>
      </c>
      <c r="C215" s="6" t="s">
        <v>6755</v>
      </c>
      <c r="D215" s="6" t="s">
        <v>4367</v>
      </c>
      <c r="E215" s="6" t="s">
        <v>4368</v>
      </c>
      <c r="F215" s="6" t="s">
        <v>13</v>
      </c>
      <c r="G215" s="6"/>
      <c r="H215" s="6" t="s">
        <v>54</v>
      </c>
      <c r="I215" s="6" t="s">
        <v>93</v>
      </c>
      <c r="J215" s="6"/>
      <c r="K215" s="6"/>
      <c r="L215" s="6" t="s">
        <v>4369</v>
      </c>
      <c r="M215" s="6"/>
      <c r="N215" s="6" t="s">
        <v>4370</v>
      </c>
      <c r="O215" s="6" t="str">
        <f>HYPERLINK("https://ceds.ed.gov/cedselementdetails.aspx?termid=6300")</f>
        <v>https://ceds.ed.gov/cedselementdetails.aspx?termid=6300</v>
      </c>
      <c r="P215" s="6" t="str">
        <f>HYPERLINK("https://ceds.ed.gov/elementComment.aspx?elementName=Organization Type of Monitoring &amp;elementID=6300", "Click here to submit comment")</f>
        <v>Click here to submit comment</v>
      </c>
    </row>
    <row r="216" spans="1:16" ht="120">
      <c r="A216" s="6" t="s">
        <v>6715</v>
      </c>
      <c r="B216" s="6" t="s">
        <v>6747</v>
      </c>
      <c r="C216" s="6" t="s">
        <v>6755</v>
      </c>
      <c r="D216" s="6" t="s">
        <v>4899</v>
      </c>
      <c r="E216" s="6" t="s">
        <v>4900</v>
      </c>
      <c r="F216" s="7" t="s">
        <v>6632</v>
      </c>
      <c r="G216" s="6"/>
      <c r="H216" s="6" t="s">
        <v>54</v>
      </c>
      <c r="I216" s="6"/>
      <c r="J216" s="6"/>
      <c r="K216" s="6"/>
      <c r="L216" s="6" t="s">
        <v>4901</v>
      </c>
      <c r="M216" s="6"/>
      <c r="N216" s="6" t="s">
        <v>4902</v>
      </c>
      <c r="O216" s="6" t="str">
        <f>HYPERLINK("https://ceds.ed.gov/cedselementdetails.aspx?termid=6299")</f>
        <v>https://ceds.ed.gov/cedselementdetails.aspx?termid=6299</v>
      </c>
      <c r="P216" s="6" t="str">
        <f>HYPERLINK("https://ceds.ed.gov/elementComment.aspx?elementName=Purpose of Monitoring Visit &amp;elementID=6299", "Click here to submit comment")</f>
        <v>Click here to submit comment</v>
      </c>
    </row>
    <row r="217" spans="1:16" ht="345">
      <c r="A217" s="6" t="s">
        <v>6715</v>
      </c>
      <c r="B217" s="6" t="s">
        <v>6747</v>
      </c>
      <c r="C217" s="6" t="s">
        <v>6756</v>
      </c>
      <c r="D217" s="6" t="s">
        <v>62</v>
      </c>
      <c r="E217" s="6" t="s">
        <v>63</v>
      </c>
      <c r="F217" s="7" t="s">
        <v>6351</v>
      </c>
      <c r="G217" s="6" t="s">
        <v>65</v>
      </c>
      <c r="H217" s="6" t="s">
        <v>66</v>
      </c>
      <c r="I217" s="6"/>
      <c r="J217" s="6" t="s">
        <v>67</v>
      </c>
      <c r="K217" s="6" t="s">
        <v>68</v>
      </c>
      <c r="L217" s="6" t="s">
        <v>69</v>
      </c>
      <c r="M217" s="6"/>
      <c r="N217" s="6" t="s">
        <v>70</v>
      </c>
      <c r="O217" s="6" t="str">
        <f>HYPERLINK("https://ceds.ed.gov/cedselementdetails.aspx?termid=5983")</f>
        <v>https://ceds.ed.gov/cedselementdetails.aspx?termid=5983</v>
      </c>
      <c r="P217" s="6" t="str">
        <f>HYPERLINK("https://ceds.ed.gov/elementComment.aspx?elementName=Accreditation Agency &amp;elementID=5983", "Click here to submit comment")</f>
        <v>Click here to submit comment</v>
      </c>
    </row>
    <row r="218" spans="1:16" ht="30">
      <c r="A218" s="6" t="s">
        <v>6715</v>
      </c>
      <c r="B218" s="6" t="s">
        <v>6747</v>
      </c>
      <c r="C218" s="6" t="s">
        <v>6756</v>
      </c>
      <c r="D218" s="6" t="s">
        <v>71</v>
      </c>
      <c r="E218" s="6" t="s">
        <v>72</v>
      </c>
      <c r="F218" s="6" t="s">
        <v>13</v>
      </c>
      <c r="G218" s="6" t="s">
        <v>65</v>
      </c>
      <c r="H218" s="6"/>
      <c r="I218" s="6" t="s">
        <v>73</v>
      </c>
      <c r="J218" s="6"/>
      <c r="K218" s="6"/>
      <c r="L218" s="6" t="s">
        <v>74</v>
      </c>
      <c r="M218" s="6"/>
      <c r="N218" s="6" t="s">
        <v>75</v>
      </c>
      <c r="O218" s="6" t="str">
        <f>HYPERLINK("https://ceds.ed.gov/cedselementdetails.aspx?termid=5840")</f>
        <v>https://ceds.ed.gov/cedselementdetails.aspx?termid=5840</v>
      </c>
      <c r="P218" s="6" t="str">
        <f>HYPERLINK("https://ceds.ed.gov/elementComment.aspx?elementName=Accreditation Award Date &amp;elementID=5840", "Click here to submit comment")</f>
        <v>Click here to submit comment</v>
      </c>
    </row>
    <row r="219" spans="1:16" ht="30">
      <c r="A219" s="6" t="s">
        <v>6715</v>
      </c>
      <c r="B219" s="6" t="s">
        <v>6747</v>
      </c>
      <c r="C219" s="6" t="s">
        <v>6756</v>
      </c>
      <c r="D219" s="6" t="s">
        <v>76</v>
      </c>
      <c r="E219" s="6" t="s">
        <v>77</v>
      </c>
      <c r="F219" s="6" t="s">
        <v>13</v>
      </c>
      <c r="G219" s="6" t="s">
        <v>65</v>
      </c>
      <c r="H219" s="6"/>
      <c r="I219" s="6" t="s">
        <v>73</v>
      </c>
      <c r="J219" s="6"/>
      <c r="K219" s="6"/>
      <c r="L219" s="6" t="s">
        <v>78</v>
      </c>
      <c r="M219" s="6"/>
      <c r="N219" s="6" t="s">
        <v>79</v>
      </c>
      <c r="O219" s="6" t="str">
        <f>HYPERLINK("https://ceds.ed.gov/cedselementdetails.aspx?termid=5841")</f>
        <v>https://ceds.ed.gov/cedselementdetails.aspx?termid=5841</v>
      </c>
      <c r="P219" s="6" t="str">
        <f>HYPERLINK("https://ceds.ed.gov/elementComment.aspx?elementName=Accreditation Expiration Date &amp;elementID=5841", "Click here to submit comment")</f>
        <v>Click here to submit comment</v>
      </c>
    </row>
    <row r="220" spans="1:16" ht="45">
      <c r="A220" s="6" t="s">
        <v>6715</v>
      </c>
      <c r="B220" s="6" t="s">
        <v>6747</v>
      </c>
      <c r="C220" s="6" t="s">
        <v>6756</v>
      </c>
      <c r="D220" s="6" t="s">
        <v>4357</v>
      </c>
      <c r="E220" s="6" t="s">
        <v>4358</v>
      </c>
      <c r="F220" s="6" t="s">
        <v>13</v>
      </c>
      <c r="G220" s="6"/>
      <c r="H220" s="6" t="s">
        <v>54</v>
      </c>
      <c r="I220" s="6" t="s">
        <v>73</v>
      </c>
      <c r="J220" s="6"/>
      <c r="K220" s="6"/>
      <c r="L220" s="6" t="s">
        <v>4359</v>
      </c>
      <c r="M220" s="6"/>
      <c r="N220" s="6" t="s">
        <v>4360</v>
      </c>
      <c r="O220" s="6" t="str">
        <f>HYPERLINK("https://ceds.ed.gov/cedselementdetails.aspx?termid=6388")</f>
        <v>https://ceds.ed.gov/cedselementdetails.aspx?termid=6388</v>
      </c>
      <c r="P220" s="6" t="str">
        <f>HYPERLINK("https://ceds.ed.gov/elementComment.aspx?elementName=Organization Seeking Accreditation Date &amp;elementID=6388", "Click here to submit comment")</f>
        <v>Click here to submit comment</v>
      </c>
    </row>
    <row r="221" spans="1:16" ht="180">
      <c r="A221" s="6" t="s">
        <v>6715</v>
      </c>
      <c r="B221" s="6" t="s">
        <v>6747</v>
      </c>
      <c r="C221" s="6" t="s">
        <v>6757</v>
      </c>
      <c r="D221" s="6" t="s">
        <v>227</v>
      </c>
      <c r="E221" s="6" t="s">
        <v>228</v>
      </c>
      <c r="F221" s="7" t="s">
        <v>6358</v>
      </c>
      <c r="G221" s="6" t="s">
        <v>65</v>
      </c>
      <c r="H221" s="6" t="s">
        <v>66</v>
      </c>
      <c r="I221" s="6"/>
      <c r="J221" s="6" t="s">
        <v>230</v>
      </c>
      <c r="K221" s="6" t="s">
        <v>231</v>
      </c>
      <c r="L221" s="6" t="s">
        <v>232</v>
      </c>
      <c r="M221" s="6"/>
      <c r="N221" s="6" t="s">
        <v>233</v>
      </c>
      <c r="O221" s="6" t="str">
        <f>HYPERLINK("https://ceds.ed.gov/cedselementdetails.aspx?termid=5984")</f>
        <v>https://ceds.ed.gov/cedselementdetails.aspx?termid=5984</v>
      </c>
      <c r="P221" s="6" t="str">
        <f>HYPERLINK("https://ceds.ed.gov/elementComment.aspx?elementName=Administrative Policy Type &amp;elementID=5984", "Click here to submit comment")</f>
        <v>Click here to submit comment</v>
      </c>
    </row>
    <row r="222" spans="1:16" ht="120">
      <c r="A222" s="6" t="s">
        <v>6715</v>
      </c>
      <c r="B222" s="6" t="s">
        <v>6747</v>
      </c>
      <c r="C222" s="6" t="s">
        <v>6757</v>
      </c>
      <c r="D222" s="6" t="s">
        <v>4503</v>
      </c>
      <c r="E222" s="6" t="s">
        <v>4504</v>
      </c>
      <c r="F222" s="7" t="s">
        <v>6600</v>
      </c>
      <c r="G222" s="6" t="s">
        <v>65</v>
      </c>
      <c r="H222" s="6"/>
      <c r="I222" s="6"/>
      <c r="J222" s="6"/>
      <c r="K222" s="6"/>
      <c r="L222" s="6" t="s">
        <v>4505</v>
      </c>
      <c r="M222" s="6"/>
      <c r="N222" s="6" t="s">
        <v>4506</v>
      </c>
      <c r="O222" s="6" t="str">
        <f>HYPERLINK("https://ceds.ed.gov/cedselementdetails.aspx?termid=5842")</f>
        <v>https://ceds.ed.gov/cedselementdetails.aspx?termid=5842</v>
      </c>
      <c r="P222" s="6" t="str">
        <f>HYPERLINK("https://ceds.ed.gov/elementComment.aspx?elementName=Personnel Policy Type &amp;elementID=5842", "Click here to submit comment")</f>
        <v>Click here to submit comment</v>
      </c>
    </row>
    <row r="223" spans="1:16" ht="45">
      <c r="A223" s="6" t="s">
        <v>6715</v>
      </c>
      <c r="B223" s="6" t="s">
        <v>6747</v>
      </c>
      <c r="C223" s="6" t="s">
        <v>6757</v>
      </c>
      <c r="D223" s="6" t="s">
        <v>4852</v>
      </c>
      <c r="E223" s="6" t="s">
        <v>4853</v>
      </c>
      <c r="F223" s="6" t="s">
        <v>5963</v>
      </c>
      <c r="G223" s="6" t="s">
        <v>65</v>
      </c>
      <c r="H223" s="6"/>
      <c r="I223" s="6"/>
      <c r="J223" s="6"/>
      <c r="K223" s="6"/>
      <c r="L223" s="6" t="s">
        <v>4854</v>
      </c>
      <c r="M223" s="6"/>
      <c r="N223" s="6" t="s">
        <v>4855</v>
      </c>
      <c r="O223" s="6" t="str">
        <f>HYPERLINK("https://ceds.ed.gov/cedselementdetails.aspx?termid=5859")</f>
        <v>https://ceds.ed.gov/cedselementdetails.aspx?termid=5859</v>
      </c>
      <c r="P223" s="6" t="str">
        <f>HYPERLINK("https://ceds.ed.gov/elementComment.aspx?elementName=Program Transition Planning Policy &amp;elementID=5859", "Click here to submit comment")</f>
        <v>Click here to submit comment</v>
      </c>
    </row>
    <row r="224" spans="1:16" ht="45">
      <c r="A224" s="6" t="s">
        <v>6715</v>
      </c>
      <c r="B224" s="6" t="s">
        <v>6747</v>
      </c>
      <c r="C224" s="6" t="s">
        <v>6758</v>
      </c>
      <c r="D224" s="6" t="s">
        <v>4838</v>
      </c>
      <c r="E224" s="6" t="s">
        <v>4839</v>
      </c>
      <c r="F224" s="6" t="s">
        <v>5963</v>
      </c>
      <c r="G224" s="6" t="s">
        <v>65</v>
      </c>
      <c r="H224" s="6"/>
      <c r="I224" s="6"/>
      <c r="J224" s="6"/>
      <c r="K224" s="6"/>
      <c r="L224" s="6" t="s">
        <v>4841</v>
      </c>
      <c r="M224" s="6"/>
      <c r="N224" s="6" t="s">
        <v>4842</v>
      </c>
      <c r="O224" s="6" t="str">
        <f>HYPERLINK("https://ceds.ed.gov/cedselementdetails.aspx?termid=5845")</f>
        <v>https://ceds.ed.gov/cedselementdetails.aspx?termid=5845</v>
      </c>
      <c r="P224" s="6" t="str">
        <f>HYPERLINK("https://ceds.ed.gov/elementComment.aspx?elementName=Program Provides Translated Materials &amp;elementID=5845", "Click here to submit comment")</f>
        <v>Click here to submit comment</v>
      </c>
    </row>
    <row r="225" spans="1:16" ht="45">
      <c r="A225" s="6" t="s">
        <v>6715</v>
      </c>
      <c r="B225" s="6" t="s">
        <v>6747</v>
      </c>
      <c r="C225" s="6" t="s">
        <v>6758</v>
      </c>
      <c r="D225" s="6" t="s">
        <v>3415</v>
      </c>
      <c r="E225" s="6" t="s">
        <v>3416</v>
      </c>
      <c r="F225" s="6" t="s">
        <v>5963</v>
      </c>
      <c r="G225" s="6"/>
      <c r="H225" s="6"/>
      <c r="I225" s="6"/>
      <c r="J225" s="6"/>
      <c r="K225" s="6"/>
      <c r="L225" s="6" t="s">
        <v>3417</v>
      </c>
      <c r="M225" s="6"/>
      <c r="N225" s="6" t="s">
        <v>3418</v>
      </c>
      <c r="O225" s="6" t="str">
        <f>HYPERLINK("https://ceds.ed.gov/cedselementdetails.aspx?termid=6190")</f>
        <v>https://ceds.ed.gov/cedselementdetails.aspx?termid=6190</v>
      </c>
      <c r="P225" s="6" t="str">
        <f>HYPERLINK("https://ceds.ed.gov/elementComment.aspx?elementName=Language Translation Policy &amp;elementID=6190", "Click here to submit comment")</f>
        <v>Click here to submit comment</v>
      </c>
    </row>
    <row r="226" spans="1:16" ht="45">
      <c r="A226" s="6" t="s">
        <v>6715</v>
      </c>
      <c r="B226" s="6" t="s">
        <v>6747</v>
      </c>
      <c r="C226" s="6" t="s">
        <v>6759</v>
      </c>
      <c r="D226" s="6" t="s">
        <v>4317</v>
      </c>
      <c r="E226" s="6" t="s">
        <v>4318</v>
      </c>
      <c r="F226" s="6" t="s">
        <v>5963</v>
      </c>
      <c r="G226" s="6" t="s">
        <v>65</v>
      </c>
      <c r="H226" s="6"/>
      <c r="I226" s="6"/>
      <c r="J226" s="6"/>
      <c r="K226" s="6"/>
      <c r="L226" s="6" t="s">
        <v>4319</v>
      </c>
      <c r="M226" s="6"/>
      <c r="N226" s="6" t="s">
        <v>4320</v>
      </c>
      <c r="O226" s="6" t="str">
        <f>HYPERLINK("https://ceds.ed.gov/cedselementdetails.aspx?termid=5847")</f>
        <v>https://ceds.ed.gov/cedselementdetails.aspx?termid=5847</v>
      </c>
      <c r="P226" s="6" t="str">
        <f>HYPERLINK("https://ceds.ed.gov/elementComment.aspx?elementName=Ongoing Health Screening Policy &amp;elementID=5847", "Click here to submit comment")</f>
        <v>Click here to submit comment</v>
      </c>
    </row>
    <row r="227" spans="1:16" ht="60">
      <c r="A227" s="6" t="s">
        <v>6715</v>
      </c>
      <c r="B227" s="6" t="s">
        <v>6747</v>
      </c>
      <c r="C227" s="6" t="s">
        <v>6759</v>
      </c>
      <c r="D227" s="6" t="s">
        <v>2385</v>
      </c>
      <c r="E227" s="6" t="s">
        <v>2386</v>
      </c>
      <c r="F227" s="6" t="s">
        <v>5963</v>
      </c>
      <c r="G227" s="6" t="s">
        <v>65</v>
      </c>
      <c r="H227" s="6"/>
      <c r="I227" s="6"/>
      <c r="J227" s="6"/>
      <c r="K227" s="6"/>
      <c r="L227" s="6" t="s">
        <v>2388</v>
      </c>
      <c r="M227" s="6"/>
      <c r="N227" s="6" t="s">
        <v>2389</v>
      </c>
      <c r="O227" s="6" t="str">
        <f>HYPERLINK("https://ceds.ed.gov/cedselementdetails.aspx?termid=5848")</f>
        <v>https://ceds.ed.gov/cedselementdetails.aspx?termid=5848</v>
      </c>
      <c r="P227" s="6" t="str">
        <f>HYPERLINK("https://ceds.ed.gov/elementComment.aspx?elementName=Early Learning Program Developmental Screening Status &amp;elementID=5848", "Click here to submit comment")</f>
        <v>Click here to submit comment</v>
      </c>
    </row>
    <row r="228" spans="1:16" ht="60">
      <c r="A228" s="6" t="s">
        <v>6715</v>
      </c>
      <c r="B228" s="6" t="s">
        <v>6747</v>
      </c>
      <c r="C228" s="6" t="s">
        <v>6759</v>
      </c>
      <c r="D228" s="6" t="s">
        <v>3088</v>
      </c>
      <c r="E228" s="6" t="s">
        <v>3089</v>
      </c>
      <c r="F228" s="6" t="s">
        <v>5963</v>
      </c>
      <c r="G228" s="6" t="s">
        <v>65</v>
      </c>
      <c r="H228" s="6"/>
      <c r="I228" s="6"/>
      <c r="J228" s="6"/>
      <c r="K228" s="6"/>
      <c r="L228" s="6" t="s">
        <v>3090</v>
      </c>
      <c r="M228" s="6"/>
      <c r="N228" s="6" t="s">
        <v>3091</v>
      </c>
      <c r="O228" s="6" t="str">
        <f>HYPERLINK("https://ceds.ed.gov/cedselementdetails.aspx?termid=5849")</f>
        <v>https://ceds.ed.gov/cedselementdetails.aspx?termid=5849</v>
      </c>
      <c r="P228" s="6" t="str">
        <f>HYPERLINK("https://ceds.ed.gov/elementComment.aspx?elementName=Immunization Policy &amp;elementID=5849", "Click here to submit comment")</f>
        <v>Click here to submit comment</v>
      </c>
    </row>
    <row r="229" spans="1:16" ht="45">
      <c r="A229" s="6" t="s">
        <v>6715</v>
      </c>
      <c r="B229" s="6" t="s">
        <v>6747</v>
      </c>
      <c r="C229" s="6" t="s">
        <v>6759</v>
      </c>
      <c r="D229" s="6" t="s">
        <v>5001</v>
      </c>
      <c r="E229" s="6" t="s">
        <v>5002</v>
      </c>
      <c r="F229" s="6" t="s">
        <v>5963</v>
      </c>
      <c r="G229" s="6" t="s">
        <v>65</v>
      </c>
      <c r="H229" s="6"/>
      <c r="I229" s="6"/>
      <c r="J229" s="6"/>
      <c r="K229" s="6"/>
      <c r="L229" s="6" t="s">
        <v>5003</v>
      </c>
      <c r="M229" s="6"/>
      <c r="N229" s="6" t="s">
        <v>5004</v>
      </c>
      <c r="O229" s="6" t="str">
        <f>HYPERLINK("https://ceds.ed.gov/cedselementdetails.aspx?termid=5850")</f>
        <v>https://ceds.ed.gov/cedselementdetails.aspx?termid=5850</v>
      </c>
      <c r="P229" s="6" t="str">
        <f>HYPERLINK("https://ceds.ed.gov/elementComment.aspx?elementName=Referral Policy &amp;elementID=5850", "Click here to submit comment")</f>
        <v>Click here to submit comment</v>
      </c>
    </row>
    <row r="230" spans="1:16" ht="409.5">
      <c r="A230" s="6" t="s">
        <v>6715</v>
      </c>
      <c r="B230" s="6" t="s">
        <v>6747</v>
      </c>
      <c r="C230" s="6" t="s">
        <v>6759</v>
      </c>
      <c r="D230" s="6" t="s">
        <v>5033</v>
      </c>
      <c r="E230" s="6" t="s">
        <v>5034</v>
      </c>
      <c r="F230" s="7" t="s">
        <v>6540</v>
      </c>
      <c r="G230" s="6" t="s">
        <v>2158</v>
      </c>
      <c r="H230" s="6"/>
      <c r="I230" s="6"/>
      <c r="J230" s="6"/>
      <c r="K230" s="6"/>
      <c r="L230" s="6" t="s">
        <v>5035</v>
      </c>
      <c r="M230" s="6"/>
      <c r="N230" s="6" t="s">
        <v>5036</v>
      </c>
      <c r="O230" s="6" t="str">
        <f>HYPERLINK("https://ceds.ed.gov/cedselementdetails.aspx?termid=5307")</f>
        <v>https://ceds.ed.gov/cedselementdetails.aspx?termid=5307</v>
      </c>
      <c r="P230" s="6" t="str">
        <f>HYPERLINK("https://ceds.ed.gov/elementComment.aspx?elementName=Required Immunization &amp;elementID=5307", "Click here to submit comment")</f>
        <v>Click here to submit comment</v>
      </c>
    </row>
    <row r="231" spans="1:16" ht="75">
      <c r="A231" s="6" t="s">
        <v>6715</v>
      </c>
      <c r="B231" s="6" t="s">
        <v>6747</v>
      </c>
      <c r="C231" s="6" t="s">
        <v>6760</v>
      </c>
      <c r="D231" s="6" t="s">
        <v>5438</v>
      </c>
      <c r="E231" s="6" t="s">
        <v>5439</v>
      </c>
      <c r="F231" s="6" t="s">
        <v>5963</v>
      </c>
      <c r="G231" s="6" t="s">
        <v>65</v>
      </c>
      <c r="H231" s="6"/>
      <c r="I231" s="6"/>
      <c r="J231" s="6"/>
      <c r="K231" s="6"/>
      <c r="L231" s="6" t="s">
        <v>5441</v>
      </c>
      <c r="M231" s="6"/>
      <c r="N231" s="6" t="s">
        <v>5442</v>
      </c>
      <c r="O231" s="6" t="str">
        <f>HYPERLINK("https://ceds.ed.gov/cedselementdetails.aspx?termid=6004")</f>
        <v>https://ceds.ed.gov/cedselementdetails.aspx?termid=6004</v>
      </c>
      <c r="P231" s="6" t="str">
        <f>HYPERLINK("https://ceds.ed.gov/elementComment.aspx?elementName=Special Needs Policy &amp;elementID=6004", "Click here to submit comment")</f>
        <v>Click here to submit comment</v>
      </c>
    </row>
    <row r="232" spans="1:16" ht="270">
      <c r="A232" s="6" t="s">
        <v>6715</v>
      </c>
      <c r="B232" s="6" t="s">
        <v>6747</v>
      </c>
      <c r="C232" s="6" t="s">
        <v>6761</v>
      </c>
      <c r="D232" s="6" t="s">
        <v>2302</v>
      </c>
      <c r="E232" s="6" t="s">
        <v>2303</v>
      </c>
      <c r="F232" s="7" t="s">
        <v>6471</v>
      </c>
      <c r="G232" s="6" t="s">
        <v>65</v>
      </c>
      <c r="H232" s="6" t="s">
        <v>66</v>
      </c>
      <c r="I232" s="6"/>
      <c r="J232" s="6" t="s">
        <v>2304</v>
      </c>
      <c r="K232" s="6"/>
      <c r="L232" s="6" t="s">
        <v>2305</v>
      </c>
      <c r="M232" s="6"/>
      <c r="N232" s="6" t="s">
        <v>2306</v>
      </c>
      <c r="O232" s="6" t="str">
        <f>HYPERLINK("https://ceds.ed.gov/cedselementdetails.aspx?termid=5829")</f>
        <v>https://ceds.ed.gov/cedselementdetails.aspx?termid=5829</v>
      </c>
      <c r="P232" s="6" t="str">
        <f>HYPERLINK("https://ceds.ed.gov/elementComment.aspx?elementName=Early Childhood Program Type &amp;elementID=5829", "Click here to submit comment")</f>
        <v>Click here to submit comment</v>
      </c>
    </row>
    <row r="233" spans="1:16" ht="30">
      <c r="A233" s="6" t="s">
        <v>6715</v>
      </c>
      <c r="B233" s="6" t="s">
        <v>6747</v>
      </c>
      <c r="C233" s="6" t="s">
        <v>6761</v>
      </c>
      <c r="D233" s="6" t="s">
        <v>2420</v>
      </c>
      <c r="E233" s="6" t="s">
        <v>2421</v>
      </c>
      <c r="F233" s="6" t="s">
        <v>13</v>
      </c>
      <c r="G233" s="6" t="s">
        <v>6097</v>
      </c>
      <c r="H233" s="6"/>
      <c r="I233" s="6" t="s">
        <v>1736</v>
      </c>
      <c r="J233" s="6"/>
      <c r="K233" s="6"/>
      <c r="L233" s="6" t="s">
        <v>2422</v>
      </c>
      <c r="M233" s="6"/>
      <c r="N233" s="6" t="s">
        <v>2423</v>
      </c>
      <c r="O233" s="6" t="str">
        <f>HYPERLINK("https://ceds.ed.gov/cedselementdetails.aspx?termid=5864")</f>
        <v>https://ceds.ed.gov/cedselementdetails.aspx?termid=5864</v>
      </c>
      <c r="P233" s="6" t="str">
        <f>HYPERLINK("https://ceds.ed.gov/elementComment.aspx?elementName=Early Learning Program Year &amp;elementID=5864", "Click here to submit comment")</f>
        <v>Click here to submit comment</v>
      </c>
    </row>
    <row r="234" spans="1:16" ht="30">
      <c r="A234" s="6" t="s">
        <v>6715</v>
      </c>
      <c r="B234" s="6" t="s">
        <v>6747</v>
      </c>
      <c r="C234" s="6" t="s">
        <v>6761</v>
      </c>
      <c r="D234" s="6" t="s">
        <v>5345</v>
      </c>
      <c r="E234" s="6" t="s">
        <v>5346</v>
      </c>
      <c r="F234" s="6" t="s">
        <v>13</v>
      </c>
      <c r="G234" s="6" t="s">
        <v>6097</v>
      </c>
      <c r="H234" s="6"/>
      <c r="I234" s="6" t="s">
        <v>426</v>
      </c>
      <c r="J234" s="6"/>
      <c r="K234" s="6"/>
      <c r="L234" s="6" t="s">
        <v>5347</v>
      </c>
      <c r="M234" s="6"/>
      <c r="N234" s="6" t="s">
        <v>5348</v>
      </c>
      <c r="O234" s="6" t="str">
        <f>HYPERLINK("https://ceds.ed.gov/cedselementdetails.aspx?termid=5986")</f>
        <v>https://ceds.ed.gov/cedselementdetails.aspx?termid=5986</v>
      </c>
      <c r="P234" s="6" t="str">
        <f>HYPERLINK("https://ceds.ed.gov/elementComment.aspx?elementName=Session Start Time &amp;elementID=5986", "Click here to submit comment")</f>
        <v>Click here to submit comment</v>
      </c>
    </row>
    <row r="235" spans="1:16" ht="30">
      <c r="A235" s="6" t="s">
        <v>6715</v>
      </c>
      <c r="B235" s="6" t="s">
        <v>6747</v>
      </c>
      <c r="C235" s="6" t="s">
        <v>6761</v>
      </c>
      <c r="D235" s="6" t="s">
        <v>5333</v>
      </c>
      <c r="E235" s="6" t="s">
        <v>5334</v>
      </c>
      <c r="F235" s="6" t="s">
        <v>13</v>
      </c>
      <c r="G235" s="6" t="s">
        <v>6097</v>
      </c>
      <c r="H235" s="6"/>
      <c r="I235" s="6" t="s">
        <v>426</v>
      </c>
      <c r="J235" s="6"/>
      <c r="K235" s="6"/>
      <c r="L235" s="6" t="s">
        <v>5335</v>
      </c>
      <c r="M235" s="6"/>
      <c r="N235" s="6" t="s">
        <v>5336</v>
      </c>
      <c r="O235" s="6" t="str">
        <f>HYPERLINK("https://ceds.ed.gov/cedselementdetails.aspx?termid=5988")</f>
        <v>https://ceds.ed.gov/cedselementdetails.aspx?termid=5988</v>
      </c>
      <c r="P235" s="6" t="str">
        <f>HYPERLINK("https://ceds.ed.gov/elementComment.aspx?elementName=Session End Time &amp;elementID=5988", "Click here to submit comment")</f>
        <v>Click here to submit comment</v>
      </c>
    </row>
    <row r="236" spans="1:16" ht="409.5">
      <c r="A236" s="6" t="s">
        <v>6715</v>
      </c>
      <c r="B236" s="6" t="s">
        <v>6747</v>
      </c>
      <c r="C236" s="6" t="s">
        <v>6761</v>
      </c>
      <c r="D236" s="6" t="s">
        <v>2811</v>
      </c>
      <c r="E236" s="6" t="s">
        <v>2812</v>
      </c>
      <c r="F236" s="7" t="s">
        <v>6518</v>
      </c>
      <c r="G236" s="6" t="s">
        <v>6145</v>
      </c>
      <c r="H236" s="6"/>
      <c r="I236" s="6"/>
      <c r="J236" s="6"/>
      <c r="K236" s="6"/>
      <c r="L236" s="6" t="s">
        <v>2813</v>
      </c>
      <c r="M236" s="6"/>
      <c r="N236" s="6" t="s">
        <v>2814</v>
      </c>
      <c r="O236" s="6" t="str">
        <f>HYPERLINK("https://ceds.ed.gov/cedselementdetails.aspx?termid=5866")</f>
        <v>https://ceds.ed.gov/cedselementdetails.aspx?termid=5866</v>
      </c>
      <c r="P236" s="6" t="str">
        <f>HYPERLINK("https://ceds.ed.gov/elementComment.aspx?elementName=Full-Time Employee Benefits &amp;elementID=5866", "Click here to submit comment")</f>
        <v>Click here to submit comment</v>
      </c>
    </row>
    <row r="237" spans="1:16" ht="409.5">
      <c r="A237" s="6" t="s">
        <v>6715</v>
      </c>
      <c r="B237" s="6" t="s">
        <v>6747</v>
      </c>
      <c r="C237" s="6" t="s">
        <v>6761</v>
      </c>
      <c r="D237" s="6" t="s">
        <v>4419</v>
      </c>
      <c r="E237" s="6" t="s">
        <v>4420</v>
      </c>
      <c r="F237" s="7" t="s">
        <v>6518</v>
      </c>
      <c r="G237" s="6" t="s">
        <v>6145</v>
      </c>
      <c r="H237" s="6"/>
      <c r="I237" s="6"/>
      <c r="J237" s="6"/>
      <c r="K237" s="6"/>
      <c r="L237" s="6" t="s">
        <v>4421</v>
      </c>
      <c r="M237" s="6"/>
      <c r="N237" s="6" t="s">
        <v>4422</v>
      </c>
      <c r="O237" s="6" t="str">
        <f>HYPERLINK("https://ceds.ed.gov/cedselementdetails.aspx?termid=5867")</f>
        <v>https://ceds.ed.gov/cedselementdetails.aspx?termid=5867</v>
      </c>
      <c r="P237" s="6" t="str">
        <f>HYPERLINK("https://ceds.ed.gov/elementComment.aspx?elementName=Part-Time Employee Benefits &amp;elementID=5867", "Click here to submit comment")</f>
        <v>Click here to submit comment</v>
      </c>
    </row>
    <row r="238" spans="1:16" ht="60">
      <c r="A238" s="6" t="s">
        <v>6715</v>
      </c>
      <c r="B238" s="6" t="s">
        <v>6747</v>
      </c>
      <c r="C238" s="6" t="s">
        <v>6761</v>
      </c>
      <c r="D238" s="6" t="s">
        <v>2184</v>
      </c>
      <c r="E238" s="6" t="s">
        <v>2185</v>
      </c>
      <c r="F238" s="7" t="s">
        <v>6371</v>
      </c>
      <c r="G238" s="6" t="s">
        <v>202</v>
      </c>
      <c r="H238" s="6"/>
      <c r="I238" s="6"/>
      <c r="J238" s="6"/>
      <c r="K238" s="6"/>
      <c r="L238" s="6" t="s">
        <v>2187</v>
      </c>
      <c r="M238" s="6"/>
      <c r="N238" s="6" t="s">
        <v>2188</v>
      </c>
      <c r="O238" s="6" t="str">
        <f>HYPERLINK("https://ceds.ed.gov/cedselementdetails.aspx?termid=5868")</f>
        <v>https://ceds.ed.gov/cedselementdetails.aspx?termid=5868</v>
      </c>
      <c r="P238" s="6" t="str">
        <f>HYPERLINK("https://ceds.ed.gov/elementComment.aspx?elementName=Differential Shift Pay Indicator &amp;elementID=5868", "Click here to submit comment")</f>
        <v>Click here to submit comment</v>
      </c>
    </row>
    <row r="239" spans="1:16" ht="45">
      <c r="A239" s="6" t="s">
        <v>6715</v>
      </c>
      <c r="B239" s="6" t="s">
        <v>6747</v>
      </c>
      <c r="C239" s="6" t="s">
        <v>6761</v>
      </c>
      <c r="D239" s="6" t="s">
        <v>2380</v>
      </c>
      <c r="E239" s="6" t="s">
        <v>2381</v>
      </c>
      <c r="F239" s="6" t="s">
        <v>13</v>
      </c>
      <c r="G239" s="6" t="s">
        <v>6097</v>
      </c>
      <c r="H239" s="6"/>
      <c r="I239" s="6" t="s">
        <v>2382</v>
      </c>
      <c r="J239" s="6"/>
      <c r="K239" s="6"/>
      <c r="L239" s="6" t="s">
        <v>2383</v>
      </c>
      <c r="M239" s="6"/>
      <c r="N239" s="6" t="s">
        <v>2384</v>
      </c>
      <c r="O239" s="6" t="str">
        <f>HYPERLINK("https://ceds.ed.gov/cedselementdetails.aspx?termid=5824")</f>
        <v>https://ceds.ed.gov/cedselementdetails.aspx?termid=5824</v>
      </c>
      <c r="P239" s="6" t="str">
        <f>HYPERLINK("https://ceds.ed.gov/elementComment.aspx?elementName=Early Learning Program Annual Operating Weeks &amp;elementID=5824", "Click here to submit comment")</f>
        <v>Click here to submit comment</v>
      </c>
    </row>
    <row r="240" spans="1:16" ht="45">
      <c r="A240" s="6" t="s">
        <v>6715</v>
      </c>
      <c r="B240" s="6" t="s">
        <v>6747</v>
      </c>
      <c r="C240" s="6" t="s">
        <v>6762</v>
      </c>
      <c r="D240" s="6" t="s">
        <v>4843</v>
      </c>
      <c r="E240" s="6" t="s">
        <v>4844</v>
      </c>
      <c r="F240" s="6" t="s">
        <v>5963</v>
      </c>
      <c r="G240" s="6" t="s">
        <v>65</v>
      </c>
      <c r="H240" s="6"/>
      <c r="I240" s="6"/>
      <c r="J240" s="6"/>
      <c r="K240" s="6"/>
      <c r="L240" s="6" t="s">
        <v>4845</v>
      </c>
      <c r="M240" s="6"/>
      <c r="N240" s="6" t="s">
        <v>4846</v>
      </c>
      <c r="O240" s="6" t="str">
        <f>HYPERLINK("https://ceds.ed.gov/cedselementdetails.aspx?termid=5853")</f>
        <v>https://ceds.ed.gov/cedselementdetails.aspx?termid=5853</v>
      </c>
      <c r="P240" s="6" t="str">
        <f>HYPERLINK("https://ceds.ed.gov/elementComment.aspx?elementName=Program Provides Written Handbook &amp;elementID=5853", "Click here to submit comment")</f>
        <v>Click here to submit comment</v>
      </c>
    </row>
    <row r="241" spans="1:16" ht="60">
      <c r="A241" s="6" t="s">
        <v>6715</v>
      </c>
      <c r="B241" s="6" t="s">
        <v>6747</v>
      </c>
      <c r="C241" s="6" t="s">
        <v>6762</v>
      </c>
      <c r="D241" s="6" t="s">
        <v>4779</v>
      </c>
      <c r="E241" s="6" t="s">
        <v>4780</v>
      </c>
      <c r="F241" s="6" t="s">
        <v>5963</v>
      </c>
      <c r="G241" s="6" t="s">
        <v>6295</v>
      </c>
      <c r="H241" s="6"/>
      <c r="I241" s="6"/>
      <c r="J241" s="6"/>
      <c r="K241" s="6"/>
      <c r="L241" s="6" t="s">
        <v>4781</v>
      </c>
      <c r="M241" s="6"/>
      <c r="N241" s="6" t="s">
        <v>4782</v>
      </c>
      <c r="O241" s="6" t="str">
        <f>HYPERLINK("https://ceds.ed.gov/cedselementdetails.aspx?termid=5854")</f>
        <v>https://ceds.ed.gov/cedselementdetails.aspx?termid=5854</v>
      </c>
      <c r="P241" s="6" t="str">
        <f>HYPERLINK("https://ceds.ed.gov/elementComment.aspx?elementName=Program Collects Parental Feedback &amp;elementID=5854", "Click here to submit comment")</f>
        <v>Click here to submit comment</v>
      </c>
    </row>
    <row r="242" spans="1:16" ht="60">
      <c r="A242" s="6" t="s">
        <v>6715</v>
      </c>
      <c r="B242" s="6" t="s">
        <v>6747</v>
      </c>
      <c r="C242" s="6" t="s">
        <v>6762</v>
      </c>
      <c r="D242" s="6" t="s">
        <v>4834</v>
      </c>
      <c r="E242" s="6" t="s">
        <v>4835</v>
      </c>
      <c r="F242" s="6" t="s">
        <v>5963</v>
      </c>
      <c r="G242" s="6" t="s">
        <v>65</v>
      </c>
      <c r="H242" s="6"/>
      <c r="I242" s="6"/>
      <c r="J242" s="6"/>
      <c r="K242" s="6"/>
      <c r="L242" s="6" t="s">
        <v>4836</v>
      </c>
      <c r="M242" s="6"/>
      <c r="N242" s="6" t="s">
        <v>4837</v>
      </c>
      <c r="O242" s="6" t="str">
        <f>HYPERLINK("https://ceds.ed.gov/cedselementdetails.aspx?termid=5855")</f>
        <v>https://ceds.ed.gov/cedselementdetails.aspx?termid=5855</v>
      </c>
      <c r="P242" s="6" t="str">
        <f>HYPERLINK("https://ceds.ed.gov/elementComment.aspx?elementName=Program Provides Parent Involvement Opportunity &amp;elementID=5855", "Click here to submit comment")</f>
        <v>Click here to submit comment</v>
      </c>
    </row>
    <row r="243" spans="1:16" ht="45">
      <c r="A243" s="6" t="s">
        <v>6715</v>
      </c>
      <c r="B243" s="6" t="s">
        <v>6747</v>
      </c>
      <c r="C243" s="6" t="s">
        <v>6762</v>
      </c>
      <c r="D243" s="6" t="s">
        <v>4830</v>
      </c>
      <c r="E243" s="6" t="s">
        <v>4831</v>
      </c>
      <c r="F243" s="6" t="s">
        <v>5963</v>
      </c>
      <c r="G243" s="6" t="s">
        <v>65</v>
      </c>
      <c r="H243" s="6"/>
      <c r="I243" s="6"/>
      <c r="J243" s="6"/>
      <c r="K243" s="6"/>
      <c r="L243" s="6" t="s">
        <v>4832</v>
      </c>
      <c r="M243" s="6"/>
      <c r="N243" s="6" t="s">
        <v>4833</v>
      </c>
      <c r="O243" s="6" t="str">
        <f>HYPERLINK("https://ceds.ed.gov/cedselementdetails.aspx?termid=5856")</f>
        <v>https://ceds.ed.gov/cedselementdetails.aspx?termid=5856</v>
      </c>
      <c r="P243" s="6" t="str">
        <f>HYPERLINK("https://ceds.ed.gov/elementComment.aspx?elementName=Program Provides Parent Education &amp;elementID=5856", "Click here to submit comment")</f>
        <v>Click here to submit comment</v>
      </c>
    </row>
    <row r="244" spans="1:16" ht="165">
      <c r="A244" s="6" t="s">
        <v>6715</v>
      </c>
      <c r="B244" s="6" t="s">
        <v>6747</v>
      </c>
      <c r="C244" s="6" t="s">
        <v>6762</v>
      </c>
      <c r="D244" s="6" t="s">
        <v>4415</v>
      </c>
      <c r="E244" s="6" t="s">
        <v>4416</v>
      </c>
      <c r="F244" s="7" t="s">
        <v>6595</v>
      </c>
      <c r="G244" s="6" t="s">
        <v>65</v>
      </c>
      <c r="H244" s="6"/>
      <c r="I244" s="6"/>
      <c r="J244" s="6"/>
      <c r="K244" s="6"/>
      <c r="L244" s="6" t="s">
        <v>4417</v>
      </c>
      <c r="M244" s="6"/>
      <c r="N244" s="6" t="s">
        <v>4418</v>
      </c>
      <c r="O244" s="6" t="str">
        <f>HYPERLINK("https://ceds.ed.gov/cedselementdetails.aspx?termid=5857")</f>
        <v>https://ceds.ed.gov/cedselementdetails.aspx?termid=5857</v>
      </c>
      <c r="P244" s="6" t="str">
        <f>HYPERLINK("https://ceds.ed.gov/elementComment.aspx?elementName=Parent Communication Method &amp;elementID=5857", "Click here to submit comment")</f>
        <v>Click here to submit comment</v>
      </c>
    </row>
    <row r="245" spans="1:16" ht="45">
      <c r="A245" s="6" t="s">
        <v>6715</v>
      </c>
      <c r="B245" s="6" t="s">
        <v>6747</v>
      </c>
      <c r="C245" s="6" t="s">
        <v>6762</v>
      </c>
      <c r="D245" s="6" t="s">
        <v>1285</v>
      </c>
      <c r="E245" s="6" t="s">
        <v>1286</v>
      </c>
      <c r="F245" s="6" t="s">
        <v>5963</v>
      </c>
      <c r="G245" s="6" t="s">
        <v>65</v>
      </c>
      <c r="H245" s="6"/>
      <c r="I245" s="6"/>
      <c r="J245" s="6"/>
      <c r="K245" s="6"/>
      <c r="L245" s="6" t="s">
        <v>1288</v>
      </c>
      <c r="M245" s="6"/>
      <c r="N245" s="6" t="s">
        <v>1289</v>
      </c>
      <c r="O245" s="6" t="str">
        <f>HYPERLINK("https://ceds.ed.gov/cedselementdetails.aspx?termid=5858")</f>
        <v>https://ceds.ed.gov/cedselementdetails.aspx?termid=5858</v>
      </c>
      <c r="P245" s="6" t="str">
        <f>HYPERLINK("https://ceds.ed.gov/elementComment.aspx?elementName=Assessment Shared With Parents &amp;elementID=5858", "Click here to submit comment")</f>
        <v>Click here to submit comment</v>
      </c>
    </row>
    <row r="246" spans="1:16" ht="45">
      <c r="A246" s="6" t="s">
        <v>6715</v>
      </c>
      <c r="B246" s="6" t="s">
        <v>6747</v>
      </c>
      <c r="C246" s="6" t="s">
        <v>6763</v>
      </c>
      <c r="D246" s="6" t="s">
        <v>4783</v>
      </c>
      <c r="E246" s="6" t="s">
        <v>4784</v>
      </c>
      <c r="F246" s="6" t="s">
        <v>5963</v>
      </c>
      <c r="G246" s="6" t="s">
        <v>6145</v>
      </c>
      <c r="H246" s="6"/>
      <c r="I246" s="6"/>
      <c r="J246" s="6"/>
      <c r="K246" s="6"/>
      <c r="L246" s="6" t="s">
        <v>4786</v>
      </c>
      <c r="M246" s="6"/>
      <c r="N246" s="6" t="s">
        <v>4787</v>
      </c>
      <c r="O246" s="6" t="str">
        <f>HYPERLINK("https://ceds.ed.gov/cedselementdetails.aspx?termid=5863")</f>
        <v>https://ceds.ed.gov/cedselementdetails.aspx?termid=5863</v>
      </c>
      <c r="P246" s="6" t="str">
        <f>HYPERLINK("https://ceds.ed.gov/elementComment.aspx?elementName=Program Follows Salary Scale &amp;elementID=5863", "Click here to submit comment")</f>
        <v>Click here to submit comment</v>
      </c>
    </row>
    <row r="247" spans="1:16" ht="60">
      <c r="A247" s="6" t="s">
        <v>6715</v>
      </c>
      <c r="B247" s="6" t="s">
        <v>6747</v>
      </c>
      <c r="C247" s="6" t="s">
        <v>6764</v>
      </c>
      <c r="D247" s="6" t="s">
        <v>5707</v>
      </c>
      <c r="E247" s="6" t="s">
        <v>5708</v>
      </c>
      <c r="F247" s="6" t="s">
        <v>5963</v>
      </c>
      <c r="G247" s="6"/>
      <c r="H247" s="6" t="s">
        <v>54</v>
      </c>
      <c r="I247" s="6"/>
      <c r="J247" s="6"/>
      <c r="K247" s="6"/>
      <c r="L247" s="6" t="s">
        <v>5709</v>
      </c>
      <c r="M247" s="6"/>
      <c r="N247" s="6" t="s">
        <v>5710</v>
      </c>
      <c r="O247" s="6" t="str">
        <f>HYPERLINK("https://ceds.ed.gov/cedselementdetails.aspx?termid=6465")</f>
        <v>https://ceds.ed.gov/cedselementdetails.aspx?termid=6465</v>
      </c>
      <c r="P247" s="6" t="str">
        <f>HYPERLINK("https://ceds.ed.gov/elementComment.aspx?elementName=Technical Assistance Approved Indicator &amp;elementID=6465", "Click here to submit comment")</f>
        <v>Click here to submit comment</v>
      </c>
    </row>
    <row r="248" spans="1:16" ht="90">
      <c r="A248" s="6" t="s">
        <v>6715</v>
      </c>
      <c r="B248" s="6" t="s">
        <v>6747</v>
      </c>
      <c r="C248" s="6" t="s">
        <v>6764</v>
      </c>
      <c r="D248" s="6" t="s">
        <v>5711</v>
      </c>
      <c r="E248" s="6" t="s">
        <v>5712</v>
      </c>
      <c r="F248" s="7" t="s">
        <v>6616</v>
      </c>
      <c r="G248" s="6"/>
      <c r="H248" s="6" t="s">
        <v>54</v>
      </c>
      <c r="I248" s="6"/>
      <c r="J248" s="6"/>
      <c r="K248" s="6"/>
      <c r="L248" s="6" t="s">
        <v>5713</v>
      </c>
      <c r="M248" s="6"/>
      <c r="N248" s="6" t="s">
        <v>5714</v>
      </c>
      <c r="O248" s="6" t="str">
        <f>HYPERLINK("https://ceds.ed.gov/cedselementdetails.aspx?termid=6466")</f>
        <v>https://ceds.ed.gov/cedselementdetails.aspx?termid=6466</v>
      </c>
      <c r="P248" s="6" t="str">
        <f>HYPERLINK("https://ceds.ed.gov/elementComment.aspx?elementName=Technical Assistance Delivery Type &amp;elementID=6466", "Click here to submit comment")</f>
        <v>Click here to submit comment</v>
      </c>
    </row>
    <row r="249" spans="1:16" ht="409.5">
      <c r="A249" s="6" t="s">
        <v>6715</v>
      </c>
      <c r="B249" s="6" t="s">
        <v>6747</v>
      </c>
      <c r="C249" s="6" t="s">
        <v>6764</v>
      </c>
      <c r="D249" s="6" t="s">
        <v>5715</v>
      </c>
      <c r="E249" s="6" t="s">
        <v>5716</v>
      </c>
      <c r="F249" s="7" t="s">
        <v>6673</v>
      </c>
      <c r="G249" s="6"/>
      <c r="H249" s="6" t="s">
        <v>54</v>
      </c>
      <c r="I249" s="6"/>
      <c r="J249" s="6"/>
      <c r="K249" s="6"/>
      <c r="L249" s="6" t="s">
        <v>5717</v>
      </c>
      <c r="M249" s="6"/>
      <c r="N249" s="6" t="s">
        <v>5718</v>
      </c>
      <c r="O249" s="6" t="str">
        <f>HYPERLINK("https://ceds.ed.gov/cedselementdetails.aspx?termid=6467")</f>
        <v>https://ceds.ed.gov/cedselementdetails.aspx?termid=6467</v>
      </c>
      <c r="P249" s="6" t="str">
        <f>HYPERLINK("https://ceds.ed.gov/elementComment.aspx?elementName=Technical Assistance Type &amp;elementID=6467", "Click here to submit comment")</f>
        <v>Click here to submit comment</v>
      </c>
    </row>
    <row r="250" spans="1:16" ht="30">
      <c r="A250" s="6" t="s">
        <v>6715</v>
      </c>
      <c r="B250" s="6" t="s">
        <v>6747</v>
      </c>
      <c r="C250" s="6" t="s">
        <v>6765</v>
      </c>
      <c r="D250" s="6" t="s">
        <v>5374</v>
      </c>
      <c r="E250" s="6" t="s">
        <v>5375</v>
      </c>
      <c r="F250" s="6" t="s">
        <v>13</v>
      </c>
      <c r="G250" s="6" t="s">
        <v>6104</v>
      </c>
      <c r="H250" s="6"/>
      <c r="I250" s="6" t="s">
        <v>106</v>
      </c>
      <c r="J250" s="6"/>
      <c r="K250" s="6"/>
      <c r="L250" s="6" t="s">
        <v>5377</v>
      </c>
      <c r="M250" s="6"/>
      <c r="N250" s="6" t="s">
        <v>5378</v>
      </c>
      <c r="O250" s="6" t="str">
        <f>HYPERLINK("https://ceds.ed.gov/cedselementdetails.aspx?termid=5625")</f>
        <v>https://ceds.ed.gov/cedselementdetails.aspx?termid=5625</v>
      </c>
      <c r="P250" s="6" t="str">
        <f>HYPERLINK("https://ceds.ed.gov/elementComment.aspx?elementName=Site Name &amp;elementID=5625", "Click here to submit comment")</f>
        <v>Click here to submit comment</v>
      </c>
    </row>
    <row r="251" spans="1:16" ht="409.5">
      <c r="A251" s="6" t="s">
        <v>6715</v>
      </c>
      <c r="B251" s="6" t="s">
        <v>6747</v>
      </c>
      <c r="C251" s="6" t="s">
        <v>6766</v>
      </c>
      <c r="D251" s="6" t="s">
        <v>4856</v>
      </c>
      <c r="E251" s="6" t="s">
        <v>4857</v>
      </c>
      <c r="F251" s="7" t="s">
        <v>6626</v>
      </c>
      <c r="G251" s="6" t="s">
        <v>5968</v>
      </c>
      <c r="H251" s="6" t="s">
        <v>66</v>
      </c>
      <c r="I251" s="6"/>
      <c r="J251" s="6" t="s">
        <v>4858</v>
      </c>
      <c r="K251" s="6"/>
      <c r="L251" s="6" t="s">
        <v>4859</v>
      </c>
      <c r="M251" s="6"/>
      <c r="N251" s="6" t="s">
        <v>4860</v>
      </c>
      <c r="O251" s="6" t="str">
        <f>HYPERLINK("https://ceds.ed.gov/cedselementdetails.aspx?termid=5225")</f>
        <v>https://ceds.ed.gov/cedselementdetails.aspx?termid=5225</v>
      </c>
      <c r="P251" s="6" t="str">
        <f>HYPERLINK("https://ceds.ed.gov/elementComment.aspx?elementName=Program Type &amp;elementID=5225", "Click here to submit comment")</f>
        <v>Click here to submit comment</v>
      </c>
    </row>
    <row r="252" spans="1:16" ht="30">
      <c r="A252" s="6" t="s">
        <v>6715</v>
      </c>
      <c r="B252" s="6" t="s">
        <v>6747</v>
      </c>
      <c r="C252" s="6" t="s">
        <v>6767</v>
      </c>
      <c r="D252" s="6" t="s">
        <v>4915</v>
      </c>
      <c r="E252" s="6" t="s">
        <v>4916</v>
      </c>
      <c r="F252" s="6" t="s">
        <v>13</v>
      </c>
      <c r="G252" s="6"/>
      <c r="H252" s="6" t="s">
        <v>54</v>
      </c>
      <c r="I252" s="6" t="s">
        <v>100</v>
      </c>
      <c r="J252" s="6"/>
      <c r="K252" s="6"/>
      <c r="L252" s="6" t="s">
        <v>4918</v>
      </c>
      <c r="M252" s="6"/>
      <c r="N252" s="6" t="s">
        <v>4919</v>
      </c>
      <c r="O252" s="6" t="str">
        <f>HYPERLINK("https://ceds.ed.gov/cedselementdetails.aspx?termid=6432")</f>
        <v>https://ceds.ed.gov/cedselementdetails.aspx?termid=6432</v>
      </c>
      <c r="P252" s="6" t="str">
        <f>HYPERLINK("https://ceds.ed.gov/elementComment.aspx?elementName=Quality Initiative Maximum Score &amp;elementID=6432", "Click here to submit comment")</f>
        <v>Click here to submit comment</v>
      </c>
    </row>
    <row r="253" spans="1:16" ht="30">
      <c r="A253" s="6" t="s">
        <v>6715</v>
      </c>
      <c r="B253" s="6" t="s">
        <v>6747</v>
      </c>
      <c r="C253" s="6" t="s">
        <v>6767</v>
      </c>
      <c r="D253" s="6" t="s">
        <v>4920</v>
      </c>
      <c r="E253" s="6" t="s">
        <v>4921</v>
      </c>
      <c r="F253" s="6" t="s">
        <v>13</v>
      </c>
      <c r="G253" s="6"/>
      <c r="H253" s="6" t="s">
        <v>54</v>
      </c>
      <c r="I253" s="6" t="s">
        <v>100</v>
      </c>
      <c r="J253" s="6"/>
      <c r="K253" s="6"/>
      <c r="L253" s="6" t="s">
        <v>4922</v>
      </c>
      <c r="M253" s="6"/>
      <c r="N253" s="6" t="s">
        <v>4923</v>
      </c>
      <c r="O253" s="6" t="str">
        <f>HYPERLINK("https://ceds.ed.gov/cedselementdetails.aspx?termid=6433")</f>
        <v>https://ceds.ed.gov/cedselementdetails.aspx?termid=6433</v>
      </c>
      <c r="P253" s="6" t="str">
        <f>HYPERLINK("https://ceds.ed.gov/elementComment.aspx?elementName=Quality Initiative Minimum Score &amp;elementID=6433", "Click here to submit comment")</f>
        <v>Click here to submit comment</v>
      </c>
    </row>
    <row r="254" spans="1:16" ht="45">
      <c r="A254" s="6" t="s">
        <v>6715</v>
      </c>
      <c r="B254" s="6" t="s">
        <v>6747</v>
      </c>
      <c r="C254" s="6" t="s">
        <v>6767</v>
      </c>
      <c r="D254" s="6" t="s">
        <v>4924</v>
      </c>
      <c r="E254" s="6" t="s">
        <v>4925</v>
      </c>
      <c r="F254" s="6" t="s">
        <v>13</v>
      </c>
      <c r="G254" s="6"/>
      <c r="H254" s="6" t="s">
        <v>54</v>
      </c>
      <c r="I254" s="6" t="s">
        <v>73</v>
      </c>
      <c r="J254" s="6"/>
      <c r="K254" s="6"/>
      <c r="L254" s="6" t="s">
        <v>4926</v>
      </c>
      <c r="M254" s="6"/>
      <c r="N254" s="6" t="s">
        <v>4927</v>
      </c>
      <c r="O254" s="6" t="str">
        <f>HYPERLINK("https://ceds.ed.gov/cedselementdetails.aspx?termid=6436")</f>
        <v>https://ceds.ed.gov/cedselementdetails.aspx?termid=6436</v>
      </c>
      <c r="P254" s="6" t="str">
        <f>HYPERLINK("https://ceds.ed.gov/elementComment.aspx?elementName=Quality Initiative Participation End Date &amp;elementID=6436", "Click here to submit comment")</f>
        <v>Click here to submit comment</v>
      </c>
    </row>
    <row r="255" spans="1:16" ht="45">
      <c r="A255" s="6" t="s">
        <v>6715</v>
      </c>
      <c r="B255" s="6" t="s">
        <v>6747</v>
      </c>
      <c r="C255" s="6" t="s">
        <v>6767</v>
      </c>
      <c r="D255" s="6" t="s">
        <v>4928</v>
      </c>
      <c r="E255" s="6" t="s">
        <v>4929</v>
      </c>
      <c r="F255" s="6" t="s">
        <v>5963</v>
      </c>
      <c r="G255" s="6"/>
      <c r="H255" s="6" t="s">
        <v>54</v>
      </c>
      <c r="I255" s="6"/>
      <c r="J255" s="6"/>
      <c r="K255" s="6"/>
      <c r="L255" s="6" t="s">
        <v>4930</v>
      </c>
      <c r="M255" s="6"/>
      <c r="N255" s="6" t="s">
        <v>4931</v>
      </c>
      <c r="O255" s="6" t="str">
        <f>HYPERLINK("https://ceds.ed.gov/cedselementdetails.aspx?termid=6435")</f>
        <v>https://ceds.ed.gov/cedselementdetails.aspx?termid=6435</v>
      </c>
      <c r="P255" s="6" t="str">
        <f>HYPERLINK("https://ceds.ed.gov/elementComment.aspx?elementName=Quality Initiative Participation Indicator &amp;elementID=6435", "Click here to submit comment")</f>
        <v>Click here to submit comment</v>
      </c>
    </row>
    <row r="256" spans="1:16" ht="45">
      <c r="A256" s="6" t="s">
        <v>6715</v>
      </c>
      <c r="B256" s="6" t="s">
        <v>6747</v>
      </c>
      <c r="C256" s="6" t="s">
        <v>6767</v>
      </c>
      <c r="D256" s="6" t="s">
        <v>4932</v>
      </c>
      <c r="E256" s="6" t="s">
        <v>4933</v>
      </c>
      <c r="F256" s="6" t="s">
        <v>13</v>
      </c>
      <c r="G256" s="6"/>
      <c r="H256" s="6" t="s">
        <v>54</v>
      </c>
      <c r="I256" s="6" t="s">
        <v>73</v>
      </c>
      <c r="J256" s="6"/>
      <c r="K256" s="6"/>
      <c r="L256" s="6" t="s">
        <v>4934</v>
      </c>
      <c r="M256" s="6"/>
      <c r="N256" s="6" t="s">
        <v>4935</v>
      </c>
      <c r="O256" s="6" t="str">
        <f>HYPERLINK("https://ceds.ed.gov/cedselementdetails.aspx?termid=6437")</f>
        <v>https://ceds.ed.gov/cedselementdetails.aspx?termid=6437</v>
      </c>
      <c r="P256" s="6" t="str">
        <f>HYPERLINK("https://ceds.ed.gov/elementComment.aspx?elementName=Quality Initiative Participation Start Date &amp;elementID=6437", "Click here to submit comment")</f>
        <v>Click here to submit comment</v>
      </c>
    </row>
    <row r="257" spans="1:16" ht="60">
      <c r="A257" s="6" t="s">
        <v>6715</v>
      </c>
      <c r="B257" s="6" t="s">
        <v>6747</v>
      </c>
      <c r="C257" s="6" t="s">
        <v>6767</v>
      </c>
      <c r="D257" s="6" t="s">
        <v>4936</v>
      </c>
      <c r="E257" s="6" t="s">
        <v>4937</v>
      </c>
      <c r="F257" s="6" t="s">
        <v>13</v>
      </c>
      <c r="G257" s="6"/>
      <c r="H257" s="6" t="s">
        <v>54</v>
      </c>
      <c r="I257" s="6" t="s">
        <v>100</v>
      </c>
      <c r="J257" s="6"/>
      <c r="K257" s="6"/>
      <c r="L257" s="6" t="s">
        <v>4938</v>
      </c>
      <c r="M257" s="6"/>
      <c r="N257" s="6" t="s">
        <v>4939</v>
      </c>
      <c r="O257" s="6" t="str">
        <f>HYPERLINK("https://ceds.ed.gov/cedselementdetails.aspx?termid=6434")</f>
        <v>https://ceds.ed.gov/cedselementdetails.aspx?termid=6434</v>
      </c>
      <c r="P257" s="6" t="str">
        <f>HYPERLINK("https://ceds.ed.gov/elementComment.aspx?elementName=Quality Initiative Score Level &amp;elementID=6434", "Click here to submit comment")</f>
        <v>Click here to submit comment</v>
      </c>
    </row>
    <row r="258" spans="1:16" ht="195">
      <c r="A258" s="6" t="s">
        <v>6715</v>
      </c>
      <c r="B258" s="6" t="s">
        <v>6768</v>
      </c>
      <c r="C258" s="6" t="s">
        <v>6717</v>
      </c>
      <c r="D258" s="6" t="s">
        <v>2776</v>
      </c>
      <c r="E258" s="6" t="s">
        <v>2777</v>
      </c>
      <c r="F258" s="6" t="s">
        <v>13</v>
      </c>
      <c r="G258" s="6" t="s">
        <v>6176</v>
      </c>
      <c r="H258" s="6" t="s">
        <v>3</v>
      </c>
      <c r="I258" s="6" t="s">
        <v>1368</v>
      </c>
      <c r="J258" s="6"/>
      <c r="K258" s="6" t="s">
        <v>2778</v>
      </c>
      <c r="L258" s="6" t="s">
        <v>2779</v>
      </c>
      <c r="M258" s="6"/>
      <c r="N258" s="6" t="s">
        <v>2780</v>
      </c>
      <c r="O258" s="6" t="str">
        <f>HYPERLINK("https://ceds.ed.gov/cedselementdetails.aspx?termid=5115")</f>
        <v>https://ceds.ed.gov/cedselementdetails.aspx?termid=5115</v>
      </c>
      <c r="P258" s="6" t="str">
        <f>HYPERLINK("https://ceds.ed.gov/elementComment.aspx?elementName=First Name &amp;elementID=5115", "Click here to submit comment")</f>
        <v>Click here to submit comment</v>
      </c>
    </row>
    <row r="259" spans="1:16" ht="195">
      <c r="A259" s="6" t="s">
        <v>6715</v>
      </c>
      <c r="B259" s="6" t="s">
        <v>6768</v>
      </c>
      <c r="C259" s="6" t="s">
        <v>6717</v>
      </c>
      <c r="D259" s="6" t="s">
        <v>4088</v>
      </c>
      <c r="E259" s="6" t="s">
        <v>4089</v>
      </c>
      <c r="F259" s="6" t="s">
        <v>13</v>
      </c>
      <c r="G259" s="6" t="s">
        <v>6176</v>
      </c>
      <c r="H259" s="6" t="s">
        <v>3</v>
      </c>
      <c r="I259" s="6" t="s">
        <v>1368</v>
      </c>
      <c r="J259" s="6"/>
      <c r="K259" s="6" t="s">
        <v>2778</v>
      </c>
      <c r="L259" s="6" t="s">
        <v>4090</v>
      </c>
      <c r="M259" s="6"/>
      <c r="N259" s="6" t="s">
        <v>4091</v>
      </c>
      <c r="O259" s="6" t="str">
        <f>HYPERLINK("https://ceds.ed.gov/cedselementdetails.aspx?termid=5184")</f>
        <v>https://ceds.ed.gov/cedselementdetails.aspx?termid=5184</v>
      </c>
      <c r="P259" s="6" t="str">
        <f>HYPERLINK("https://ceds.ed.gov/elementComment.aspx?elementName=Middle Name &amp;elementID=5184", "Click here to submit comment")</f>
        <v>Click here to submit comment</v>
      </c>
    </row>
    <row r="260" spans="1:16" ht="195">
      <c r="A260" s="6" t="s">
        <v>6715</v>
      </c>
      <c r="B260" s="6" t="s">
        <v>6768</v>
      </c>
      <c r="C260" s="6" t="s">
        <v>6717</v>
      </c>
      <c r="D260" s="6" t="s">
        <v>3427</v>
      </c>
      <c r="E260" s="6" t="s">
        <v>3428</v>
      </c>
      <c r="F260" s="6" t="s">
        <v>13</v>
      </c>
      <c r="G260" s="6" t="s">
        <v>6176</v>
      </c>
      <c r="H260" s="6" t="s">
        <v>3</v>
      </c>
      <c r="I260" s="6" t="s">
        <v>1368</v>
      </c>
      <c r="J260" s="6"/>
      <c r="K260" s="6" t="s">
        <v>2778</v>
      </c>
      <c r="L260" s="6" t="s">
        <v>3429</v>
      </c>
      <c r="M260" s="6" t="s">
        <v>3430</v>
      </c>
      <c r="N260" s="6" t="s">
        <v>3431</v>
      </c>
      <c r="O260" s="6" t="str">
        <f>HYPERLINK("https://ceds.ed.gov/cedselementdetails.aspx?termid=5172")</f>
        <v>https://ceds.ed.gov/cedselementdetails.aspx?termid=5172</v>
      </c>
      <c r="P260" s="6" t="str">
        <f>HYPERLINK("https://ceds.ed.gov/elementComment.aspx?elementName=Last or Surname &amp;elementID=5172", "Click here to submit comment")</f>
        <v>Click here to submit comment</v>
      </c>
    </row>
    <row r="261" spans="1:16" ht="150">
      <c r="A261" s="6" t="s">
        <v>6715</v>
      </c>
      <c r="B261" s="6" t="s">
        <v>6768</v>
      </c>
      <c r="C261" s="6" t="s">
        <v>6717</v>
      </c>
      <c r="D261" s="6" t="s">
        <v>2829</v>
      </c>
      <c r="E261" s="6" t="s">
        <v>2830</v>
      </c>
      <c r="F261" s="6" t="s">
        <v>13</v>
      </c>
      <c r="G261" s="6" t="s">
        <v>6179</v>
      </c>
      <c r="H261" s="6" t="s">
        <v>3</v>
      </c>
      <c r="I261" s="6" t="s">
        <v>2031</v>
      </c>
      <c r="J261" s="6"/>
      <c r="K261" s="6" t="s">
        <v>2778</v>
      </c>
      <c r="L261" s="6" t="s">
        <v>2831</v>
      </c>
      <c r="M261" s="6"/>
      <c r="N261" s="6" t="s">
        <v>2832</v>
      </c>
      <c r="O261" s="6" t="str">
        <f>HYPERLINK("https://ceds.ed.gov/cedselementdetails.aspx?termid=5121")</f>
        <v>https://ceds.ed.gov/cedselementdetails.aspx?termid=5121</v>
      </c>
      <c r="P261" s="6" t="str">
        <f>HYPERLINK("https://ceds.ed.gov/elementComment.aspx?elementName=Generation Code or Suffix &amp;elementID=5121", "Click here to submit comment")</f>
        <v>Click here to submit comment</v>
      </c>
    </row>
    <row r="262" spans="1:16" ht="105">
      <c r="A262" s="6" t="s">
        <v>6715</v>
      </c>
      <c r="B262" s="6" t="s">
        <v>6768</v>
      </c>
      <c r="C262" s="6" t="s">
        <v>6717</v>
      </c>
      <c r="D262" s="6" t="s">
        <v>4498</v>
      </c>
      <c r="E262" s="6" t="s">
        <v>4499</v>
      </c>
      <c r="F262" s="6" t="s">
        <v>13</v>
      </c>
      <c r="G262" s="6" t="s">
        <v>6280</v>
      </c>
      <c r="H262" s="6" t="s">
        <v>3</v>
      </c>
      <c r="I262" s="6" t="s">
        <v>100</v>
      </c>
      <c r="J262" s="6"/>
      <c r="K262" s="6"/>
      <c r="L262" s="6" t="s">
        <v>4500</v>
      </c>
      <c r="M262" s="6" t="s">
        <v>4501</v>
      </c>
      <c r="N262" s="6" t="s">
        <v>4502</v>
      </c>
      <c r="O262" s="6" t="str">
        <f>HYPERLINK("https://ceds.ed.gov/cedselementdetails.aspx?termid=5212")</f>
        <v>https://ceds.ed.gov/cedselementdetails.aspx?termid=5212</v>
      </c>
      <c r="P262" s="6" t="str">
        <f>HYPERLINK("https://ceds.ed.gov/elementComment.aspx?elementName=Personal Title or Prefix &amp;elementID=5212", "Click here to submit comment")</f>
        <v>Click here to submit comment</v>
      </c>
    </row>
    <row r="263" spans="1:16" ht="90">
      <c r="A263" s="6" t="s">
        <v>6715</v>
      </c>
      <c r="B263" s="6" t="s">
        <v>6768</v>
      </c>
      <c r="C263" s="6" t="s">
        <v>6718</v>
      </c>
      <c r="D263" s="6" t="s">
        <v>4394</v>
      </c>
      <c r="E263" s="6" t="s">
        <v>4395</v>
      </c>
      <c r="F263" s="7" t="s">
        <v>6593</v>
      </c>
      <c r="G263" s="6" t="s">
        <v>6273</v>
      </c>
      <c r="H263" s="6" t="s">
        <v>3</v>
      </c>
      <c r="I263" s="6" t="s">
        <v>100</v>
      </c>
      <c r="J263" s="6"/>
      <c r="K263" s="6"/>
      <c r="L263" s="6" t="s">
        <v>4396</v>
      </c>
      <c r="M263" s="6"/>
      <c r="N263" s="6" t="s">
        <v>4397</v>
      </c>
      <c r="O263" s="6" t="str">
        <f>HYPERLINK("https://ceds.ed.gov/cedselementdetails.aspx?termid=5627")</f>
        <v>https://ceds.ed.gov/cedselementdetails.aspx?termid=5627</v>
      </c>
      <c r="P263" s="6" t="str">
        <f>HYPERLINK("https://ceds.ed.gov/elementComment.aspx?elementName=Other Name Type &amp;elementID=5627", "Click here to submit comment")</f>
        <v>Click here to submit comment</v>
      </c>
    </row>
    <row r="264" spans="1:16" ht="30">
      <c r="A264" s="6" t="s">
        <v>6715</v>
      </c>
      <c r="B264" s="6" t="s">
        <v>6768</v>
      </c>
      <c r="C264" s="6" t="s">
        <v>6718</v>
      </c>
      <c r="D264" s="6" t="s">
        <v>4375</v>
      </c>
      <c r="E264" s="6" t="s">
        <v>4376</v>
      </c>
      <c r="F264" s="6" t="s">
        <v>13</v>
      </c>
      <c r="G264" s="6"/>
      <c r="H264" s="6" t="s">
        <v>54</v>
      </c>
      <c r="I264" s="6" t="s">
        <v>1368</v>
      </c>
      <c r="J264" s="6"/>
      <c r="K264" s="6" t="s">
        <v>4377</v>
      </c>
      <c r="L264" s="6" t="s">
        <v>4378</v>
      </c>
      <c r="M264" s="6"/>
      <c r="N264" s="6" t="s">
        <v>4379</v>
      </c>
      <c r="O264" s="6" t="str">
        <f>HYPERLINK("https://ceds.ed.gov/cedselementdetails.aspx?termid=6486")</f>
        <v>https://ceds.ed.gov/cedselementdetails.aspx?termid=6486</v>
      </c>
      <c r="P264" s="6" t="str">
        <f>HYPERLINK("https://ceds.ed.gov/elementComment.aspx?elementName=Other First Name &amp;elementID=6486", "Click here to submit comment")</f>
        <v>Click here to submit comment</v>
      </c>
    </row>
    <row r="265" spans="1:16" ht="30">
      <c r="A265" s="6" t="s">
        <v>6715</v>
      </c>
      <c r="B265" s="6" t="s">
        <v>6768</v>
      </c>
      <c r="C265" s="6" t="s">
        <v>6718</v>
      </c>
      <c r="D265" s="6" t="s">
        <v>4380</v>
      </c>
      <c r="E265" s="6" t="s">
        <v>4381</v>
      </c>
      <c r="F265" s="6" t="s">
        <v>13</v>
      </c>
      <c r="G265" s="6"/>
      <c r="H265" s="6" t="s">
        <v>54</v>
      </c>
      <c r="I265" s="6" t="s">
        <v>1368</v>
      </c>
      <c r="J265" s="6"/>
      <c r="K265" s="6" t="s">
        <v>4382</v>
      </c>
      <c r="L265" s="6" t="s">
        <v>4383</v>
      </c>
      <c r="M265" s="6"/>
      <c r="N265" s="6" t="s">
        <v>4384</v>
      </c>
      <c r="O265" s="6" t="str">
        <f>HYPERLINK("https://ceds.ed.gov/cedselementdetails.aspx?termid=6485")</f>
        <v>https://ceds.ed.gov/cedselementdetails.aspx?termid=6485</v>
      </c>
      <c r="P265" s="6" t="str">
        <f>HYPERLINK("https://ceds.ed.gov/elementComment.aspx?elementName=Other Last Name &amp;elementID=6485", "Click here to submit comment")</f>
        <v>Click here to submit comment</v>
      </c>
    </row>
    <row r="266" spans="1:16" ht="30">
      <c r="A266" s="6" t="s">
        <v>6715</v>
      </c>
      <c r="B266" s="6" t="s">
        <v>6768</v>
      </c>
      <c r="C266" s="6" t="s">
        <v>6718</v>
      </c>
      <c r="D266" s="6" t="s">
        <v>4385</v>
      </c>
      <c r="E266" s="6" t="s">
        <v>4386</v>
      </c>
      <c r="F266" s="6" t="s">
        <v>13</v>
      </c>
      <c r="G266" s="6"/>
      <c r="H266" s="6" t="s">
        <v>54</v>
      </c>
      <c r="I266" s="6" t="s">
        <v>1368</v>
      </c>
      <c r="J266" s="6"/>
      <c r="K266" s="6" t="s">
        <v>4387</v>
      </c>
      <c r="L266" s="6" t="s">
        <v>4388</v>
      </c>
      <c r="M266" s="6"/>
      <c r="N266" s="6" t="s">
        <v>4389</v>
      </c>
      <c r="O266" s="6" t="str">
        <f>HYPERLINK("https://ceds.ed.gov/cedselementdetails.aspx?termid=6487")</f>
        <v>https://ceds.ed.gov/cedselementdetails.aspx?termid=6487</v>
      </c>
      <c r="P266" s="6" t="str">
        <f>HYPERLINK("https://ceds.ed.gov/elementComment.aspx?elementName=Other Middle Name &amp;elementID=6487", "Click here to submit comment")</f>
        <v>Click here to submit comment</v>
      </c>
    </row>
    <row r="267" spans="1:16" ht="150">
      <c r="A267" s="6" t="s">
        <v>6715</v>
      </c>
      <c r="B267" s="6" t="s">
        <v>6768</v>
      </c>
      <c r="C267" s="6" t="s">
        <v>6718</v>
      </c>
      <c r="D267" s="6" t="s">
        <v>4390</v>
      </c>
      <c r="E267" s="6" t="s">
        <v>4391</v>
      </c>
      <c r="F267" s="6" t="s">
        <v>13</v>
      </c>
      <c r="G267" s="6" t="s">
        <v>6179</v>
      </c>
      <c r="H267" s="6" t="s">
        <v>3</v>
      </c>
      <c r="I267" s="6" t="s">
        <v>149</v>
      </c>
      <c r="J267" s="6"/>
      <c r="K267" s="6"/>
      <c r="L267" s="6" t="s">
        <v>4392</v>
      </c>
      <c r="M267" s="6"/>
      <c r="N267" s="6" t="s">
        <v>4393</v>
      </c>
      <c r="O267" s="6" t="str">
        <f>HYPERLINK("https://ceds.ed.gov/cedselementdetails.aspx?termid=5206")</f>
        <v>https://ceds.ed.gov/cedselementdetails.aspx?termid=5206</v>
      </c>
      <c r="P267" s="6" t="str">
        <f>HYPERLINK("https://ceds.ed.gov/elementComment.aspx?elementName=Other Name &amp;elementID=5206", "Click here to submit comment")</f>
        <v>Click here to submit comment</v>
      </c>
    </row>
    <row r="268" spans="1:16" ht="409.5">
      <c r="A268" s="6" t="s">
        <v>6715</v>
      </c>
      <c r="B268" s="6" t="s">
        <v>6768</v>
      </c>
      <c r="C268" s="6" t="s">
        <v>6769</v>
      </c>
      <c r="D268" s="6" t="s">
        <v>5502</v>
      </c>
      <c r="E268" s="6" t="s">
        <v>5503</v>
      </c>
      <c r="F268" s="7" t="s">
        <v>6662</v>
      </c>
      <c r="G268" s="6" t="s">
        <v>6321</v>
      </c>
      <c r="H268" s="6" t="s">
        <v>3</v>
      </c>
      <c r="I268" s="6"/>
      <c r="J268" s="6"/>
      <c r="K268" s="6"/>
      <c r="L268" s="6" t="s">
        <v>5504</v>
      </c>
      <c r="M268" s="6"/>
      <c r="N268" s="6" t="s">
        <v>5505</v>
      </c>
      <c r="O268" s="6" t="str">
        <f>HYPERLINK("https://ceds.ed.gov/cedselementdetails.aspx?termid=5162")</f>
        <v>https://ceds.ed.gov/cedselementdetails.aspx?termid=5162</v>
      </c>
      <c r="P268" s="6" t="str">
        <f>HYPERLINK("https://ceds.ed.gov/elementComment.aspx?elementName=Staff Member Identification System &amp;elementID=5162", "Click here to submit comment")</f>
        <v>Click here to submit comment</v>
      </c>
    </row>
    <row r="269" spans="1:16" ht="135">
      <c r="A269" s="6" t="s">
        <v>6715</v>
      </c>
      <c r="B269" s="6" t="s">
        <v>6768</v>
      </c>
      <c r="C269" s="6" t="s">
        <v>6769</v>
      </c>
      <c r="D269" s="6" t="s">
        <v>5506</v>
      </c>
      <c r="E269" s="6" t="s">
        <v>5507</v>
      </c>
      <c r="F269" s="6" t="s">
        <v>13</v>
      </c>
      <c r="G269" s="6" t="s">
        <v>6322</v>
      </c>
      <c r="H269" s="6" t="s">
        <v>3</v>
      </c>
      <c r="I269" s="6" t="s">
        <v>100</v>
      </c>
      <c r="J269" s="6"/>
      <c r="K269" s="6"/>
      <c r="L269" s="6" t="s">
        <v>5508</v>
      </c>
      <c r="M269" s="6"/>
      <c r="N269" s="6" t="s">
        <v>5509</v>
      </c>
      <c r="O269" s="6" t="str">
        <f>HYPERLINK("https://ceds.ed.gov/cedselementdetails.aspx?termid=5156")</f>
        <v>https://ceds.ed.gov/cedselementdetails.aspx?termid=5156</v>
      </c>
      <c r="P269" s="6" t="str">
        <f>HYPERLINK("https://ceds.ed.gov/elementComment.aspx?elementName=Staff Member Identifier &amp;elementID=5156", "Click here to submit comment")</f>
        <v>Click here to submit comment</v>
      </c>
    </row>
    <row r="270" spans="1:16" ht="150">
      <c r="A270" s="6" t="s">
        <v>6715</v>
      </c>
      <c r="B270" s="6" t="s">
        <v>6768</v>
      </c>
      <c r="C270" s="6" t="s">
        <v>6720</v>
      </c>
      <c r="D270" s="6" t="s">
        <v>200</v>
      </c>
      <c r="E270" s="6" t="s">
        <v>201</v>
      </c>
      <c r="F270" s="7" t="s">
        <v>6355</v>
      </c>
      <c r="G270" s="6" t="s">
        <v>202</v>
      </c>
      <c r="H270" s="6" t="s">
        <v>3</v>
      </c>
      <c r="I270" s="6" t="s">
        <v>100</v>
      </c>
      <c r="J270" s="6"/>
      <c r="K270" s="6"/>
      <c r="L270" s="6" t="s">
        <v>203</v>
      </c>
      <c r="M270" s="6"/>
      <c r="N270" s="6" t="s">
        <v>204</v>
      </c>
      <c r="O270" s="6" t="str">
        <f>HYPERLINK("https://ceds.ed.gov/cedselementdetails.aspx?termid=5698")</f>
        <v>https://ceds.ed.gov/cedselementdetails.aspx?termid=5698</v>
      </c>
      <c r="P270" s="6" t="str">
        <f>HYPERLINK("https://ceds.ed.gov/elementComment.aspx?elementName=Address Type for Staff &amp;elementID=5698", "Click here to submit comment")</f>
        <v>Click here to submit comment</v>
      </c>
    </row>
    <row r="271" spans="1:16" ht="225">
      <c r="A271" s="6" t="s">
        <v>6715</v>
      </c>
      <c r="B271" s="6" t="s">
        <v>6768</v>
      </c>
      <c r="C271" s="6" t="s">
        <v>6720</v>
      </c>
      <c r="D271" s="6" t="s">
        <v>187</v>
      </c>
      <c r="E271" s="6" t="s">
        <v>188</v>
      </c>
      <c r="F271" s="6" t="s">
        <v>13</v>
      </c>
      <c r="G271" s="6" t="s">
        <v>5973</v>
      </c>
      <c r="H271" s="6" t="s">
        <v>3</v>
      </c>
      <c r="I271" s="6" t="s">
        <v>149</v>
      </c>
      <c r="J271" s="6"/>
      <c r="K271" s="6"/>
      <c r="L271" s="6" t="s">
        <v>189</v>
      </c>
      <c r="M271" s="6"/>
      <c r="N271" s="6" t="s">
        <v>190</v>
      </c>
      <c r="O271" s="6" t="str">
        <f>HYPERLINK("https://ceds.ed.gov/cedselementdetails.aspx?termid=5269")</f>
        <v>https://ceds.ed.gov/cedselementdetails.aspx?termid=5269</v>
      </c>
      <c r="P271" s="6" t="str">
        <f>HYPERLINK("https://ceds.ed.gov/elementComment.aspx?elementName=Address Street Number and Name &amp;elementID=5269", "Click here to submit comment")</f>
        <v>Click here to submit comment</v>
      </c>
    </row>
    <row r="272" spans="1:16" ht="225">
      <c r="A272" s="6" t="s">
        <v>6715</v>
      </c>
      <c r="B272" s="6" t="s">
        <v>6768</v>
      </c>
      <c r="C272" s="6" t="s">
        <v>6720</v>
      </c>
      <c r="D272" s="6" t="s">
        <v>170</v>
      </c>
      <c r="E272" s="6" t="s">
        <v>171</v>
      </c>
      <c r="F272" s="6" t="s">
        <v>13</v>
      </c>
      <c r="G272" s="6" t="s">
        <v>5973</v>
      </c>
      <c r="H272" s="6" t="s">
        <v>3</v>
      </c>
      <c r="I272" s="6" t="s">
        <v>100</v>
      </c>
      <c r="J272" s="6"/>
      <c r="K272" s="6"/>
      <c r="L272" s="6" t="s">
        <v>172</v>
      </c>
      <c r="M272" s="6"/>
      <c r="N272" s="6" t="s">
        <v>173</v>
      </c>
      <c r="O272" s="6" t="str">
        <f>HYPERLINK("https://ceds.ed.gov/cedselementdetails.aspx?termid=5019")</f>
        <v>https://ceds.ed.gov/cedselementdetails.aspx?termid=5019</v>
      </c>
      <c r="P272" s="6" t="str">
        <f>HYPERLINK("https://ceds.ed.gov/elementComment.aspx?elementName=Address Apartment Room or Suite Number &amp;elementID=5019", "Click here to submit comment")</f>
        <v>Click here to submit comment</v>
      </c>
    </row>
    <row r="273" spans="1:16" ht="225">
      <c r="A273" s="6" t="s">
        <v>6715</v>
      </c>
      <c r="B273" s="6" t="s">
        <v>6768</v>
      </c>
      <c r="C273" s="6" t="s">
        <v>6720</v>
      </c>
      <c r="D273" s="6" t="s">
        <v>174</v>
      </c>
      <c r="E273" s="6" t="s">
        <v>175</v>
      </c>
      <c r="F273" s="6" t="s">
        <v>13</v>
      </c>
      <c r="G273" s="6" t="s">
        <v>5973</v>
      </c>
      <c r="H273" s="6" t="s">
        <v>3</v>
      </c>
      <c r="I273" s="6" t="s">
        <v>100</v>
      </c>
      <c r="J273" s="6"/>
      <c r="K273" s="6"/>
      <c r="L273" s="6" t="s">
        <v>176</v>
      </c>
      <c r="M273" s="6"/>
      <c r="N273" s="6" t="s">
        <v>177</v>
      </c>
      <c r="O273" s="6" t="str">
        <f>HYPERLINK("https://ceds.ed.gov/cedselementdetails.aspx?termid=5040")</f>
        <v>https://ceds.ed.gov/cedselementdetails.aspx?termid=5040</v>
      </c>
      <c r="P273" s="6" t="str">
        <f>HYPERLINK("https://ceds.ed.gov/elementComment.aspx?elementName=Address City &amp;elementID=5040", "Click here to submit comment")</f>
        <v>Click here to submit comment</v>
      </c>
    </row>
    <row r="274" spans="1:16" ht="409.5">
      <c r="A274" s="6" t="s">
        <v>6715</v>
      </c>
      <c r="B274" s="6" t="s">
        <v>6768</v>
      </c>
      <c r="C274" s="6" t="s">
        <v>6720</v>
      </c>
      <c r="D274" s="6" t="s">
        <v>5533</v>
      </c>
      <c r="E274" s="6" t="s">
        <v>5534</v>
      </c>
      <c r="F274" s="7" t="s">
        <v>6633</v>
      </c>
      <c r="G274" s="6" t="s">
        <v>6324</v>
      </c>
      <c r="H274" s="6" t="s">
        <v>3</v>
      </c>
      <c r="I274" s="6"/>
      <c r="J274" s="6"/>
      <c r="K274" s="6"/>
      <c r="L274" s="6" t="s">
        <v>5535</v>
      </c>
      <c r="M274" s="6"/>
      <c r="N274" s="6" t="s">
        <v>5536</v>
      </c>
      <c r="O274" s="6" t="str">
        <f>HYPERLINK("https://ceds.ed.gov/cedselementdetails.aspx?termid=5267")</f>
        <v>https://ceds.ed.gov/cedselementdetails.aspx?termid=5267</v>
      </c>
      <c r="P274" s="6" t="str">
        <f>HYPERLINK("https://ceds.ed.gov/elementComment.aspx?elementName=State Abbreviation &amp;elementID=5267", "Click here to submit comment")</f>
        <v>Click here to submit comment</v>
      </c>
    </row>
    <row r="275" spans="1:16" ht="225">
      <c r="A275" s="6" t="s">
        <v>6715</v>
      </c>
      <c r="B275" s="6" t="s">
        <v>6768</v>
      </c>
      <c r="C275" s="6" t="s">
        <v>6720</v>
      </c>
      <c r="D275" s="6" t="s">
        <v>182</v>
      </c>
      <c r="E275" s="6" t="s">
        <v>183</v>
      </c>
      <c r="F275" s="6" t="s">
        <v>13</v>
      </c>
      <c r="G275" s="6" t="s">
        <v>5973</v>
      </c>
      <c r="H275" s="6" t="s">
        <v>3</v>
      </c>
      <c r="I275" s="6" t="s">
        <v>184</v>
      </c>
      <c r="J275" s="6"/>
      <c r="K275" s="6"/>
      <c r="L275" s="6" t="s">
        <v>185</v>
      </c>
      <c r="M275" s="6"/>
      <c r="N275" s="6" t="s">
        <v>186</v>
      </c>
      <c r="O275" s="6" t="str">
        <f>HYPERLINK("https://ceds.ed.gov/cedselementdetails.aspx?termid=5214")</f>
        <v>https://ceds.ed.gov/cedselementdetails.aspx?termid=5214</v>
      </c>
      <c r="P275" s="6" t="str">
        <f>HYPERLINK("https://ceds.ed.gov/elementComment.aspx?elementName=Address Postal Code &amp;elementID=5214", "Click here to submit comment")</f>
        <v>Click here to submit comment</v>
      </c>
    </row>
    <row r="276" spans="1:16" ht="225">
      <c r="A276" s="6" t="s">
        <v>6715</v>
      </c>
      <c r="B276" s="6" t="s">
        <v>6768</v>
      </c>
      <c r="C276" s="6" t="s">
        <v>6720</v>
      </c>
      <c r="D276" s="6" t="s">
        <v>178</v>
      </c>
      <c r="E276" s="6" t="s">
        <v>179</v>
      </c>
      <c r="F276" s="6" t="s">
        <v>13</v>
      </c>
      <c r="G276" s="6" t="s">
        <v>5973</v>
      </c>
      <c r="H276" s="6" t="s">
        <v>3</v>
      </c>
      <c r="I276" s="6" t="s">
        <v>100</v>
      </c>
      <c r="J276" s="6"/>
      <c r="K276" s="6"/>
      <c r="L276" s="6" t="s">
        <v>180</v>
      </c>
      <c r="M276" s="6"/>
      <c r="N276" s="6" t="s">
        <v>181</v>
      </c>
      <c r="O276" s="6" t="str">
        <f>HYPERLINK("https://ceds.ed.gov/cedselementdetails.aspx?termid=5190")</f>
        <v>https://ceds.ed.gov/cedselementdetails.aspx?termid=5190</v>
      </c>
      <c r="P276" s="6" t="str">
        <f>HYPERLINK("https://ceds.ed.gov/elementComment.aspx?elementName=Address County Name &amp;elementID=5190", "Click here to submit comment")</f>
        <v>Click here to submit comment</v>
      </c>
    </row>
    <row r="277" spans="1:16" ht="409.5">
      <c r="A277" s="6" t="s">
        <v>6715</v>
      </c>
      <c r="B277" s="6" t="s">
        <v>6768</v>
      </c>
      <c r="C277" s="6" t="s">
        <v>6720</v>
      </c>
      <c r="D277" s="6" t="s">
        <v>1809</v>
      </c>
      <c r="E277" s="6" t="s">
        <v>1810</v>
      </c>
      <c r="F277" s="7" t="s">
        <v>6433</v>
      </c>
      <c r="G277" s="6" t="s">
        <v>6107</v>
      </c>
      <c r="H277" s="6" t="s">
        <v>3</v>
      </c>
      <c r="I277" s="6"/>
      <c r="J277" s="6"/>
      <c r="K277" s="6"/>
      <c r="L277" s="6" t="s">
        <v>1811</v>
      </c>
      <c r="M277" s="6"/>
      <c r="N277" s="6" t="s">
        <v>1812</v>
      </c>
      <c r="O277" s="6" t="str">
        <f>HYPERLINK("https://ceds.ed.gov/cedselementdetails.aspx?termid=5050")</f>
        <v>https://ceds.ed.gov/cedselementdetails.aspx?termid=5050</v>
      </c>
      <c r="P277" s="6" t="str">
        <f>HYPERLINK("https://ceds.ed.gov/elementComment.aspx?elementName=Country Code &amp;elementID=5050", "Click here to submit comment")</f>
        <v>Click here to submit comment</v>
      </c>
    </row>
    <row r="278" spans="1:16" ht="135">
      <c r="A278" s="6" t="s">
        <v>6715</v>
      </c>
      <c r="B278" s="6" t="s">
        <v>6768</v>
      </c>
      <c r="C278" s="6" t="s">
        <v>6721</v>
      </c>
      <c r="D278" s="6" t="s">
        <v>5732</v>
      </c>
      <c r="E278" s="6" t="s">
        <v>5733</v>
      </c>
      <c r="F278" s="7" t="s">
        <v>6675</v>
      </c>
      <c r="G278" s="6" t="s">
        <v>5968</v>
      </c>
      <c r="H278" s="6" t="s">
        <v>3</v>
      </c>
      <c r="I278" s="6" t="s">
        <v>2844</v>
      </c>
      <c r="J278" s="6"/>
      <c r="K278" s="6"/>
      <c r="L278" s="6" t="s">
        <v>5734</v>
      </c>
      <c r="M278" s="6"/>
      <c r="N278" s="6" t="s">
        <v>5735</v>
      </c>
      <c r="O278" s="6" t="str">
        <f>HYPERLINK("https://ceds.ed.gov/cedselementdetails.aspx?termid=5280")</f>
        <v>https://ceds.ed.gov/cedselementdetails.aspx?termid=5280</v>
      </c>
      <c r="P278" s="6" t="str">
        <f>HYPERLINK("https://ceds.ed.gov/elementComment.aspx?elementName=Telephone Number Type &amp;elementID=5280", "Click here to submit comment")</f>
        <v>Click here to submit comment</v>
      </c>
    </row>
    <row r="279" spans="1:16" ht="90">
      <c r="A279" s="6" t="s">
        <v>6715</v>
      </c>
      <c r="B279" s="6" t="s">
        <v>6768</v>
      </c>
      <c r="C279" s="6" t="s">
        <v>6721</v>
      </c>
      <c r="D279" s="6" t="s">
        <v>4591</v>
      </c>
      <c r="E279" s="6" t="s">
        <v>4592</v>
      </c>
      <c r="F279" s="6" t="s">
        <v>5963</v>
      </c>
      <c r="G279" s="6" t="s">
        <v>5968</v>
      </c>
      <c r="H279" s="6" t="s">
        <v>3</v>
      </c>
      <c r="I279" s="6"/>
      <c r="J279" s="6"/>
      <c r="K279" s="6"/>
      <c r="L279" s="6" t="s">
        <v>4593</v>
      </c>
      <c r="M279" s="6"/>
      <c r="N279" s="6" t="s">
        <v>4594</v>
      </c>
      <c r="O279" s="6" t="str">
        <f>HYPERLINK("https://ceds.ed.gov/cedselementdetails.aspx?termid=5219")</f>
        <v>https://ceds.ed.gov/cedselementdetails.aspx?termid=5219</v>
      </c>
      <c r="P279" s="6" t="str">
        <f>HYPERLINK("https://ceds.ed.gov/elementComment.aspx?elementName=Primary Telephone Number Indicator &amp;elementID=5219", "Click here to submit comment")</f>
        <v>Click here to submit comment</v>
      </c>
    </row>
    <row r="280" spans="1:16" ht="90">
      <c r="A280" s="6" t="s">
        <v>6715</v>
      </c>
      <c r="B280" s="6" t="s">
        <v>6768</v>
      </c>
      <c r="C280" s="6" t="s">
        <v>6721</v>
      </c>
      <c r="D280" s="6" t="s">
        <v>5727</v>
      </c>
      <c r="E280" s="6" t="s">
        <v>5728</v>
      </c>
      <c r="F280" s="6" t="s">
        <v>13</v>
      </c>
      <c r="G280" s="6" t="s">
        <v>5968</v>
      </c>
      <c r="H280" s="6" t="s">
        <v>3</v>
      </c>
      <c r="I280" s="6" t="s">
        <v>5729</v>
      </c>
      <c r="J280" s="6"/>
      <c r="K280" s="6"/>
      <c r="L280" s="6" t="s">
        <v>5730</v>
      </c>
      <c r="M280" s="6"/>
      <c r="N280" s="6" t="s">
        <v>5731</v>
      </c>
      <c r="O280" s="6" t="str">
        <f>HYPERLINK("https://ceds.ed.gov/cedselementdetails.aspx?termid=5279")</f>
        <v>https://ceds.ed.gov/cedselementdetails.aspx?termid=5279</v>
      </c>
      <c r="P280" s="6" t="str">
        <f>HYPERLINK("https://ceds.ed.gov/elementComment.aspx?elementName=Telephone Number &amp;elementID=5279", "Click here to submit comment")</f>
        <v>Click here to submit comment</v>
      </c>
    </row>
    <row r="281" spans="1:16" ht="105">
      <c r="A281" s="6" t="s">
        <v>6715</v>
      </c>
      <c r="B281" s="6" t="s">
        <v>6768</v>
      </c>
      <c r="C281" s="6" t="s">
        <v>6742</v>
      </c>
      <c r="D281" s="6" t="s">
        <v>2457</v>
      </c>
      <c r="E281" s="6" t="s">
        <v>2458</v>
      </c>
      <c r="F281" s="7" t="s">
        <v>6489</v>
      </c>
      <c r="G281" s="6" t="s">
        <v>5968</v>
      </c>
      <c r="H281" s="6" t="s">
        <v>3</v>
      </c>
      <c r="I281" s="6"/>
      <c r="J281" s="6"/>
      <c r="K281" s="6"/>
      <c r="L281" s="6" t="s">
        <v>2459</v>
      </c>
      <c r="M281" s="6" t="s">
        <v>2460</v>
      </c>
      <c r="N281" s="6" t="s">
        <v>2461</v>
      </c>
      <c r="O281" s="6" t="str">
        <f>HYPERLINK("https://ceds.ed.gov/cedselementdetails.aspx?termid=5089")</f>
        <v>https://ceds.ed.gov/cedselementdetails.aspx?termid=5089</v>
      </c>
      <c r="P281" s="6" t="str">
        <f>HYPERLINK("https://ceds.ed.gov/elementComment.aspx?elementName=Electronic Mail Address Type &amp;elementID=5089", "Click here to submit comment")</f>
        <v>Click here to submit comment</v>
      </c>
    </row>
    <row r="282" spans="1:16" ht="90">
      <c r="A282" s="6" t="s">
        <v>6715</v>
      </c>
      <c r="B282" s="6" t="s">
        <v>6768</v>
      </c>
      <c r="C282" s="6" t="s">
        <v>6742</v>
      </c>
      <c r="D282" s="6" t="s">
        <v>2451</v>
      </c>
      <c r="E282" s="6" t="s">
        <v>2452</v>
      </c>
      <c r="F282" s="6" t="s">
        <v>13</v>
      </c>
      <c r="G282" s="6" t="s">
        <v>5968</v>
      </c>
      <c r="H282" s="6" t="s">
        <v>3</v>
      </c>
      <c r="I282" s="6" t="s">
        <v>2453</v>
      </c>
      <c r="J282" s="6"/>
      <c r="K282" s="6"/>
      <c r="L282" s="6" t="s">
        <v>2454</v>
      </c>
      <c r="M282" s="6" t="s">
        <v>2455</v>
      </c>
      <c r="N282" s="6" t="s">
        <v>2456</v>
      </c>
      <c r="O282" s="6" t="str">
        <f>HYPERLINK("https://ceds.ed.gov/cedselementdetails.aspx?termid=5088")</f>
        <v>https://ceds.ed.gov/cedselementdetails.aspx?termid=5088</v>
      </c>
      <c r="P282" s="6" t="str">
        <f>HYPERLINK("https://ceds.ed.gov/elementComment.aspx?elementName=Electronic Mail Address &amp;elementID=5088", "Click here to submit comment")</f>
        <v>Click here to submit comment</v>
      </c>
    </row>
    <row r="283" spans="1:16" ht="240">
      <c r="A283" s="6" t="s">
        <v>6715</v>
      </c>
      <c r="B283" s="6" t="s">
        <v>6768</v>
      </c>
      <c r="C283" s="6" t="s">
        <v>6722</v>
      </c>
      <c r="D283" s="6" t="s">
        <v>1474</v>
      </c>
      <c r="E283" s="6" t="s">
        <v>1475</v>
      </c>
      <c r="F283" s="6" t="s">
        <v>13</v>
      </c>
      <c r="G283" s="6" t="s">
        <v>6080</v>
      </c>
      <c r="H283" s="6" t="s">
        <v>3</v>
      </c>
      <c r="I283" s="6" t="s">
        <v>73</v>
      </c>
      <c r="J283" s="6"/>
      <c r="K283" s="6"/>
      <c r="L283" s="6" t="s">
        <v>1476</v>
      </c>
      <c r="M283" s="6"/>
      <c r="N283" s="6" t="s">
        <v>1474</v>
      </c>
      <c r="O283" s="6" t="str">
        <f>HYPERLINK("https://ceds.ed.gov/cedselementdetails.aspx?termid=5033")</f>
        <v>https://ceds.ed.gov/cedselementdetails.aspx?termid=5033</v>
      </c>
      <c r="P283" s="6" t="str">
        <f>HYPERLINK("https://ceds.ed.gov/elementComment.aspx?elementName=Birthdate &amp;elementID=5033", "Click here to submit comment")</f>
        <v>Click here to submit comment</v>
      </c>
    </row>
    <row r="284" spans="1:16" ht="255">
      <c r="A284" s="6" t="s">
        <v>6715</v>
      </c>
      <c r="B284" s="6" t="s">
        <v>6768</v>
      </c>
      <c r="C284" s="6" t="s">
        <v>6722</v>
      </c>
      <c r="D284" s="6" t="s">
        <v>5353</v>
      </c>
      <c r="E284" s="6" t="s">
        <v>5354</v>
      </c>
      <c r="F284" s="7" t="s">
        <v>6656</v>
      </c>
      <c r="G284" s="6" t="s">
        <v>6312</v>
      </c>
      <c r="H284" s="6" t="s">
        <v>3</v>
      </c>
      <c r="I284" s="6"/>
      <c r="J284" s="6"/>
      <c r="K284" s="6" t="s">
        <v>5355</v>
      </c>
      <c r="L284" s="6" t="s">
        <v>5356</v>
      </c>
      <c r="M284" s="6"/>
      <c r="N284" s="6" t="s">
        <v>5353</v>
      </c>
      <c r="O284" s="6" t="str">
        <f>HYPERLINK("https://ceds.ed.gov/cedselementdetails.aspx?termid=5255")</f>
        <v>https://ceds.ed.gov/cedselementdetails.aspx?termid=5255</v>
      </c>
      <c r="P284" s="6" t="str">
        <f>HYPERLINK("https://ceds.ed.gov/elementComment.aspx?elementName=Sex &amp;elementID=5255", "Click here to submit comment")</f>
        <v>Click here to submit comment</v>
      </c>
    </row>
    <row r="285" spans="1:16" ht="225">
      <c r="A285" s="6" t="s">
        <v>6715</v>
      </c>
      <c r="B285" s="6" t="s">
        <v>6768</v>
      </c>
      <c r="C285" s="6" t="s">
        <v>6722</v>
      </c>
      <c r="D285" s="6" t="s">
        <v>351</v>
      </c>
      <c r="E285" s="6" t="s">
        <v>352</v>
      </c>
      <c r="F285" s="7" t="s">
        <v>6373</v>
      </c>
      <c r="G285" s="6" t="s">
        <v>5986</v>
      </c>
      <c r="H285" s="6"/>
      <c r="I285" s="6"/>
      <c r="J285" s="6"/>
      <c r="K285" s="6" t="s">
        <v>353</v>
      </c>
      <c r="L285" s="6" t="s">
        <v>354</v>
      </c>
      <c r="M285" s="6"/>
      <c r="N285" s="6" t="s">
        <v>355</v>
      </c>
      <c r="O285" s="6" t="str">
        <f>HYPERLINK("https://ceds.ed.gov/cedselementdetails.aspx?termid=5655")</f>
        <v>https://ceds.ed.gov/cedselementdetails.aspx?termid=5655</v>
      </c>
      <c r="P285" s="6" t="str">
        <f>HYPERLINK("https://ceds.ed.gov/elementComment.aspx?elementName=American Indian or Alaska Native &amp;elementID=5655", "Click here to submit comment")</f>
        <v>Click here to submit comment</v>
      </c>
    </row>
    <row r="286" spans="1:16" ht="225">
      <c r="A286" s="6" t="s">
        <v>6715</v>
      </c>
      <c r="B286" s="6" t="s">
        <v>6768</v>
      </c>
      <c r="C286" s="6" t="s">
        <v>6722</v>
      </c>
      <c r="D286" s="6" t="s">
        <v>392</v>
      </c>
      <c r="E286" s="6" t="s">
        <v>393</v>
      </c>
      <c r="F286" s="7" t="s">
        <v>6373</v>
      </c>
      <c r="G286" s="6" t="s">
        <v>5986</v>
      </c>
      <c r="H286" s="6"/>
      <c r="I286" s="6"/>
      <c r="J286" s="6"/>
      <c r="K286" s="6" t="s">
        <v>353</v>
      </c>
      <c r="L286" s="6" t="s">
        <v>394</v>
      </c>
      <c r="M286" s="6"/>
      <c r="N286" s="6" t="s">
        <v>392</v>
      </c>
      <c r="O286" s="6" t="str">
        <f>HYPERLINK("https://ceds.ed.gov/cedselementdetails.aspx?termid=5656")</f>
        <v>https://ceds.ed.gov/cedselementdetails.aspx?termid=5656</v>
      </c>
      <c r="P286" s="6" t="str">
        <f>HYPERLINK("https://ceds.ed.gov/elementComment.aspx?elementName=Asian &amp;elementID=5656", "Click here to submit comment")</f>
        <v>Click here to submit comment</v>
      </c>
    </row>
    <row r="287" spans="1:16" ht="225">
      <c r="A287" s="6" t="s">
        <v>6715</v>
      </c>
      <c r="B287" s="6" t="s">
        <v>6768</v>
      </c>
      <c r="C287" s="6" t="s">
        <v>6722</v>
      </c>
      <c r="D287" s="6" t="s">
        <v>1483</v>
      </c>
      <c r="E287" s="6" t="s">
        <v>1484</v>
      </c>
      <c r="F287" s="7" t="s">
        <v>6373</v>
      </c>
      <c r="G287" s="6" t="s">
        <v>5986</v>
      </c>
      <c r="H287" s="6"/>
      <c r="I287" s="6"/>
      <c r="J287" s="6"/>
      <c r="K287" s="6" t="s">
        <v>353</v>
      </c>
      <c r="L287" s="6" t="s">
        <v>1485</v>
      </c>
      <c r="M287" s="6"/>
      <c r="N287" s="6" t="s">
        <v>1486</v>
      </c>
      <c r="O287" s="6" t="str">
        <f>HYPERLINK("https://ceds.ed.gov/cedselementdetails.aspx?termid=5657")</f>
        <v>https://ceds.ed.gov/cedselementdetails.aspx?termid=5657</v>
      </c>
      <c r="P287" s="6" t="str">
        <f>HYPERLINK("https://ceds.ed.gov/elementComment.aspx?elementName=Black or African American &amp;elementID=5657", "Click here to submit comment")</f>
        <v>Click here to submit comment</v>
      </c>
    </row>
    <row r="288" spans="1:16" ht="225">
      <c r="A288" s="6" t="s">
        <v>6715</v>
      </c>
      <c r="B288" s="6" t="s">
        <v>6768</v>
      </c>
      <c r="C288" s="6" t="s">
        <v>6722</v>
      </c>
      <c r="D288" s="6" t="s">
        <v>4202</v>
      </c>
      <c r="E288" s="6" t="s">
        <v>4203</v>
      </c>
      <c r="F288" s="7" t="s">
        <v>6373</v>
      </c>
      <c r="G288" s="6" t="s">
        <v>5986</v>
      </c>
      <c r="H288" s="6"/>
      <c r="I288" s="6"/>
      <c r="J288" s="6"/>
      <c r="K288" s="6" t="s">
        <v>353</v>
      </c>
      <c r="L288" s="6" t="s">
        <v>4204</v>
      </c>
      <c r="M288" s="6"/>
      <c r="N288" s="6" t="s">
        <v>4205</v>
      </c>
      <c r="O288" s="6" t="str">
        <f>HYPERLINK("https://ceds.ed.gov/cedselementdetails.aspx?termid=5658")</f>
        <v>https://ceds.ed.gov/cedselementdetails.aspx?termid=5658</v>
      </c>
      <c r="P288" s="6" t="str">
        <f>HYPERLINK("https://ceds.ed.gov/elementComment.aspx?elementName=Native Hawaiian or Other Pacific Islander &amp;elementID=5658", "Click here to submit comment")</f>
        <v>Click here to submit comment</v>
      </c>
    </row>
    <row r="289" spans="1:16" ht="225">
      <c r="A289" s="6" t="s">
        <v>6715</v>
      </c>
      <c r="B289" s="6" t="s">
        <v>6768</v>
      </c>
      <c r="C289" s="6" t="s">
        <v>6722</v>
      </c>
      <c r="D289" s="6" t="s">
        <v>5925</v>
      </c>
      <c r="E289" s="6" t="s">
        <v>5926</v>
      </c>
      <c r="F289" s="7" t="s">
        <v>6373</v>
      </c>
      <c r="G289" s="6" t="s">
        <v>5986</v>
      </c>
      <c r="H289" s="6"/>
      <c r="I289" s="6"/>
      <c r="J289" s="6"/>
      <c r="K289" s="6" t="s">
        <v>353</v>
      </c>
      <c r="L289" s="6" t="s">
        <v>5927</v>
      </c>
      <c r="M289" s="6"/>
      <c r="N289" s="6" t="s">
        <v>5925</v>
      </c>
      <c r="O289" s="6" t="str">
        <f>HYPERLINK("https://ceds.ed.gov/cedselementdetails.aspx?termid=5659")</f>
        <v>https://ceds.ed.gov/cedselementdetails.aspx?termid=5659</v>
      </c>
      <c r="P289" s="6" t="str">
        <f>HYPERLINK("https://ceds.ed.gov/elementComment.aspx?elementName=White &amp;elementID=5659", "Click here to submit comment")</f>
        <v>Click here to submit comment</v>
      </c>
    </row>
    <row r="290" spans="1:16" ht="225">
      <c r="A290" s="6" t="s">
        <v>6715</v>
      </c>
      <c r="B290" s="6" t="s">
        <v>6768</v>
      </c>
      <c r="C290" s="6" t="s">
        <v>6722</v>
      </c>
      <c r="D290" s="6" t="s">
        <v>2985</v>
      </c>
      <c r="E290" s="6" t="s">
        <v>2986</v>
      </c>
      <c r="F290" s="7" t="s">
        <v>6373</v>
      </c>
      <c r="G290" s="6" t="s">
        <v>5986</v>
      </c>
      <c r="H290" s="6"/>
      <c r="I290" s="6"/>
      <c r="J290" s="6"/>
      <c r="K290" s="6" t="s">
        <v>353</v>
      </c>
      <c r="L290" s="6" t="s">
        <v>2987</v>
      </c>
      <c r="M290" s="6"/>
      <c r="N290" s="6" t="s">
        <v>2988</v>
      </c>
      <c r="O290" s="6" t="str">
        <f>HYPERLINK("https://ceds.ed.gov/cedselementdetails.aspx?termid=5144")</f>
        <v>https://ceds.ed.gov/cedselementdetails.aspx?termid=5144</v>
      </c>
      <c r="P290" s="6" t="str">
        <f>HYPERLINK("https://ceds.ed.gov/elementComment.aspx?elementName=Hispanic or Latino Ethnicity &amp;elementID=5144", "Click here to submit comment")</f>
        <v>Click here to submit comment</v>
      </c>
    </row>
    <row r="291" spans="1:16" ht="225">
      <c r="A291" s="6" t="s">
        <v>6715</v>
      </c>
      <c r="B291" s="6" t="s">
        <v>6768</v>
      </c>
      <c r="C291" s="6" t="s">
        <v>6743</v>
      </c>
      <c r="D291" s="6" t="s">
        <v>4189</v>
      </c>
      <c r="E291" s="6" t="s">
        <v>4190</v>
      </c>
      <c r="F291" s="6" t="s">
        <v>13</v>
      </c>
      <c r="G291" s="6" t="s">
        <v>6257</v>
      </c>
      <c r="H291" s="6"/>
      <c r="I291" s="6" t="s">
        <v>106</v>
      </c>
      <c r="J291" s="6"/>
      <c r="K291" s="6"/>
      <c r="L291" s="6" t="s">
        <v>4191</v>
      </c>
      <c r="M291" s="6"/>
      <c r="N291" s="6" t="s">
        <v>4192</v>
      </c>
      <c r="O291" s="6" t="str">
        <f>HYPERLINK("https://ceds.ed.gov/cedselementdetails.aspx?termid=5191")</f>
        <v>https://ceds.ed.gov/cedselementdetails.aspx?termid=5191</v>
      </c>
      <c r="P291" s="6" t="str">
        <f>HYPERLINK("https://ceds.ed.gov/elementComment.aspx?elementName=Name of Institution &amp;elementID=5191", "Click here to submit comment")</f>
        <v>Click here to submit comment</v>
      </c>
    </row>
    <row r="292" spans="1:16" ht="45">
      <c r="A292" s="6" t="s">
        <v>6715</v>
      </c>
      <c r="B292" s="6" t="s">
        <v>6768</v>
      </c>
      <c r="C292" s="6" t="s">
        <v>6743</v>
      </c>
      <c r="D292" s="6" t="s">
        <v>2294</v>
      </c>
      <c r="E292" s="6" t="s">
        <v>2295</v>
      </c>
      <c r="F292" s="6" t="s">
        <v>5963</v>
      </c>
      <c r="G292" s="6" t="s">
        <v>202</v>
      </c>
      <c r="H292" s="6"/>
      <c r="I292" s="6"/>
      <c r="J292" s="6"/>
      <c r="K292" s="6"/>
      <c r="L292" s="6" t="s">
        <v>2296</v>
      </c>
      <c r="M292" s="6"/>
      <c r="N292" s="6" t="s">
        <v>2297</v>
      </c>
      <c r="O292" s="6" t="str">
        <f>HYPERLINK("https://ceds.ed.gov/cedselementdetails.aspx?termid=5786")</f>
        <v>https://ceds.ed.gov/cedselementdetails.aspx?termid=5786</v>
      </c>
      <c r="P292" s="6" t="str">
        <f>HYPERLINK("https://ceds.ed.gov/elementComment.aspx?elementName=Early Childhood Degree or Certificate Holder &amp;elementID=5786", "Click here to submit comment")</f>
        <v>Click here to submit comment</v>
      </c>
    </row>
    <row r="293" spans="1:16" ht="150">
      <c r="A293" s="6" t="s">
        <v>6715</v>
      </c>
      <c r="B293" s="6" t="s">
        <v>6768</v>
      </c>
      <c r="C293" s="6" t="s">
        <v>6743</v>
      </c>
      <c r="D293" s="6" t="s">
        <v>3967</v>
      </c>
      <c r="E293" s="6" t="s">
        <v>3968</v>
      </c>
      <c r="F293" s="7" t="s">
        <v>6573</v>
      </c>
      <c r="G293" s="6" t="s">
        <v>6154</v>
      </c>
      <c r="H293" s="6"/>
      <c r="I293" s="6"/>
      <c r="J293" s="6"/>
      <c r="K293" s="6"/>
      <c r="L293" s="6" t="s">
        <v>3969</v>
      </c>
      <c r="M293" s="6"/>
      <c r="N293" s="6" t="s">
        <v>3970</v>
      </c>
      <c r="O293" s="6" t="str">
        <f>HYPERLINK("https://ceds.ed.gov/cedselementdetails.aspx?termid=5340")</f>
        <v>https://ceds.ed.gov/cedselementdetails.aspx?termid=5340</v>
      </c>
      <c r="P293" s="6" t="str">
        <f>HYPERLINK("https://ceds.ed.gov/elementComment.aspx?elementName=Level of Specialization in Early Learning &amp;elementID=5340", "Click here to submit comment")</f>
        <v>Click here to submit comment</v>
      </c>
    </row>
    <row r="294" spans="1:16" ht="60">
      <c r="A294" s="6" t="s">
        <v>6715</v>
      </c>
      <c r="B294" s="6" t="s">
        <v>6768</v>
      </c>
      <c r="C294" s="6" t="s">
        <v>6743</v>
      </c>
      <c r="D294" s="6" t="s">
        <v>2131</v>
      </c>
      <c r="E294" s="6" t="s">
        <v>2132</v>
      </c>
      <c r="F294" s="6" t="s">
        <v>13</v>
      </c>
      <c r="G294" s="6" t="s">
        <v>6131</v>
      </c>
      <c r="H294" s="6"/>
      <c r="I294" s="6" t="s">
        <v>1249</v>
      </c>
      <c r="J294" s="6"/>
      <c r="K294" s="6"/>
      <c r="L294" s="6" t="s">
        <v>2133</v>
      </c>
      <c r="M294" s="6"/>
      <c r="N294" s="6" t="s">
        <v>2134</v>
      </c>
      <c r="O294" s="6" t="str">
        <f>HYPERLINK("https://ceds.ed.gov/cedselementdetails.aspx?termid=5341")</f>
        <v>https://ceds.ed.gov/cedselementdetails.aspx?termid=5341</v>
      </c>
      <c r="P294" s="6" t="str">
        <f>HYPERLINK("https://ceds.ed.gov/elementComment.aspx?elementName=Degree or Certificate Title or Subject &amp;elementID=5341", "Click here to submit comment")</f>
        <v>Click here to submit comment</v>
      </c>
    </row>
    <row r="295" spans="1:16" ht="409.5">
      <c r="A295" s="6" t="s">
        <v>6715</v>
      </c>
      <c r="B295" s="6" t="s">
        <v>6768</v>
      </c>
      <c r="C295" s="6" t="s">
        <v>6743</v>
      </c>
      <c r="D295" s="6" t="s">
        <v>2135</v>
      </c>
      <c r="E295" s="6" t="s">
        <v>2136</v>
      </c>
      <c r="F295" s="7" t="s">
        <v>6454</v>
      </c>
      <c r="G295" s="6" t="s">
        <v>6131</v>
      </c>
      <c r="H295" s="6"/>
      <c r="I295" s="6"/>
      <c r="J295" s="6"/>
      <c r="K295" s="6"/>
      <c r="L295" s="6" t="s">
        <v>2137</v>
      </c>
      <c r="M295" s="6"/>
      <c r="N295" s="6" t="s">
        <v>2138</v>
      </c>
      <c r="O295" s="6" t="str">
        <f>HYPERLINK("https://ceds.ed.gov/cedselementdetails.aspx?termid=5342")</f>
        <v>https://ceds.ed.gov/cedselementdetails.aspx?termid=5342</v>
      </c>
      <c r="P295" s="6" t="str">
        <f>HYPERLINK("https://ceds.ed.gov/elementComment.aspx?elementName=Degree or Certificate Type &amp;elementID=5342", "Click here to submit comment")</f>
        <v>Click here to submit comment</v>
      </c>
    </row>
    <row r="296" spans="1:16" ht="60">
      <c r="A296" s="6" t="s">
        <v>6715</v>
      </c>
      <c r="B296" s="6" t="s">
        <v>6768</v>
      </c>
      <c r="C296" s="6" t="s">
        <v>6743</v>
      </c>
      <c r="D296" s="6" t="s">
        <v>2123</v>
      </c>
      <c r="E296" s="6" t="s">
        <v>2124</v>
      </c>
      <c r="F296" s="6" t="s">
        <v>13</v>
      </c>
      <c r="G296" s="6" t="s">
        <v>6131</v>
      </c>
      <c r="H296" s="6"/>
      <c r="I296" s="6" t="s">
        <v>73</v>
      </c>
      <c r="J296" s="6"/>
      <c r="K296" s="6"/>
      <c r="L296" s="6" t="s">
        <v>2125</v>
      </c>
      <c r="M296" s="6"/>
      <c r="N296" s="6" t="s">
        <v>2126</v>
      </c>
      <c r="O296" s="6" t="str">
        <f>HYPERLINK("https://ceds.ed.gov/cedselementdetails.aspx?termid=5343")</f>
        <v>https://ceds.ed.gov/cedselementdetails.aspx?termid=5343</v>
      </c>
      <c r="P296" s="6" t="str">
        <f>HYPERLINK("https://ceds.ed.gov/elementComment.aspx?elementName=Degree or Certificate Conferring Date &amp;elementID=5343", "Click here to submit comment")</f>
        <v>Click here to submit comment</v>
      </c>
    </row>
    <row r="297" spans="1:16" ht="90">
      <c r="A297" s="6" t="s">
        <v>6715</v>
      </c>
      <c r="B297" s="6" t="s">
        <v>6768</v>
      </c>
      <c r="C297" s="6" t="s">
        <v>6743</v>
      </c>
      <c r="D297" s="6" t="s">
        <v>5829</v>
      </c>
      <c r="E297" s="6" t="s">
        <v>5830</v>
      </c>
      <c r="F297" s="6" t="s">
        <v>13</v>
      </c>
      <c r="G297" s="6" t="s">
        <v>202</v>
      </c>
      <c r="H297" s="6"/>
      <c r="I297" s="6" t="s">
        <v>389</v>
      </c>
      <c r="J297" s="6"/>
      <c r="K297" s="6"/>
      <c r="L297" s="6" t="s">
        <v>5831</v>
      </c>
      <c r="M297" s="6"/>
      <c r="N297" s="6" t="s">
        <v>5832</v>
      </c>
      <c r="O297" s="6" t="str">
        <f>HYPERLINK("https://ceds.ed.gov/cedselementdetails.aspx?termid=5787")</f>
        <v>https://ceds.ed.gov/cedselementdetails.aspx?termid=5787</v>
      </c>
      <c r="P297" s="6" t="str">
        <f>HYPERLINK("https://ceds.ed.gov/elementComment.aspx?elementName=Total Approved Early Childhood Credits Earned &amp;elementID=5787", "Click here to submit comment")</f>
        <v>Click here to submit comment</v>
      </c>
    </row>
    <row r="298" spans="1:16" ht="60">
      <c r="A298" s="6" t="s">
        <v>6715</v>
      </c>
      <c r="B298" s="6" t="s">
        <v>6768</v>
      </c>
      <c r="C298" s="6" t="s">
        <v>6743</v>
      </c>
      <c r="D298" s="6" t="s">
        <v>386</v>
      </c>
      <c r="E298" s="6" t="s">
        <v>387</v>
      </c>
      <c r="F298" s="6" t="s">
        <v>13</v>
      </c>
      <c r="G298" s="6" t="s">
        <v>202</v>
      </c>
      <c r="H298" s="6"/>
      <c r="I298" s="6" t="s">
        <v>389</v>
      </c>
      <c r="J298" s="6"/>
      <c r="K298" s="6"/>
      <c r="L298" s="6" t="s">
        <v>390</v>
      </c>
      <c r="M298" s="6"/>
      <c r="N298" s="6" t="s">
        <v>391</v>
      </c>
      <c r="O298" s="6" t="str">
        <f>HYPERLINK("https://ceds.ed.gov/cedselementdetails.aspx?termid=5790")</f>
        <v>https://ceds.ed.gov/cedselementdetails.aspx?termid=5790</v>
      </c>
      <c r="P298" s="6" t="str">
        <f>HYPERLINK("https://ceds.ed.gov/elementComment.aspx?elementName=Approved Early Childhood Credits Earned By a Non-ECE Degree Holder &amp;elementID=5790", "Click here to submit comment")</f>
        <v>Click here to submit comment</v>
      </c>
    </row>
    <row r="299" spans="1:16" ht="75">
      <c r="A299" s="6" t="s">
        <v>6715</v>
      </c>
      <c r="B299" s="6" t="s">
        <v>6768</v>
      </c>
      <c r="C299" s="6" t="s">
        <v>6743</v>
      </c>
      <c r="D299" s="6" t="s">
        <v>2424</v>
      </c>
      <c r="E299" s="6" t="s">
        <v>2425</v>
      </c>
      <c r="F299" s="6" t="s">
        <v>13</v>
      </c>
      <c r="G299" s="6" t="s">
        <v>202</v>
      </c>
      <c r="H299" s="6"/>
      <c r="I299" s="6" t="s">
        <v>389</v>
      </c>
      <c r="J299" s="6"/>
      <c r="K299" s="6"/>
      <c r="L299" s="6" t="s">
        <v>2426</v>
      </c>
      <c r="M299" s="6"/>
      <c r="N299" s="6" t="s">
        <v>2427</v>
      </c>
      <c r="O299" s="6" t="str">
        <f>HYPERLINK("https://ceds.ed.gov/cedselementdetails.aspx?termid=5791")</f>
        <v>https://ceds.ed.gov/cedselementdetails.aspx?termid=5791</v>
      </c>
      <c r="P299" s="6" t="str">
        <f>HYPERLINK("https://ceds.ed.gov/elementComment.aspx?elementName=Early Learning Staff Total College Credits Earned &amp;elementID=5791", "Click here to submit comment")</f>
        <v>Click here to submit comment</v>
      </c>
    </row>
    <row r="300" spans="1:16" ht="75">
      <c r="A300" s="6" t="s">
        <v>6715</v>
      </c>
      <c r="B300" s="6" t="s">
        <v>6768</v>
      </c>
      <c r="C300" s="6" t="s">
        <v>6743</v>
      </c>
      <c r="D300" s="6" t="s">
        <v>4308</v>
      </c>
      <c r="E300" s="6" t="s">
        <v>4309</v>
      </c>
      <c r="F300" s="6" t="s">
        <v>13</v>
      </c>
      <c r="G300" s="6" t="s">
        <v>202</v>
      </c>
      <c r="H300" s="6"/>
      <c r="I300" s="6" t="s">
        <v>389</v>
      </c>
      <c r="J300" s="6"/>
      <c r="K300" s="6"/>
      <c r="L300" s="6" t="s">
        <v>4310</v>
      </c>
      <c r="M300" s="6"/>
      <c r="N300" s="6" t="s">
        <v>4311</v>
      </c>
      <c r="O300" s="6" t="str">
        <f>HYPERLINK("https://ceds.ed.gov/cedselementdetails.aspx?termid=5815")</f>
        <v>https://ceds.ed.gov/cedselementdetails.aspx?termid=5815</v>
      </c>
      <c r="P300" s="6" t="str">
        <f>HYPERLINK("https://ceds.ed.gov/elementComment.aspx?elementName=Number of School-age Education Postsecondary Credit Hours &amp;elementID=5815", "Click here to submit comment")</f>
        <v>Click here to submit comment</v>
      </c>
    </row>
    <row r="301" spans="1:16" ht="60">
      <c r="A301" s="6" t="s">
        <v>6715</v>
      </c>
      <c r="B301" s="6" t="s">
        <v>6768</v>
      </c>
      <c r="C301" s="6" t="s">
        <v>6743</v>
      </c>
      <c r="D301" s="6" t="s">
        <v>4245</v>
      </c>
      <c r="E301" s="6" t="s">
        <v>4246</v>
      </c>
      <c r="F301" s="6" t="s">
        <v>13</v>
      </c>
      <c r="G301" s="6" t="s">
        <v>202</v>
      </c>
      <c r="H301" s="6"/>
      <c r="I301" s="6" t="s">
        <v>389</v>
      </c>
      <c r="J301" s="6"/>
      <c r="K301" s="6"/>
      <c r="L301" s="6" t="s">
        <v>4247</v>
      </c>
      <c r="M301" s="6"/>
      <c r="N301" s="6" t="s">
        <v>4248</v>
      </c>
      <c r="O301" s="6" t="str">
        <f>HYPERLINK("https://ceds.ed.gov/cedselementdetails.aspx?termid=5816")</f>
        <v>https://ceds.ed.gov/cedselementdetails.aspx?termid=5816</v>
      </c>
      <c r="P301" s="6" t="str">
        <f>HYPERLINK("https://ceds.ed.gov/elementComment.aspx?elementName=Number of Business-related Postsecondary Credit Hours &amp;elementID=5816", "Click here to submit comment")</f>
        <v>Click here to submit comment</v>
      </c>
    </row>
    <row r="302" spans="1:16" ht="75">
      <c r="A302" s="6" t="s">
        <v>6715</v>
      </c>
      <c r="B302" s="6" t="s">
        <v>6768</v>
      </c>
      <c r="C302" s="6" t="s">
        <v>6743</v>
      </c>
      <c r="D302" s="6" t="s">
        <v>5472</v>
      </c>
      <c r="E302" s="6" t="s">
        <v>5473</v>
      </c>
      <c r="F302" s="6" t="s">
        <v>13</v>
      </c>
      <c r="G302" s="6" t="s">
        <v>202</v>
      </c>
      <c r="H302" s="6"/>
      <c r="I302" s="6" t="s">
        <v>73</v>
      </c>
      <c r="J302" s="6"/>
      <c r="K302" s="6"/>
      <c r="L302" s="6" t="s">
        <v>5474</v>
      </c>
      <c r="M302" s="6"/>
      <c r="N302" s="6" t="s">
        <v>5475</v>
      </c>
      <c r="O302" s="6" t="str">
        <f>HYPERLINK("https://ceds.ed.gov/cedselementdetails.aspx?termid=5792")</f>
        <v>https://ceds.ed.gov/cedselementdetails.aspx?termid=5792</v>
      </c>
      <c r="P302" s="6" t="str">
        <f>HYPERLINK("https://ceds.ed.gov/elementComment.aspx?elementName=Staff Education Entry Date &amp;elementID=5792", "Click here to submit comment")</f>
        <v>Click here to submit comment</v>
      </c>
    </row>
    <row r="303" spans="1:16" ht="75">
      <c r="A303" s="6" t="s">
        <v>6715</v>
      </c>
      <c r="B303" s="6" t="s">
        <v>6768</v>
      </c>
      <c r="C303" s="6" t="s">
        <v>6743</v>
      </c>
      <c r="D303" s="6" t="s">
        <v>5476</v>
      </c>
      <c r="E303" s="6" t="s">
        <v>5477</v>
      </c>
      <c r="F303" s="6" t="s">
        <v>13</v>
      </c>
      <c r="G303" s="6" t="s">
        <v>202</v>
      </c>
      <c r="H303" s="6"/>
      <c r="I303" s="6" t="s">
        <v>73</v>
      </c>
      <c r="J303" s="6"/>
      <c r="K303" s="6"/>
      <c r="L303" s="6" t="s">
        <v>5478</v>
      </c>
      <c r="M303" s="6"/>
      <c r="N303" s="6" t="s">
        <v>5479</v>
      </c>
      <c r="O303" s="6" t="str">
        <f>HYPERLINK("https://ceds.ed.gov/cedselementdetails.aspx?termid=5793")</f>
        <v>https://ceds.ed.gov/cedselementdetails.aspx?termid=5793</v>
      </c>
      <c r="P303" s="6" t="str">
        <f>HYPERLINK("https://ceds.ed.gov/elementComment.aspx?elementName=Staff Education Withdrawal Date &amp;elementID=5793", "Click here to submit comment")</f>
        <v>Click here to submit comment</v>
      </c>
    </row>
    <row r="304" spans="1:16" ht="409.5">
      <c r="A304" s="6" t="s">
        <v>6715</v>
      </c>
      <c r="B304" s="6" t="s">
        <v>6768</v>
      </c>
      <c r="C304" s="6" t="s">
        <v>6743</v>
      </c>
      <c r="D304" s="6" t="s">
        <v>2970</v>
      </c>
      <c r="E304" s="6" t="s">
        <v>2971</v>
      </c>
      <c r="F304" s="7" t="s">
        <v>6531</v>
      </c>
      <c r="G304" s="6" t="s">
        <v>6195</v>
      </c>
      <c r="H304" s="6" t="s">
        <v>66</v>
      </c>
      <c r="I304" s="6"/>
      <c r="J304" s="6" t="s">
        <v>2972</v>
      </c>
      <c r="K304" s="6"/>
      <c r="L304" s="6" t="s">
        <v>2973</v>
      </c>
      <c r="M304" s="6"/>
      <c r="N304" s="6" t="s">
        <v>2974</v>
      </c>
      <c r="O304" s="6" t="str">
        <f>HYPERLINK("https://ceds.ed.gov/cedselementdetails.aspx?termid=5141")</f>
        <v>https://ceds.ed.gov/cedselementdetails.aspx?termid=5141</v>
      </c>
      <c r="P304" s="6" t="str">
        <f>HYPERLINK("https://ceds.ed.gov/elementComment.aspx?elementName=Highest Level of Education Completed &amp;elementID=5141", "Click here to submit comment")</f>
        <v>Click here to submit comment</v>
      </c>
    </row>
    <row r="305" spans="1:16" ht="135">
      <c r="A305" s="6" t="s">
        <v>6715</v>
      </c>
      <c r="B305" s="6" t="s">
        <v>6768</v>
      </c>
      <c r="C305" s="6" t="s">
        <v>6743</v>
      </c>
      <c r="D305" s="6" t="s">
        <v>2189</v>
      </c>
      <c r="E305" s="6" t="s">
        <v>2190</v>
      </c>
      <c r="F305" s="6" t="s">
        <v>13</v>
      </c>
      <c r="G305" s="6" t="s">
        <v>6135</v>
      </c>
      <c r="H305" s="6"/>
      <c r="I305" s="6" t="s">
        <v>2191</v>
      </c>
      <c r="J305" s="6"/>
      <c r="K305" s="6"/>
      <c r="L305" s="6" t="s">
        <v>2192</v>
      </c>
      <c r="M305" s="6"/>
      <c r="N305" s="6" t="s">
        <v>2193</v>
      </c>
      <c r="O305" s="6" t="str">
        <f>HYPERLINK("https://ceds.ed.gov/cedselementdetails.aspx?termid=5081")</f>
        <v>https://ceds.ed.gov/cedselementdetails.aspx?termid=5081</v>
      </c>
      <c r="P305" s="6" t="str">
        <f>HYPERLINK("https://ceds.ed.gov/elementComment.aspx?elementName=Diploma or Credential Award Date &amp;elementID=5081", "Click here to submit comment")</f>
        <v>Click here to submit comment</v>
      </c>
    </row>
    <row r="306" spans="1:16" ht="195">
      <c r="A306" s="6" t="s">
        <v>6715</v>
      </c>
      <c r="B306" s="6" t="s">
        <v>6768</v>
      </c>
      <c r="C306" s="6" t="s">
        <v>6743</v>
      </c>
      <c r="D306" s="6" t="s">
        <v>2966</v>
      </c>
      <c r="E306" s="6" t="s">
        <v>2967</v>
      </c>
      <c r="F306" s="7" t="s">
        <v>6530</v>
      </c>
      <c r="G306" s="6" t="s">
        <v>202</v>
      </c>
      <c r="H306" s="6"/>
      <c r="I306" s="6"/>
      <c r="J306" s="6"/>
      <c r="K306" s="6"/>
      <c r="L306" s="6" t="s">
        <v>2968</v>
      </c>
      <c r="M306" s="6"/>
      <c r="N306" s="6" t="s">
        <v>2969</v>
      </c>
      <c r="O306" s="6" t="str">
        <f>HYPERLINK("https://ceds.ed.gov/cedselementdetails.aspx?termid=5817")</f>
        <v>https://ceds.ed.gov/cedselementdetails.aspx?termid=5817</v>
      </c>
      <c r="P306" s="6" t="str">
        <f>HYPERLINK("https://ceds.ed.gov/elementComment.aspx?elementName=Higher Education Institution Accreditation Status &amp;elementID=5817", "Click here to submit comment")</f>
        <v>Click here to submit comment</v>
      </c>
    </row>
    <row r="307" spans="1:16" ht="90">
      <c r="A307" s="6" t="s">
        <v>6715</v>
      </c>
      <c r="B307" s="6" t="s">
        <v>6768</v>
      </c>
      <c r="C307" s="6" t="s">
        <v>6743</v>
      </c>
      <c r="D307" s="6" t="s">
        <v>5361</v>
      </c>
      <c r="E307" s="6" t="s">
        <v>5362</v>
      </c>
      <c r="F307" s="6" t="s">
        <v>13</v>
      </c>
      <c r="G307" s="6"/>
      <c r="H307" s="6" t="s">
        <v>54</v>
      </c>
      <c r="I307" s="6" t="s">
        <v>100</v>
      </c>
      <c r="J307" s="6"/>
      <c r="K307" s="6" t="s">
        <v>5363</v>
      </c>
      <c r="L307" s="6" t="s">
        <v>5364</v>
      </c>
      <c r="M307" s="6"/>
      <c r="N307" s="6" t="s">
        <v>5365</v>
      </c>
      <c r="O307" s="6" t="str">
        <f>HYPERLINK("https://ceds.ed.gov/cedselementdetails.aspx?termid=6459")</f>
        <v>https://ceds.ed.gov/cedselementdetails.aspx?termid=6459</v>
      </c>
      <c r="P307" s="6" t="str">
        <f>HYPERLINK("https://ceds.ed.gov/elementComment.aspx?elementName=Short Name of Institution &amp;elementID=6459", "Click here to submit comment")</f>
        <v>Click here to submit comment</v>
      </c>
    </row>
    <row r="308" spans="1:16" ht="409.5">
      <c r="A308" s="6" t="s">
        <v>6715</v>
      </c>
      <c r="B308" s="6" t="s">
        <v>6768</v>
      </c>
      <c r="C308" s="6" t="s">
        <v>6770</v>
      </c>
      <c r="D308" s="6" t="s">
        <v>2443</v>
      </c>
      <c r="E308" s="6" t="s">
        <v>2444</v>
      </c>
      <c r="F308" s="7" t="s">
        <v>6488</v>
      </c>
      <c r="G308" s="6" t="s">
        <v>6147</v>
      </c>
      <c r="H308" s="6"/>
      <c r="I308" s="6"/>
      <c r="J308" s="6"/>
      <c r="K308" s="6"/>
      <c r="L308" s="6" t="s">
        <v>2445</v>
      </c>
      <c r="M308" s="6"/>
      <c r="N308" s="6" t="s">
        <v>2446</v>
      </c>
      <c r="O308" s="6" t="str">
        <f>HYPERLINK("https://ceds.ed.gov/cedselementdetails.aspx?termid=5087")</f>
        <v>https://ceds.ed.gov/cedselementdetails.aspx?termid=5087</v>
      </c>
      <c r="P308" s="6" t="str">
        <f>HYPERLINK("https://ceds.ed.gov/elementComment.aspx?elementName=Education Staff Classification &amp;elementID=5087", "Click here to submit comment")</f>
        <v>Click here to submit comment</v>
      </c>
    </row>
    <row r="309" spans="1:16" ht="210">
      <c r="A309" s="6" t="s">
        <v>6715</v>
      </c>
      <c r="B309" s="6" t="s">
        <v>6768</v>
      </c>
      <c r="C309" s="6" t="s">
        <v>6770</v>
      </c>
      <c r="D309" s="6" t="s">
        <v>2980</v>
      </c>
      <c r="E309" s="6" t="s">
        <v>2981</v>
      </c>
      <c r="F309" s="6" t="s">
        <v>13</v>
      </c>
      <c r="G309" s="6" t="s">
        <v>6197</v>
      </c>
      <c r="H309" s="6" t="s">
        <v>3</v>
      </c>
      <c r="I309" s="6" t="s">
        <v>73</v>
      </c>
      <c r="J309" s="6"/>
      <c r="K309" s="6" t="s">
        <v>2982</v>
      </c>
      <c r="L309" s="6" t="s">
        <v>2983</v>
      </c>
      <c r="M309" s="6"/>
      <c r="N309" s="6" t="s">
        <v>2984</v>
      </c>
      <c r="O309" s="6" t="str">
        <f>HYPERLINK("https://ceds.ed.gov/cedselementdetails.aspx?termid=5143")</f>
        <v>https://ceds.ed.gov/cedselementdetails.aspx?termid=5143</v>
      </c>
      <c r="P309" s="6" t="str">
        <f>HYPERLINK("https://ceds.ed.gov/elementComment.aspx?elementName=Hire Date &amp;elementID=5143", "Click here to submit comment")</f>
        <v>Click here to submit comment</v>
      </c>
    </row>
    <row r="310" spans="1:16" ht="60">
      <c r="A310" s="6" t="s">
        <v>6715</v>
      </c>
      <c r="B310" s="6" t="s">
        <v>6768</v>
      </c>
      <c r="C310" s="6" t="s">
        <v>6770</v>
      </c>
      <c r="D310" s="6" t="s">
        <v>2534</v>
      </c>
      <c r="E310" s="6" t="s">
        <v>2535</v>
      </c>
      <c r="F310" s="6" t="s">
        <v>13</v>
      </c>
      <c r="G310" s="6" t="s">
        <v>6154</v>
      </c>
      <c r="H310" s="6" t="s">
        <v>3</v>
      </c>
      <c r="I310" s="6" t="s">
        <v>73</v>
      </c>
      <c r="J310" s="6"/>
      <c r="K310" s="6"/>
      <c r="L310" s="6" t="s">
        <v>2536</v>
      </c>
      <c r="M310" s="6"/>
      <c r="N310" s="6" t="s">
        <v>2537</v>
      </c>
      <c r="O310" s="6" t="str">
        <f>HYPERLINK("https://ceds.ed.gov/cedselementdetails.aspx?termid=5345")</f>
        <v>https://ceds.ed.gov/cedselementdetails.aspx?termid=5345</v>
      </c>
      <c r="P310" s="6" t="str">
        <f>HYPERLINK("https://ceds.ed.gov/elementComment.aspx?elementName=Employment Start Date &amp;elementID=5345", "Click here to submit comment")</f>
        <v>Click here to submit comment</v>
      </c>
    </row>
    <row r="311" spans="1:16" ht="60">
      <c r="A311" s="6" t="s">
        <v>6715</v>
      </c>
      <c r="B311" s="6" t="s">
        <v>6768</v>
      </c>
      <c r="C311" s="6" t="s">
        <v>6770</v>
      </c>
      <c r="D311" s="6" t="s">
        <v>2492</v>
      </c>
      <c r="E311" s="6" t="s">
        <v>2493</v>
      </c>
      <c r="F311" s="6" t="s">
        <v>13</v>
      </c>
      <c r="G311" s="6" t="s">
        <v>202</v>
      </c>
      <c r="H311" s="6" t="s">
        <v>3</v>
      </c>
      <c r="I311" s="6" t="s">
        <v>73</v>
      </c>
      <c r="J311" s="6"/>
      <c r="K311" s="6"/>
      <c r="L311" s="6" t="s">
        <v>2494</v>
      </c>
      <c r="M311" s="6"/>
      <c r="N311" s="6" t="s">
        <v>2495</v>
      </c>
      <c r="O311" s="6" t="str">
        <f>HYPERLINK("https://ceds.ed.gov/cedselementdetails.aspx?termid=5794")</f>
        <v>https://ceds.ed.gov/cedselementdetails.aspx?termid=5794</v>
      </c>
      <c r="P311" s="6" t="str">
        <f>HYPERLINK("https://ceds.ed.gov/elementComment.aspx?elementName=Employment End Date &amp;elementID=5794", "Click here to submit comment")</f>
        <v>Click here to submit comment</v>
      </c>
    </row>
    <row r="312" spans="1:16" ht="315">
      <c r="A312" s="6" t="s">
        <v>6715</v>
      </c>
      <c r="B312" s="6" t="s">
        <v>6768</v>
      </c>
      <c r="C312" s="6" t="s">
        <v>6770</v>
      </c>
      <c r="D312" s="6" t="s">
        <v>2538</v>
      </c>
      <c r="E312" s="6" t="s">
        <v>285</v>
      </c>
      <c r="F312" s="7" t="s">
        <v>6496</v>
      </c>
      <c r="G312" s="6" t="s">
        <v>6131</v>
      </c>
      <c r="H312" s="6"/>
      <c r="I312" s="6"/>
      <c r="J312" s="6"/>
      <c r="K312" s="6"/>
      <c r="L312" s="6" t="s">
        <v>2539</v>
      </c>
      <c r="M312" s="6"/>
      <c r="N312" s="6" t="s">
        <v>2540</v>
      </c>
      <c r="O312" s="6" t="str">
        <f>HYPERLINK("https://ceds.ed.gov/cedselementdetails.aspx?termid=5346")</f>
        <v>https://ceds.ed.gov/cedselementdetails.aspx?termid=5346</v>
      </c>
      <c r="P312" s="6" t="str">
        <f>HYPERLINK("https://ceds.ed.gov/elementComment.aspx?elementName=Employment Status &amp;elementID=5346", "Click here to submit comment")</f>
        <v>Click here to submit comment</v>
      </c>
    </row>
    <row r="313" spans="1:16" ht="30">
      <c r="A313" s="6" t="s">
        <v>6715</v>
      </c>
      <c r="B313" s="6" t="s">
        <v>6768</v>
      </c>
      <c r="C313" s="6" t="s">
        <v>6770</v>
      </c>
      <c r="D313" s="6" t="s">
        <v>3019</v>
      </c>
      <c r="E313" s="6" t="s">
        <v>3020</v>
      </c>
      <c r="F313" s="6" t="s">
        <v>13</v>
      </c>
      <c r="G313" s="6" t="s">
        <v>202</v>
      </c>
      <c r="H313" s="6"/>
      <c r="I313" s="6" t="s">
        <v>389</v>
      </c>
      <c r="J313" s="6"/>
      <c r="K313" s="6"/>
      <c r="L313" s="6" t="s">
        <v>3021</v>
      </c>
      <c r="M313" s="6"/>
      <c r="N313" s="6" t="s">
        <v>3022</v>
      </c>
      <c r="O313" s="6" t="str">
        <f>HYPERLINK("https://ceds.ed.gov/cedselementdetails.aspx?termid=5795")</f>
        <v>https://ceds.ed.gov/cedselementdetails.aspx?termid=5795</v>
      </c>
      <c r="P313" s="6" t="str">
        <f>HYPERLINK("https://ceds.ed.gov/elementComment.aspx?elementName=Hours Worked Per Week &amp;elementID=5795", "Click here to submit comment")</f>
        <v>Click here to submit comment</v>
      </c>
    </row>
    <row r="314" spans="1:16" ht="30">
      <c r="A314" s="6" t="s">
        <v>6715</v>
      </c>
      <c r="B314" s="6" t="s">
        <v>6768</v>
      </c>
      <c r="C314" s="6" t="s">
        <v>6770</v>
      </c>
      <c r="D314" s="6" t="s">
        <v>3010</v>
      </c>
      <c r="E314" s="6" t="s">
        <v>3011</v>
      </c>
      <c r="F314" s="6" t="s">
        <v>13</v>
      </c>
      <c r="G314" s="6" t="s">
        <v>202</v>
      </c>
      <c r="H314" s="6"/>
      <c r="I314" s="6" t="s">
        <v>389</v>
      </c>
      <c r="J314" s="6"/>
      <c r="K314" s="6"/>
      <c r="L314" s="6" t="s">
        <v>3013</v>
      </c>
      <c r="M314" s="6"/>
      <c r="N314" s="6" t="s">
        <v>3014</v>
      </c>
      <c r="O314" s="6" t="str">
        <f>HYPERLINK("https://ceds.ed.gov/cedselementdetails.aspx?termid=5796")</f>
        <v>https://ceds.ed.gov/cedselementdetails.aspx?termid=5796</v>
      </c>
      <c r="P314" s="6" t="str">
        <f>HYPERLINK("https://ceds.ed.gov/elementComment.aspx?elementName=Hourly Wage &amp;elementID=5796", "Click here to submit comment")</f>
        <v>Click here to submit comment</v>
      </c>
    </row>
    <row r="315" spans="1:16" ht="180">
      <c r="A315" s="6" t="s">
        <v>6715</v>
      </c>
      <c r="B315" s="6" t="s">
        <v>6768</v>
      </c>
      <c r="C315" s="6" t="s">
        <v>6770</v>
      </c>
      <c r="D315" s="6" t="s">
        <v>5891</v>
      </c>
      <c r="E315" s="6" t="s">
        <v>5892</v>
      </c>
      <c r="F315" s="7" t="s">
        <v>6692</v>
      </c>
      <c r="G315" s="6" t="s">
        <v>202</v>
      </c>
      <c r="H315" s="6"/>
      <c r="I315" s="6"/>
      <c r="J315" s="6"/>
      <c r="K315" s="6"/>
      <c r="L315" s="6" t="s">
        <v>5893</v>
      </c>
      <c r="M315" s="6"/>
      <c r="N315" s="6" t="s">
        <v>5894</v>
      </c>
      <c r="O315" s="6" t="str">
        <f>HYPERLINK("https://ceds.ed.gov/cedselementdetails.aspx?termid=5797")</f>
        <v>https://ceds.ed.gov/cedselementdetails.aspx?termid=5797</v>
      </c>
      <c r="P315" s="6" t="str">
        <f>HYPERLINK("https://ceds.ed.gov/elementComment.aspx?elementName=Wage Collection Code &amp;elementID=5797", "Click here to submit comment")</f>
        <v>Click here to submit comment</v>
      </c>
    </row>
    <row r="316" spans="1:16" ht="75">
      <c r="A316" s="6" t="s">
        <v>6715</v>
      </c>
      <c r="B316" s="6" t="s">
        <v>6768</v>
      </c>
      <c r="C316" s="6" t="s">
        <v>6770</v>
      </c>
      <c r="D316" s="6" t="s">
        <v>5895</v>
      </c>
      <c r="E316" s="6" t="s">
        <v>5896</v>
      </c>
      <c r="F316" s="7" t="s">
        <v>6693</v>
      </c>
      <c r="G316" s="6" t="s">
        <v>202</v>
      </c>
      <c r="H316" s="6"/>
      <c r="I316" s="6"/>
      <c r="J316" s="6"/>
      <c r="K316" s="6"/>
      <c r="L316" s="6" t="s">
        <v>5897</v>
      </c>
      <c r="M316" s="6"/>
      <c r="N316" s="6" t="s">
        <v>5898</v>
      </c>
      <c r="O316" s="6" t="str">
        <f>HYPERLINK("https://ceds.ed.gov/cedselementdetails.aspx?termid=5818")</f>
        <v>https://ceds.ed.gov/cedselementdetails.aspx?termid=5818</v>
      </c>
      <c r="P316" s="6" t="str">
        <f>HYPERLINK("https://ceds.ed.gov/elementComment.aspx?elementName=Wage Verification Code &amp;elementID=5818", "Click here to submit comment")</f>
        <v>Click here to submit comment</v>
      </c>
    </row>
    <row r="317" spans="1:16" ht="45">
      <c r="A317" s="6" t="s">
        <v>6715</v>
      </c>
      <c r="B317" s="6" t="s">
        <v>6768</v>
      </c>
      <c r="C317" s="6" t="s">
        <v>6770</v>
      </c>
      <c r="D317" s="6" t="s">
        <v>4349</v>
      </c>
      <c r="E317" s="6" t="s">
        <v>4350</v>
      </c>
      <c r="F317" s="6" t="s">
        <v>13</v>
      </c>
      <c r="G317" s="6" t="s">
        <v>202</v>
      </c>
      <c r="H317" s="6" t="s">
        <v>3</v>
      </c>
      <c r="I317" s="6" t="s">
        <v>106</v>
      </c>
      <c r="J317" s="6"/>
      <c r="K317" s="6"/>
      <c r="L317" s="6" t="s">
        <v>4351</v>
      </c>
      <c r="M317" s="6"/>
      <c r="N317" s="6" t="s">
        <v>4352</v>
      </c>
      <c r="O317" s="6" t="str">
        <f>HYPERLINK("https://ceds.ed.gov/cedselementdetails.aspx?termid=5204")</f>
        <v>https://ceds.ed.gov/cedselementdetails.aspx?termid=5204</v>
      </c>
      <c r="P317" s="6" t="str">
        <f>HYPERLINK("https://ceds.ed.gov/elementComment.aspx?elementName=Organization Name &amp;elementID=5204", "Click here to submit comment")</f>
        <v>Click here to submit comment</v>
      </c>
    </row>
    <row r="318" spans="1:16" ht="45">
      <c r="A318" s="6" t="s">
        <v>6715</v>
      </c>
      <c r="B318" s="6" t="s">
        <v>6768</v>
      </c>
      <c r="C318" s="6" t="s">
        <v>6770</v>
      </c>
      <c r="D318" s="6" t="s">
        <v>5863</v>
      </c>
      <c r="E318" s="6" t="s">
        <v>5864</v>
      </c>
      <c r="F318" s="6" t="s">
        <v>5963</v>
      </c>
      <c r="G318" s="6" t="s">
        <v>202</v>
      </c>
      <c r="H318" s="6"/>
      <c r="I318" s="6"/>
      <c r="J318" s="6"/>
      <c r="K318" s="6"/>
      <c r="L318" s="6" t="s">
        <v>5865</v>
      </c>
      <c r="M318" s="6"/>
      <c r="N318" s="6" t="s">
        <v>5866</v>
      </c>
      <c r="O318" s="6" t="str">
        <f>HYPERLINK("https://ceds.ed.gov/cedselementdetails.aspx?termid=5798")</f>
        <v>https://ceds.ed.gov/cedselementdetails.aspx?termid=5798</v>
      </c>
      <c r="P318" s="6" t="str">
        <f>HYPERLINK("https://ceds.ed.gov/elementComment.aspx?elementName=Union Membership Status &amp;elementID=5798", "Click here to submit comment")</f>
        <v>Click here to submit comment</v>
      </c>
    </row>
    <row r="319" spans="1:16" ht="409.5">
      <c r="A319" s="6" t="s">
        <v>6715</v>
      </c>
      <c r="B319" s="6" t="s">
        <v>6768</v>
      </c>
      <c r="C319" s="6" t="s">
        <v>6770</v>
      </c>
      <c r="D319" s="6" t="s">
        <v>2525</v>
      </c>
      <c r="E319" s="6" t="s">
        <v>2526</v>
      </c>
      <c r="F319" s="7" t="s">
        <v>6494</v>
      </c>
      <c r="G319" s="6"/>
      <c r="H319" s="6" t="s">
        <v>66</v>
      </c>
      <c r="I319" s="6"/>
      <c r="J319" s="6" t="s">
        <v>2527</v>
      </c>
      <c r="K319" s="6"/>
      <c r="L319" s="6" t="s">
        <v>2528</v>
      </c>
      <c r="M319" s="6"/>
      <c r="N319" s="6" t="s">
        <v>2529</v>
      </c>
      <c r="O319" s="6" t="str">
        <f>HYPERLINK("https://ceds.ed.gov/cedselementdetails.aspx?termid=5613")</f>
        <v>https://ceds.ed.gov/cedselementdetails.aspx?termid=5613</v>
      </c>
      <c r="P319" s="6" t="str">
        <f>HYPERLINK("https://ceds.ed.gov/elementComment.aspx?elementName=Employment Separation Reason &amp;elementID=5613", "Click here to submit comment")</f>
        <v>Click here to submit comment</v>
      </c>
    </row>
    <row r="320" spans="1:16" ht="45">
      <c r="A320" s="6" t="s">
        <v>6715</v>
      </c>
      <c r="B320" s="6" t="s">
        <v>6768</v>
      </c>
      <c r="C320" s="6" t="s">
        <v>6770</v>
      </c>
      <c r="D320" s="6" t="s">
        <v>3384</v>
      </c>
      <c r="E320" s="6" t="s">
        <v>3385</v>
      </c>
      <c r="F320" s="6" t="s">
        <v>5963</v>
      </c>
      <c r="G320" s="6"/>
      <c r="H320" s="6" t="s">
        <v>54</v>
      </c>
      <c r="I320" s="6"/>
      <c r="J320" s="6"/>
      <c r="K320" s="6"/>
      <c r="L320" s="6" t="s">
        <v>3386</v>
      </c>
      <c r="M320" s="6"/>
      <c r="N320" s="6" t="s">
        <v>3387</v>
      </c>
      <c r="O320" s="6" t="str">
        <f>HYPERLINK("https://ceds.ed.gov/cedselementdetails.aspx?termid=6353")</f>
        <v>https://ceds.ed.gov/cedselementdetails.aspx?termid=6353</v>
      </c>
      <c r="P320" s="6" t="str">
        <f>HYPERLINK("https://ceds.ed.gov/elementComment.aspx?elementName=Itinerant Provider &amp;elementID=6353", "Click here to submit comment")</f>
        <v>Click here to submit comment</v>
      </c>
    </row>
    <row r="321" spans="1:16" ht="225">
      <c r="A321" s="6" t="s">
        <v>6715</v>
      </c>
      <c r="B321" s="6" t="s">
        <v>6768</v>
      </c>
      <c r="C321" s="6" t="s">
        <v>6770</v>
      </c>
      <c r="D321" s="6" t="s">
        <v>5447</v>
      </c>
      <c r="E321" s="6" t="s">
        <v>5448</v>
      </c>
      <c r="F321" s="6" t="s">
        <v>13</v>
      </c>
      <c r="G321" s="6" t="s">
        <v>1780</v>
      </c>
      <c r="H321" s="6" t="s">
        <v>3</v>
      </c>
      <c r="I321" s="6" t="s">
        <v>1461</v>
      </c>
      <c r="J321" s="6"/>
      <c r="K321" s="6" t="s">
        <v>5449</v>
      </c>
      <c r="L321" s="6" t="s">
        <v>5450</v>
      </c>
      <c r="M321" s="6"/>
      <c r="N321" s="6" t="s">
        <v>5451</v>
      </c>
      <c r="O321" s="6" t="str">
        <f>HYPERLINK("https://ceds.ed.gov/cedselementdetails.aspx?termid=5032")</f>
        <v>https://ceds.ed.gov/cedselementdetails.aspx?termid=5032</v>
      </c>
      <c r="P321" s="6" t="str">
        <f>HYPERLINK("https://ceds.ed.gov/elementComment.aspx?elementName=Staff Compensation Base Salary &amp;elementID=5032", "Click here to submit comment")</f>
        <v>Click here to submit comment</v>
      </c>
    </row>
    <row r="322" spans="1:16" ht="60">
      <c r="A322" s="6" t="s">
        <v>6715</v>
      </c>
      <c r="B322" s="6" t="s">
        <v>6768</v>
      </c>
      <c r="C322" s="6" t="s">
        <v>6770</v>
      </c>
      <c r="D322" s="6" t="s">
        <v>5496</v>
      </c>
      <c r="E322" s="6" t="s">
        <v>5497</v>
      </c>
      <c r="F322" s="6" t="s">
        <v>13</v>
      </c>
      <c r="G322" s="6" t="s">
        <v>6319</v>
      </c>
      <c r="H322" s="6" t="s">
        <v>3</v>
      </c>
      <c r="I322" s="6" t="s">
        <v>5498</v>
      </c>
      <c r="J322" s="6"/>
      <c r="K322" s="6"/>
      <c r="L322" s="6" t="s">
        <v>5499</v>
      </c>
      <c r="M322" s="6" t="s">
        <v>5500</v>
      </c>
      <c r="N322" s="6" t="s">
        <v>5501</v>
      </c>
      <c r="O322" s="6" t="str">
        <f>HYPERLINK("https://ceds.ed.gov/cedselementdetails.aspx?termid=5118")</f>
        <v>https://ceds.ed.gov/cedselementdetails.aspx?termid=5118</v>
      </c>
      <c r="P322" s="6" t="str">
        <f>HYPERLINK("https://ceds.ed.gov/elementComment.aspx?elementName=Staff Full Time Equivalency &amp;elementID=5118", "Click here to submit comment")</f>
        <v>Click here to submit comment</v>
      </c>
    </row>
    <row r="323" spans="1:16" ht="45">
      <c r="A323" s="6" t="s">
        <v>6715</v>
      </c>
      <c r="B323" s="6" t="s">
        <v>6768</v>
      </c>
      <c r="C323" s="6" t="s">
        <v>6770</v>
      </c>
      <c r="D323" s="6" t="s">
        <v>5859</v>
      </c>
      <c r="E323" s="6" t="s">
        <v>5860</v>
      </c>
      <c r="F323" s="6" t="s">
        <v>13</v>
      </c>
      <c r="G323" s="6"/>
      <c r="H323" s="6" t="s">
        <v>54</v>
      </c>
      <c r="I323" s="6" t="s">
        <v>319</v>
      </c>
      <c r="J323" s="6"/>
      <c r="K323" s="6"/>
      <c r="L323" s="6" t="s">
        <v>5861</v>
      </c>
      <c r="M323" s="6"/>
      <c r="N323" s="6" t="s">
        <v>5862</v>
      </c>
      <c r="O323" s="6" t="str">
        <f>HYPERLINK("https://ceds.ed.gov/cedselementdetails.aspx?termid=6469")</f>
        <v>https://ceds.ed.gov/cedselementdetails.aspx?termid=6469</v>
      </c>
      <c r="P323" s="6" t="str">
        <f>HYPERLINK("https://ceds.ed.gov/elementComment.aspx?elementName=Union Membership Name &amp;elementID=6469", "Click here to submit comment")</f>
        <v>Click here to submit comment</v>
      </c>
    </row>
    <row r="324" spans="1:16" ht="30">
      <c r="A324" s="6" t="s">
        <v>6715</v>
      </c>
      <c r="B324" s="6" t="s">
        <v>6768</v>
      </c>
      <c r="C324" s="6" t="s">
        <v>6770</v>
      </c>
      <c r="D324" s="6" t="s">
        <v>5912</v>
      </c>
      <c r="E324" s="6" t="s">
        <v>5913</v>
      </c>
      <c r="F324" s="6" t="s">
        <v>13</v>
      </c>
      <c r="G324" s="6"/>
      <c r="H324" s="6" t="s">
        <v>54</v>
      </c>
      <c r="I324" s="6" t="s">
        <v>575</v>
      </c>
      <c r="J324" s="6"/>
      <c r="K324" s="6"/>
      <c r="L324" s="6" t="s">
        <v>5914</v>
      </c>
      <c r="M324" s="6"/>
      <c r="N324" s="6" t="s">
        <v>5915</v>
      </c>
      <c r="O324" s="6" t="str">
        <f>HYPERLINK("https://ceds.ed.gov/cedselementdetails.aspx?termid=6470")</f>
        <v>https://ceds.ed.gov/cedselementdetails.aspx?termid=6470</v>
      </c>
      <c r="P324" s="6" t="str">
        <f>HYPERLINK("https://ceds.ed.gov/elementComment.aspx?elementName=Weeks Employed Per Year &amp;elementID=6470", "Click here to submit comment")</f>
        <v>Click here to submit comment</v>
      </c>
    </row>
    <row r="325" spans="1:16" ht="45">
      <c r="A325" s="6" t="s">
        <v>6715</v>
      </c>
      <c r="B325" s="6" t="s">
        <v>6768</v>
      </c>
      <c r="C325" s="6" t="s">
        <v>6771</v>
      </c>
      <c r="D325" s="6" t="s">
        <v>4615</v>
      </c>
      <c r="E325" s="6" t="s">
        <v>4616</v>
      </c>
      <c r="F325" s="6" t="s">
        <v>13</v>
      </c>
      <c r="G325" s="6"/>
      <c r="H325" s="6" t="s">
        <v>54</v>
      </c>
      <c r="I325" s="6" t="s">
        <v>100</v>
      </c>
      <c r="J325" s="6"/>
      <c r="K325" s="6"/>
      <c r="L325" s="6" t="s">
        <v>4618</v>
      </c>
      <c r="M325" s="6"/>
      <c r="N325" s="6" t="s">
        <v>4619</v>
      </c>
      <c r="O325" s="6" t="str">
        <f>HYPERLINK("https://ceds.ed.gov/cedselementdetails.aspx?termid=6398")</f>
        <v>https://ceds.ed.gov/cedselementdetails.aspx?termid=6398</v>
      </c>
      <c r="P325" s="6" t="str">
        <f>HYPERLINK("https://ceds.ed.gov/elementComment.aspx?elementName=Professional Certificate or License Number &amp;elementID=6398", "Click here to submit comment")</f>
        <v>Click here to submit comment</v>
      </c>
    </row>
    <row r="326" spans="1:16" ht="180">
      <c r="A326" s="6" t="s">
        <v>6715</v>
      </c>
      <c r="B326" s="6" t="s">
        <v>6768</v>
      </c>
      <c r="C326" s="6" t="s">
        <v>6733</v>
      </c>
      <c r="D326" s="6" t="s">
        <v>3419</v>
      </c>
      <c r="E326" s="6" t="s">
        <v>3420</v>
      </c>
      <c r="F326" s="7" t="s">
        <v>6563</v>
      </c>
      <c r="G326" s="6" t="s">
        <v>6214</v>
      </c>
      <c r="H326" s="6"/>
      <c r="I326" s="6"/>
      <c r="J326" s="6"/>
      <c r="K326" s="6"/>
      <c r="L326" s="6" t="s">
        <v>3421</v>
      </c>
      <c r="M326" s="6"/>
      <c r="N326" s="6" t="s">
        <v>3422</v>
      </c>
      <c r="O326" s="6" t="str">
        <f>HYPERLINK("https://ceds.ed.gov/cedselementdetails.aspx?termid=5316")</f>
        <v>https://ceds.ed.gov/cedselementdetails.aspx?termid=5316</v>
      </c>
      <c r="P326" s="6" t="str">
        <f>HYPERLINK("https://ceds.ed.gov/elementComment.aspx?elementName=Language Type &amp;elementID=5316", "Click here to submit comment")</f>
        <v>Click here to submit comment</v>
      </c>
    </row>
    <row r="327" spans="1:16" ht="90">
      <c r="A327" s="6" t="s">
        <v>6715</v>
      </c>
      <c r="B327" s="6" t="s">
        <v>6768</v>
      </c>
      <c r="C327" s="6" t="s">
        <v>6733</v>
      </c>
      <c r="D327" s="6" t="s">
        <v>3406</v>
      </c>
      <c r="E327" s="6" t="s">
        <v>3407</v>
      </c>
      <c r="F327" s="5" t="s">
        <v>939</v>
      </c>
      <c r="G327" s="6" t="s">
        <v>6214</v>
      </c>
      <c r="H327" s="6" t="s">
        <v>66</v>
      </c>
      <c r="I327" s="6"/>
      <c r="J327" s="6" t="s">
        <v>2645</v>
      </c>
      <c r="K327" s="6" t="s">
        <v>3408</v>
      </c>
      <c r="L327" s="6" t="s">
        <v>3409</v>
      </c>
      <c r="M327" s="6"/>
      <c r="N327" s="6" t="s">
        <v>3410</v>
      </c>
      <c r="O327" s="6" t="str">
        <f>HYPERLINK("https://ceds.ed.gov/cedselementdetails.aspx?termid=5317")</f>
        <v>https://ceds.ed.gov/cedselementdetails.aspx?termid=5317</v>
      </c>
      <c r="P327" s="6" t="str">
        <f>HYPERLINK("https://ceds.ed.gov/elementComment.aspx?elementName=Language Code &amp;elementID=5317", "Click here to submit comment")</f>
        <v>Click here to submit comment</v>
      </c>
    </row>
    <row r="328" spans="1:16" ht="240">
      <c r="A328" s="6" t="s">
        <v>6715</v>
      </c>
      <c r="B328" s="6" t="s">
        <v>6768</v>
      </c>
      <c r="C328" s="6" t="s">
        <v>6772</v>
      </c>
      <c r="D328" s="6" t="s">
        <v>2290</v>
      </c>
      <c r="E328" s="6" t="s">
        <v>2291</v>
      </c>
      <c r="F328" s="7" t="s">
        <v>6469</v>
      </c>
      <c r="G328" s="6" t="s">
        <v>6131</v>
      </c>
      <c r="H328" s="6"/>
      <c r="I328" s="6"/>
      <c r="J328" s="6"/>
      <c r="K328" s="6"/>
      <c r="L328" s="6" t="s">
        <v>2292</v>
      </c>
      <c r="M328" s="6"/>
      <c r="N328" s="6" t="s">
        <v>2293</v>
      </c>
      <c r="O328" s="6" t="str">
        <f>HYPERLINK("https://ceds.ed.gov/cedselementdetails.aspx?termid=5344")</f>
        <v>https://ceds.ed.gov/cedselementdetails.aspx?termid=5344</v>
      </c>
      <c r="P328" s="6" t="str">
        <f>HYPERLINK("https://ceds.ed.gov/elementComment.aspx?elementName=Early Childhood Credential &amp;elementID=5344", "Click here to submit comment")</f>
        <v>Click here to submit comment</v>
      </c>
    </row>
    <row r="329" spans="1:16" ht="60">
      <c r="A329" s="6" t="s">
        <v>6715</v>
      </c>
      <c r="B329" s="6" t="s">
        <v>6768</v>
      </c>
      <c r="C329" s="6" t="s">
        <v>6772</v>
      </c>
      <c r="D329" s="6" t="s">
        <v>4193</v>
      </c>
      <c r="E329" s="6" t="s">
        <v>4194</v>
      </c>
      <c r="F329" s="6" t="s">
        <v>13</v>
      </c>
      <c r="G329" s="6" t="s">
        <v>202</v>
      </c>
      <c r="H329" s="6"/>
      <c r="I329" s="6" t="s">
        <v>106</v>
      </c>
      <c r="J329" s="6"/>
      <c r="K329" s="6"/>
      <c r="L329" s="6" t="s">
        <v>4195</v>
      </c>
      <c r="M329" s="6"/>
      <c r="N329" s="6" t="s">
        <v>4196</v>
      </c>
      <c r="O329" s="6" t="str">
        <f>HYPERLINK("https://ceds.ed.gov/cedselementdetails.aspx?termid=6064")</f>
        <v>https://ceds.ed.gov/cedselementdetails.aspx?termid=6064</v>
      </c>
      <c r="P329" s="6" t="str">
        <f>HYPERLINK("https://ceds.ed.gov/elementComment.aspx?elementName=Name of Professional Credential or License &amp;elementID=6064", "Click here to submit comment")</f>
        <v>Click here to submit comment</v>
      </c>
    </row>
    <row r="330" spans="1:16" ht="409.5">
      <c r="A330" s="6" t="s">
        <v>6715</v>
      </c>
      <c r="B330" s="6" t="s">
        <v>6768</v>
      </c>
      <c r="C330" s="6" t="s">
        <v>6772</v>
      </c>
      <c r="D330" s="6" t="s">
        <v>5567</v>
      </c>
      <c r="E330" s="6" t="s">
        <v>5568</v>
      </c>
      <c r="F330" s="7" t="s">
        <v>6633</v>
      </c>
      <c r="G330" s="6" t="s">
        <v>202</v>
      </c>
      <c r="H330" s="6"/>
      <c r="I330" s="6"/>
      <c r="J330" s="6"/>
      <c r="K330" s="6"/>
      <c r="L330" s="6" t="s">
        <v>5569</v>
      </c>
      <c r="M330" s="6"/>
      <c r="N330" s="6" t="s">
        <v>5570</v>
      </c>
      <c r="O330" s="6" t="str">
        <f>HYPERLINK("https://ceds.ed.gov/cedselementdetails.aspx?termid=5804")</f>
        <v>https://ceds.ed.gov/cedselementdetails.aspx?termid=5804</v>
      </c>
      <c r="P330" s="6" t="str">
        <f>HYPERLINK("https://ceds.ed.gov/elementComment.aspx?elementName=State Issuing Professional Credential or License &amp;elementID=5804", "Click here to submit comment")</f>
        <v>Click here to submit comment</v>
      </c>
    </row>
    <row r="331" spans="1:16" ht="45">
      <c r="A331" s="6" t="s">
        <v>6715</v>
      </c>
      <c r="B331" s="6" t="s">
        <v>6768</v>
      </c>
      <c r="C331" s="6" t="s">
        <v>6772</v>
      </c>
      <c r="D331" s="6" t="s">
        <v>2046</v>
      </c>
      <c r="E331" s="6" t="s">
        <v>2047</v>
      </c>
      <c r="F331" s="6" t="s">
        <v>13</v>
      </c>
      <c r="G331" s="6" t="s">
        <v>202</v>
      </c>
      <c r="H331" s="6"/>
      <c r="I331" s="6" t="s">
        <v>73</v>
      </c>
      <c r="J331" s="6"/>
      <c r="K331" s="6"/>
      <c r="L331" s="6" t="s">
        <v>2048</v>
      </c>
      <c r="M331" s="6"/>
      <c r="N331" s="6" t="s">
        <v>2049</v>
      </c>
      <c r="O331" s="6" t="str">
        <f>HYPERLINK("https://ceds.ed.gov/cedselementdetails.aspx?termid=5070")</f>
        <v>https://ceds.ed.gov/cedselementdetails.aspx?termid=5070</v>
      </c>
      <c r="P331" s="6" t="str">
        <f>HYPERLINK("https://ceds.ed.gov/elementComment.aspx?elementName=Credential Issuance Date &amp;elementID=5070", "Click here to submit comment")</f>
        <v>Click here to submit comment</v>
      </c>
    </row>
    <row r="332" spans="1:16" ht="45">
      <c r="A332" s="6" t="s">
        <v>6715</v>
      </c>
      <c r="B332" s="6" t="s">
        <v>6768</v>
      </c>
      <c r="C332" s="6" t="s">
        <v>6772</v>
      </c>
      <c r="D332" s="6" t="s">
        <v>2042</v>
      </c>
      <c r="E332" s="6" t="s">
        <v>2043</v>
      </c>
      <c r="F332" s="6" t="s">
        <v>13</v>
      </c>
      <c r="G332" s="6" t="s">
        <v>202</v>
      </c>
      <c r="H332" s="6"/>
      <c r="I332" s="6" t="s">
        <v>73</v>
      </c>
      <c r="J332" s="6"/>
      <c r="K332" s="6"/>
      <c r="L332" s="6" t="s">
        <v>2044</v>
      </c>
      <c r="M332" s="6"/>
      <c r="N332" s="6" t="s">
        <v>2045</v>
      </c>
      <c r="O332" s="6" t="str">
        <f>HYPERLINK("https://ceds.ed.gov/cedselementdetails.aspx?termid=5069")</f>
        <v>https://ceds.ed.gov/cedselementdetails.aspx?termid=5069</v>
      </c>
      <c r="P332" s="6" t="str">
        <f>HYPERLINK("https://ceds.ed.gov/elementComment.aspx?elementName=Credential Expiration Date &amp;elementID=5069", "Click here to submit comment")</f>
        <v>Click here to submit comment</v>
      </c>
    </row>
    <row r="333" spans="1:16" ht="150">
      <c r="A333" s="6" t="s">
        <v>6715</v>
      </c>
      <c r="B333" s="6" t="s">
        <v>6768</v>
      </c>
      <c r="C333" s="6" t="s">
        <v>6772</v>
      </c>
      <c r="D333" s="6" t="s">
        <v>1627</v>
      </c>
      <c r="E333" s="6" t="s">
        <v>1628</v>
      </c>
      <c r="F333" s="7" t="s">
        <v>6421</v>
      </c>
      <c r="G333" s="6" t="s">
        <v>202</v>
      </c>
      <c r="H333" s="6"/>
      <c r="I333" s="6"/>
      <c r="J333" s="6"/>
      <c r="K333" s="6"/>
      <c r="L333" s="6" t="s">
        <v>1630</v>
      </c>
      <c r="M333" s="6" t="s">
        <v>1631</v>
      </c>
      <c r="N333" s="6" t="s">
        <v>1632</v>
      </c>
      <c r="O333" s="6" t="str">
        <f>HYPERLINK("https://ceds.ed.gov/cedselementdetails.aspx?termid=5805")</f>
        <v>https://ceds.ed.gov/cedselementdetails.aspx?termid=5805</v>
      </c>
      <c r="P333" s="6" t="str">
        <f>HYPERLINK("https://ceds.ed.gov/elementComment.aspx?elementName=Child Development Associate Type &amp;elementID=5805", "Click here to submit comment")</f>
        <v>Click here to submit comment</v>
      </c>
    </row>
    <row r="334" spans="1:16" ht="45">
      <c r="A334" s="6" t="s">
        <v>6715</v>
      </c>
      <c r="B334" s="6" t="s">
        <v>6768</v>
      </c>
      <c r="C334" s="6" t="s">
        <v>6764</v>
      </c>
      <c r="D334" s="6" t="s">
        <v>5041</v>
      </c>
      <c r="E334" s="6" t="s">
        <v>5042</v>
      </c>
      <c r="F334" s="6" t="s">
        <v>13</v>
      </c>
      <c r="G334" s="6" t="s">
        <v>202</v>
      </c>
      <c r="H334" s="6"/>
      <c r="I334" s="6" t="s">
        <v>389</v>
      </c>
      <c r="J334" s="6"/>
      <c r="K334" s="6"/>
      <c r="L334" s="6" t="s">
        <v>5043</v>
      </c>
      <c r="M334" s="6"/>
      <c r="N334" s="6" t="s">
        <v>5044</v>
      </c>
      <c r="O334" s="6" t="str">
        <f>HYPERLINK("https://ceds.ed.gov/cedselementdetails.aspx?termid=5803")</f>
        <v>https://ceds.ed.gov/cedselementdetails.aspx?termid=5803</v>
      </c>
      <c r="P334" s="6" t="str">
        <f>HYPERLINK("https://ceds.ed.gov/elementComment.aspx?elementName=Required Training Clock Hours &amp;elementID=5803", "Click here to submit comment")</f>
        <v>Click here to submit comment</v>
      </c>
    </row>
    <row r="335" spans="1:16" ht="60">
      <c r="A335" s="6" t="s">
        <v>6715</v>
      </c>
      <c r="B335" s="6" t="s">
        <v>6768</v>
      </c>
      <c r="C335" s="6" t="s">
        <v>6764</v>
      </c>
      <c r="D335" s="6" t="s">
        <v>4607</v>
      </c>
      <c r="E335" s="6" t="s">
        <v>4608</v>
      </c>
      <c r="F335" s="6" t="s">
        <v>5963</v>
      </c>
      <c r="G335" s="6" t="s">
        <v>202</v>
      </c>
      <c r="H335" s="6"/>
      <c r="I335" s="6"/>
      <c r="J335" s="6"/>
      <c r="K335" s="6"/>
      <c r="L335" s="6" t="s">
        <v>4609</v>
      </c>
      <c r="M335" s="6"/>
      <c r="N335" s="6" t="s">
        <v>4610</v>
      </c>
      <c r="O335" s="6" t="str">
        <f>HYPERLINK("https://ceds.ed.gov/cedselementdetails.aspx?termid=5806")</f>
        <v>https://ceds.ed.gov/cedselementdetails.aspx?termid=5806</v>
      </c>
      <c r="P335" s="6" t="str">
        <f>HYPERLINK("https://ceds.ed.gov/elementComment.aspx?elementName=Professional Association Membership Status &amp;elementID=5806", "Click here to submit comment")</f>
        <v>Click here to submit comment</v>
      </c>
    </row>
    <row r="336" spans="1:16" ht="30">
      <c r="A336" s="6" t="s">
        <v>6715</v>
      </c>
      <c r="B336" s="6" t="s">
        <v>6768</v>
      </c>
      <c r="C336" s="6" t="s">
        <v>6764</v>
      </c>
      <c r="D336" s="6" t="s">
        <v>4611</v>
      </c>
      <c r="E336" s="6" t="s">
        <v>4612</v>
      </c>
      <c r="F336" s="6" t="s">
        <v>13</v>
      </c>
      <c r="G336" s="6" t="s">
        <v>202</v>
      </c>
      <c r="H336" s="6"/>
      <c r="I336" s="6" t="s">
        <v>106</v>
      </c>
      <c r="J336" s="6"/>
      <c r="K336" s="6"/>
      <c r="L336" s="6" t="s">
        <v>4613</v>
      </c>
      <c r="M336" s="6"/>
      <c r="N336" s="6" t="s">
        <v>4614</v>
      </c>
      <c r="O336" s="6" t="str">
        <f>HYPERLINK("https://ceds.ed.gov/cedselementdetails.aspx?termid=5807")</f>
        <v>https://ceds.ed.gov/cedselementdetails.aspx?termid=5807</v>
      </c>
      <c r="P336" s="6" t="str">
        <f>HYPERLINK("https://ceds.ed.gov/elementComment.aspx?elementName=Professional Association Name &amp;elementID=5807", "Click here to submit comment")</f>
        <v>Click here to submit comment</v>
      </c>
    </row>
    <row r="337" spans="1:16" ht="60">
      <c r="A337" s="6" t="s">
        <v>6715</v>
      </c>
      <c r="B337" s="6" t="s">
        <v>6768</v>
      </c>
      <c r="C337" s="6" t="s">
        <v>6764</v>
      </c>
      <c r="D337" s="6" t="s">
        <v>4714</v>
      </c>
      <c r="E337" s="6" t="s">
        <v>4715</v>
      </c>
      <c r="F337" s="6" t="s">
        <v>5963</v>
      </c>
      <c r="G337" s="6" t="s">
        <v>202</v>
      </c>
      <c r="H337" s="6"/>
      <c r="I337" s="6"/>
      <c r="J337" s="6"/>
      <c r="K337" s="6"/>
      <c r="L337" s="6" t="s">
        <v>4716</v>
      </c>
      <c r="M337" s="6"/>
      <c r="N337" s="6" t="s">
        <v>4717</v>
      </c>
      <c r="O337" s="6" t="str">
        <f>HYPERLINK("https://ceds.ed.gov/cedselementdetails.aspx?termid=5810")</f>
        <v>https://ceds.ed.gov/cedselementdetails.aspx?termid=5810</v>
      </c>
      <c r="P337" s="6" t="str">
        <f>HYPERLINK("https://ceds.ed.gov/elementComment.aspx?elementName=Professional Development Scholarship Status &amp;elementID=5810", "Click here to submit comment")</f>
        <v>Click here to submit comment</v>
      </c>
    </row>
    <row r="338" spans="1:16" ht="210">
      <c r="A338" s="6" t="s">
        <v>6715</v>
      </c>
      <c r="B338" s="6" t="s">
        <v>6768</v>
      </c>
      <c r="C338" s="6" t="s">
        <v>6764</v>
      </c>
      <c r="D338" s="6" t="s">
        <v>4694</v>
      </c>
      <c r="E338" s="6" t="s">
        <v>4695</v>
      </c>
      <c r="F338" s="7" t="s">
        <v>6617</v>
      </c>
      <c r="G338" s="6" t="s">
        <v>202</v>
      </c>
      <c r="H338" s="6"/>
      <c r="I338" s="6"/>
      <c r="J338" s="6"/>
      <c r="K338" s="6"/>
      <c r="L338" s="6" t="s">
        <v>4696</v>
      </c>
      <c r="M338" s="6"/>
      <c r="N338" s="6" t="s">
        <v>4697</v>
      </c>
      <c r="O338" s="6" t="str">
        <f>HYPERLINK("https://ceds.ed.gov/cedselementdetails.aspx?termid=5811")</f>
        <v>https://ceds.ed.gov/cedselementdetails.aspx?termid=5811</v>
      </c>
      <c r="P338" s="6" t="str">
        <f>HYPERLINK("https://ceds.ed.gov/elementComment.aspx?elementName=Professional Development Financial Support Type &amp;elementID=5811", "Click here to submit comment")</f>
        <v>Click here to submit comment</v>
      </c>
    </row>
    <row r="339" spans="1:16" ht="60">
      <c r="A339" s="6" t="s">
        <v>6715</v>
      </c>
      <c r="B339" s="6" t="s">
        <v>6768</v>
      </c>
      <c r="C339" s="6" t="s">
        <v>6764</v>
      </c>
      <c r="D339" s="6" t="s">
        <v>5515</v>
      </c>
      <c r="E339" s="6" t="s">
        <v>5516</v>
      </c>
      <c r="F339" s="6" t="s">
        <v>13</v>
      </c>
      <c r="G339" s="6" t="s">
        <v>202</v>
      </c>
      <c r="H339" s="6" t="s">
        <v>66</v>
      </c>
      <c r="I339" s="6" t="s">
        <v>73</v>
      </c>
      <c r="J339" s="6" t="s">
        <v>5512</v>
      </c>
      <c r="K339" s="6"/>
      <c r="L339" s="6" t="s">
        <v>5517</v>
      </c>
      <c r="M339" s="6"/>
      <c r="N339" s="6" t="s">
        <v>5518</v>
      </c>
      <c r="O339" s="6" t="str">
        <f>HYPERLINK("https://ceds.ed.gov/cedselementdetails.aspx?termid=6067")</f>
        <v>https://ceds.ed.gov/cedselementdetails.aspx?termid=6067</v>
      </c>
      <c r="P339" s="6" t="str">
        <f>HYPERLINK("https://ceds.ed.gov/elementComment.aspx?elementName=Staff Professional Development Activity Start Date &amp;elementID=6067", "Click here to submit comment")</f>
        <v>Click here to submit comment</v>
      </c>
    </row>
    <row r="340" spans="1:16" ht="60">
      <c r="A340" s="6" t="s">
        <v>6715</v>
      </c>
      <c r="B340" s="6" t="s">
        <v>6768</v>
      </c>
      <c r="C340" s="6" t="s">
        <v>6764</v>
      </c>
      <c r="D340" s="6" t="s">
        <v>5510</v>
      </c>
      <c r="E340" s="6" t="s">
        <v>5511</v>
      </c>
      <c r="F340" s="6" t="s">
        <v>13</v>
      </c>
      <c r="G340" s="6" t="s">
        <v>202</v>
      </c>
      <c r="H340" s="6" t="s">
        <v>66</v>
      </c>
      <c r="I340" s="6" t="s">
        <v>73</v>
      </c>
      <c r="J340" s="6" t="s">
        <v>5512</v>
      </c>
      <c r="K340" s="6"/>
      <c r="L340" s="6" t="s">
        <v>5513</v>
      </c>
      <c r="M340" s="6"/>
      <c r="N340" s="6" t="s">
        <v>5514</v>
      </c>
      <c r="O340" s="6" t="str">
        <f>HYPERLINK("https://ceds.ed.gov/cedselementdetails.aspx?termid=6068")</f>
        <v>https://ceds.ed.gov/cedselementdetails.aspx?termid=6068</v>
      </c>
      <c r="P340" s="6" t="str">
        <f>HYPERLINK("https://ceds.ed.gov/elementComment.aspx?elementName=Staff Professional Development Activity Completion Date &amp;elementID=6068", "Click here to submit comment")</f>
        <v>Click here to submit comment</v>
      </c>
    </row>
    <row r="341" spans="1:16" ht="120">
      <c r="A341" s="6" t="s">
        <v>6715</v>
      </c>
      <c r="B341" s="6" t="s">
        <v>6768</v>
      </c>
      <c r="C341" s="6" t="s">
        <v>6764</v>
      </c>
      <c r="D341" s="6" t="s">
        <v>4257</v>
      </c>
      <c r="E341" s="6" t="s">
        <v>4258</v>
      </c>
      <c r="F341" s="6" t="s">
        <v>13</v>
      </c>
      <c r="G341" s="6" t="s">
        <v>6252</v>
      </c>
      <c r="H341" s="6" t="s">
        <v>66</v>
      </c>
      <c r="I341" s="6" t="s">
        <v>1461</v>
      </c>
      <c r="J341" s="6" t="s">
        <v>1820</v>
      </c>
      <c r="K341" s="6"/>
      <c r="L341" s="6" t="s">
        <v>4259</v>
      </c>
      <c r="M341" s="6"/>
      <c r="N341" s="6" t="s">
        <v>4260</v>
      </c>
      <c r="O341" s="6" t="str">
        <f>HYPERLINK("https://ceds.ed.gov/cedselementdetails.aspx?termid=5200")</f>
        <v>https://ceds.ed.gov/cedselementdetails.aspx?termid=5200</v>
      </c>
      <c r="P341" s="6" t="str">
        <f>HYPERLINK("https://ceds.ed.gov/elementComment.aspx?elementName=Number of Credits Earned &amp;elementID=5200", "Click here to submit comment")</f>
        <v>Click here to submit comment</v>
      </c>
    </row>
    <row r="342" spans="1:16" ht="195">
      <c r="A342" s="6" t="s">
        <v>6715</v>
      </c>
      <c r="B342" s="6" t="s">
        <v>6768</v>
      </c>
      <c r="C342" s="6" t="s">
        <v>6764</v>
      </c>
      <c r="D342" s="6" t="s">
        <v>1880</v>
      </c>
      <c r="E342" s="6" t="s">
        <v>1881</v>
      </c>
      <c r="F342" s="7" t="s">
        <v>6438</v>
      </c>
      <c r="G342" s="6" t="s">
        <v>24</v>
      </c>
      <c r="H342" s="6"/>
      <c r="I342" s="6"/>
      <c r="J342" s="6"/>
      <c r="K342" s="6"/>
      <c r="L342" s="6" t="s">
        <v>1882</v>
      </c>
      <c r="M342" s="6"/>
      <c r="N342" s="6" t="s">
        <v>1883</v>
      </c>
      <c r="O342" s="6" t="str">
        <f>HYPERLINK("https://ceds.ed.gov/cedselementdetails.aspx?termid=5057")</f>
        <v>https://ceds.ed.gov/cedselementdetails.aspx?termid=5057</v>
      </c>
      <c r="P342" s="6" t="str">
        <f>HYPERLINK("https://ceds.ed.gov/elementComment.aspx?elementName=Course Credit Units &amp;elementID=5057", "Click here to submit comment")</f>
        <v>Click here to submit comment</v>
      </c>
    </row>
    <row r="343" spans="1:16" ht="60">
      <c r="A343" s="6" t="s">
        <v>6715</v>
      </c>
      <c r="B343" s="6" t="s">
        <v>6768</v>
      </c>
      <c r="C343" s="6" t="s">
        <v>6764</v>
      </c>
      <c r="D343" s="6" t="s">
        <v>1540</v>
      </c>
      <c r="E343" s="6" t="s">
        <v>1541</v>
      </c>
      <c r="F343" s="6" t="s">
        <v>13</v>
      </c>
      <c r="G343" s="6" t="s">
        <v>202</v>
      </c>
      <c r="H343" s="6"/>
      <c r="I343" s="6" t="s">
        <v>73</v>
      </c>
      <c r="J343" s="6"/>
      <c r="K343" s="6"/>
      <c r="L343" s="6" t="s">
        <v>1543</v>
      </c>
      <c r="M343" s="6" t="s">
        <v>1544</v>
      </c>
      <c r="N343" s="6" t="s">
        <v>1545</v>
      </c>
      <c r="O343" s="6" t="str">
        <f>HYPERLINK("https://ceds.ed.gov/cedselementdetails.aspx?termid=6065")</f>
        <v>https://ceds.ed.gov/cedselementdetails.aspx?termid=6065</v>
      </c>
      <c r="P343" s="6" t="str">
        <f>HYPERLINK("https://ceds.ed.gov/elementComment.aspx?elementName=Cardiopulmonary Resuscitation Certification Expiration Date &amp;elementID=6065", "Click here to submit comment")</f>
        <v>Click here to submit comment</v>
      </c>
    </row>
    <row r="344" spans="1:16" ht="45">
      <c r="A344" s="6" t="s">
        <v>6715</v>
      </c>
      <c r="B344" s="6" t="s">
        <v>6768</v>
      </c>
      <c r="C344" s="6" t="s">
        <v>6764</v>
      </c>
      <c r="D344" s="6" t="s">
        <v>2763</v>
      </c>
      <c r="E344" s="6" t="s">
        <v>2764</v>
      </c>
      <c r="F344" s="6" t="s">
        <v>13</v>
      </c>
      <c r="G344" s="6" t="s">
        <v>202</v>
      </c>
      <c r="H344" s="6"/>
      <c r="I344" s="6" t="s">
        <v>73</v>
      </c>
      <c r="J344" s="6"/>
      <c r="K344" s="6"/>
      <c r="L344" s="6" t="s">
        <v>2765</v>
      </c>
      <c r="M344" s="6"/>
      <c r="N344" s="6" t="s">
        <v>2766</v>
      </c>
      <c r="O344" s="6" t="str">
        <f>HYPERLINK("https://ceds.ed.gov/cedselementdetails.aspx?termid=6066")</f>
        <v>https://ceds.ed.gov/cedselementdetails.aspx?termid=6066</v>
      </c>
      <c r="P344" s="6" t="str">
        <f>HYPERLINK("https://ceds.ed.gov/elementComment.aspx?elementName=First Aid Certification Expiration Date &amp;elementID=6066", "Click here to submit comment")</f>
        <v>Click here to submit comment</v>
      </c>
    </row>
    <row r="345" spans="1:16" ht="240">
      <c r="A345" s="6" t="s">
        <v>6715</v>
      </c>
      <c r="B345" s="6" t="s">
        <v>6768</v>
      </c>
      <c r="C345" s="6" t="s">
        <v>6764</v>
      </c>
      <c r="D345" s="6" t="s">
        <v>2340</v>
      </c>
      <c r="E345" s="6" t="s">
        <v>2341</v>
      </c>
      <c r="F345" s="7" t="s">
        <v>6477</v>
      </c>
      <c r="G345" s="6" t="s">
        <v>202</v>
      </c>
      <c r="H345" s="6"/>
      <c r="I345" s="6"/>
      <c r="J345" s="6"/>
      <c r="K345" s="6"/>
      <c r="L345" s="6" t="s">
        <v>2342</v>
      </c>
      <c r="M345" s="6"/>
      <c r="N345" s="6" t="s">
        <v>2343</v>
      </c>
      <c r="O345" s="6" t="str">
        <f>HYPERLINK("https://ceds.ed.gov/cedselementdetails.aspx?termid=5812")</f>
        <v>https://ceds.ed.gov/cedselementdetails.aspx?termid=5812</v>
      </c>
      <c r="P345" s="6" t="str">
        <f>HYPERLINK("https://ceds.ed.gov/elementComment.aspx?elementName=Early Learning Core Knowledge Area &amp;elementID=5812", "Click here to submit comment")</f>
        <v>Click here to submit comment</v>
      </c>
    </row>
    <row r="346" spans="1:16" ht="45">
      <c r="A346" s="6" t="s">
        <v>6715</v>
      </c>
      <c r="B346" s="6" t="s">
        <v>6768</v>
      </c>
      <c r="C346" s="6" t="s">
        <v>6764</v>
      </c>
      <c r="D346" s="6" t="s">
        <v>5555</v>
      </c>
      <c r="E346" s="6" t="s">
        <v>5556</v>
      </c>
      <c r="F346" s="6" t="s">
        <v>5963</v>
      </c>
      <c r="G346" s="6" t="s">
        <v>202</v>
      </c>
      <c r="H346" s="6"/>
      <c r="I346" s="6"/>
      <c r="J346" s="6"/>
      <c r="K346" s="6"/>
      <c r="L346" s="6" t="s">
        <v>5557</v>
      </c>
      <c r="M346" s="6"/>
      <c r="N346" s="6" t="s">
        <v>5558</v>
      </c>
      <c r="O346" s="6" t="str">
        <f>HYPERLINK("https://ceds.ed.gov/cedselementdetails.aspx?termid=5813")</f>
        <v>https://ceds.ed.gov/cedselementdetails.aspx?termid=5813</v>
      </c>
      <c r="P346" s="6" t="str">
        <f>HYPERLINK("https://ceds.ed.gov/elementComment.aspx?elementName=State Approved Trainer Status &amp;elementID=5813", "Click here to submit comment")</f>
        <v>Click here to submit comment</v>
      </c>
    </row>
    <row r="347" spans="1:16" ht="60">
      <c r="A347" s="6" t="s">
        <v>6715</v>
      </c>
      <c r="B347" s="6" t="s">
        <v>6768</v>
      </c>
      <c r="C347" s="6" t="s">
        <v>6764</v>
      </c>
      <c r="D347" s="6" t="s">
        <v>5551</v>
      </c>
      <c r="E347" s="6" t="s">
        <v>5552</v>
      </c>
      <c r="F347" s="6" t="s">
        <v>5963</v>
      </c>
      <c r="G347" s="6" t="s">
        <v>202</v>
      </c>
      <c r="H347" s="6"/>
      <c r="I347" s="6"/>
      <c r="J347" s="6"/>
      <c r="K347" s="6"/>
      <c r="L347" s="6" t="s">
        <v>5553</v>
      </c>
      <c r="M347" s="6"/>
      <c r="N347" s="6" t="s">
        <v>5554</v>
      </c>
      <c r="O347" s="6" t="str">
        <f>HYPERLINK("https://ceds.ed.gov/cedselementdetails.aspx?termid=5814")</f>
        <v>https://ceds.ed.gov/cedselementdetails.aspx?termid=5814</v>
      </c>
      <c r="P347" s="6" t="str">
        <f>HYPERLINK("https://ceds.ed.gov/elementComment.aspx?elementName=State Approved Technical Assistance Provider Status &amp;elementID=5814", "Click here to submit comment")</f>
        <v>Click here to submit comment</v>
      </c>
    </row>
    <row r="348" spans="1:16" ht="30">
      <c r="A348" s="6" t="s">
        <v>6715</v>
      </c>
      <c r="B348" s="6" t="s">
        <v>6768</v>
      </c>
      <c r="C348" s="6" t="s">
        <v>6764</v>
      </c>
      <c r="D348" s="6" t="s">
        <v>1582</v>
      </c>
      <c r="E348" s="6" t="s">
        <v>1583</v>
      </c>
      <c r="F348" s="6" t="s">
        <v>13</v>
      </c>
      <c r="G348" s="6"/>
      <c r="H348" s="6" t="s">
        <v>54</v>
      </c>
      <c r="I348" s="6" t="s">
        <v>73</v>
      </c>
      <c r="J348" s="6"/>
      <c r="K348" s="6"/>
      <c r="L348" s="6" t="s">
        <v>1584</v>
      </c>
      <c r="M348" s="6"/>
      <c r="N348" s="6" t="s">
        <v>1585</v>
      </c>
      <c r="O348" s="6" t="str">
        <f>HYPERLINK("https://ceds.ed.gov/cedselementdetails.aspx?termid=6255")</f>
        <v>https://ceds.ed.gov/cedselementdetails.aspx?termid=6255</v>
      </c>
      <c r="P348" s="6" t="str">
        <f>HYPERLINK("https://ceds.ed.gov/elementComment.aspx?elementName=Career Education Plan Date &amp;elementID=6255", "Click here to submit comment")</f>
        <v>Click here to submit comment</v>
      </c>
    </row>
    <row r="349" spans="1:16" ht="105">
      <c r="A349" s="6" t="s">
        <v>6715</v>
      </c>
      <c r="B349" s="6" t="s">
        <v>6768</v>
      </c>
      <c r="C349" s="6" t="s">
        <v>6764</v>
      </c>
      <c r="D349" s="6" t="s">
        <v>1586</v>
      </c>
      <c r="E349" s="6" t="s">
        <v>1587</v>
      </c>
      <c r="F349" s="7" t="s">
        <v>6416</v>
      </c>
      <c r="G349" s="6"/>
      <c r="H349" s="6" t="s">
        <v>54</v>
      </c>
      <c r="I349" s="6"/>
      <c r="J349" s="6"/>
      <c r="K349" s="6"/>
      <c r="L349" s="6" t="s">
        <v>1588</v>
      </c>
      <c r="M349" s="6"/>
      <c r="N349" s="6" t="s">
        <v>1589</v>
      </c>
      <c r="O349" s="6" t="str">
        <f>HYPERLINK("https://ceds.ed.gov/cedselementdetails.aspx?termid=6256")</f>
        <v>https://ceds.ed.gov/cedselementdetails.aspx?termid=6256</v>
      </c>
      <c r="P349" s="6" t="str">
        <f>HYPERLINK("https://ceds.ed.gov/elementComment.aspx?elementName=Career Education Plan Type &amp;elementID=6256", "Click here to submit comment")</f>
        <v>Click here to submit comment</v>
      </c>
    </row>
    <row r="350" spans="1:16" ht="255">
      <c r="A350" s="6" t="s">
        <v>6715</v>
      </c>
      <c r="B350" s="6" t="s">
        <v>6768</v>
      </c>
      <c r="C350" s="6" t="s">
        <v>6764</v>
      </c>
      <c r="D350" s="6" t="s">
        <v>2376</v>
      </c>
      <c r="E350" s="6" t="s">
        <v>2377</v>
      </c>
      <c r="F350" s="7" t="s">
        <v>6483</v>
      </c>
      <c r="G350" s="6"/>
      <c r="H350" s="6" t="s">
        <v>54</v>
      </c>
      <c r="I350" s="6"/>
      <c r="J350" s="6"/>
      <c r="K350" s="6"/>
      <c r="L350" s="6" t="s">
        <v>2378</v>
      </c>
      <c r="M350" s="6"/>
      <c r="N350" s="6" t="s">
        <v>2379</v>
      </c>
      <c r="O350" s="6" t="str">
        <f>HYPERLINK("https://ceds.ed.gov/cedselementdetails.aspx?termid=6304")</f>
        <v>https://ceds.ed.gov/cedselementdetails.aspx?termid=6304</v>
      </c>
      <c r="P350" s="6" t="str">
        <f>HYPERLINK("https://ceds.ed.gov/elementComment.aspx?elementName=Early Learning Professional Development Topic Area &amp;elementID=6304", "Click here to submit comment")</f>
        <v>Click here to submit comment</v>
      </c>
    </row>
    <row r="351" spans="1:16" ht="45">
      <c r="A351" s="6" t="s">
        <v>6715</v>
      </c>
      <c r="B351" s="6" t="s">
        <v>6768</v>
      </c>
      <c r="C351" s="6" t="s">
        <v>6764</v>
      </c>
      <c r="D351" s="6" t="s">
        <v>4686</v>
      </c>
      <c r="E351" s="6" t="s">
        <v>4687</v>
      </c>
      <c r="F351" s="6" t="s">
        <v>6254</v>
      </c>
      <c r="G351" s="6"/>
      <c r="H351" s="6" t="s">
        <v>54</v>
      </c>
      <c r="I351" s="6"/>
      <c r="J351" s="6"/>
      <c r="K351" s="6"/>
      <c r="L351" s="6" t="s">
        <v>4688</v>
      </c>
      <c r="M351" s="6"/>
      <c r="N351" s="6" t="s">
        <v>4689</v>
      </c>
      <c r="O351" s="6" t="str">
        <f>HYPERLINK("https://ceds.ed.gov/cedselementdetails.aspx?termid=6399")</f>
        <v>https://ceds.ed.gov/cedselementdetails.aspx?termid=6399</v>
      </c>
      <c r="P351" s="6" t="str">
        <f>HYPERLINK("https://ceds.ed.gov/elementComment.aspx?elementName=Professional Development Audience Type &amp;elementID=6399", "Click here to submit comment")</f>
        <v>Click here to submit comment</v>
      </c>
    </row>
    <row r="352" spans="1:16" ht="60">
      <c r="A352" s="6" t="s">
        <v>6715</v>
      </c>
      <c r="B352" s="6" t="s">
        <v>6768</v>
      </c>
      <c r="C352" s="6" t="s">
        <v>6764</v>
      </c>
      <c r="D352" s="6" t="s">
        <v>4710</v>
      </c>
      <c r="E352" s="6" t="s">
        <v>4711</v>
      </c>
      <c r="F352" s="6" t="s">
        <v>5963</v>
      </c>
      <c r="G352" s="6"/>
      <c r="H352" s="6" t="s">
        <v>54</v>
      </c>
      <c r="I352" s="6"/>
      <c r="J352" s="6"/>
      <c r="K352" s="6"/>
      <c r="L352" s="6" t="s">
        <v>4712</v>
      </c>
      <c r="M352" s="6"/>
      <c r="N352" s="6" t="s">
        <v>4713</v>
      </c>
      <c r="O352" s="6" t="str">
        <f>HYPERLINK("https://ceds.ed.gov/cedselementdetails.aspx?termid=6415")</f>
        <v>https://ceds.ed.gov/cedselementdetails.aspx?termid=6415</v>
      </c>
      <c r="P352" s="6" t="str">
        <f>HYPERLINK("https://ceds.ed.gov/elementComment.aspx?elementName=Professional Development Publish Activity Indicator &amp;elementID=6415", "Click here to submit comment")</f>
        <v>Click here to submit comment</v>
      </c>
    </row>
    <row r="353" spans="1:16" ht="135">
      <c r="A353" s="6" t="s">
        <v>6715</v>
      </c>
      <c r="B353" s="6" t="s">
        <v>6768</v>
      </c>
      <c r="C353" s="6" t="s">
        <v>6773</v>
      </c>
      <c r="D353" s="6" t="s">
        <v>5506</v>
      </c>
      <c r="E353" s="6" t="s">
        <v>5507</v>
      </c>
      <c r="F353" s="6" t="s">
        <v>13</v>
      </c>
      <c r="G353" s="6" t="s">
        <v>6322</v>
      </c>
      <c r="H353" s="6" t="s">
        <v>3</v>
      </c>
      <c r="I353" s="6" t="s">
        <v>100</v>
      </c>
      <c r="J353" s="6"/>
      <c r="K353" s="6"/>
      <c r="L353" s="6" t="s">
        <v>5508</v>
      </c>
      <c r="M353" s="6"/>
      <c r="N353" s="6" t="s">
        <v>5509</v>
      </c>
      <c r="O353" s="6" t="str">
        <f>HYPERLINK("https://ceds.ed.gov/cedselementdetails.aspx?termid=5156")</f>
        <v>https://ceds.ed.gov/cedselementdetails.aspx?termid=5156</v>
      </c>
      <c r="P353" s="6" t="str">
        <f>HYPERLINK("https://ceds.ed.gov/elementComment.aspx?elementName=Staff Member Identifier &amp;elementID=5156", "Click here to submit comment")</f>
        <v>Click here to submit comment</v>
      </c>
    </row>
    <row r="354" spans="1:16" ht="409.5">
      <c r="A354" s="6" t="s">
        <v>6715</v>
      </c>
      <c r="B354" s="6" t="s">
        <v>6768</v>
      </c>
      <c r="C354" s="6" t="s">
        <v>6773</v>
      </c>
      <c r="D354" s="6" t="s">
        <v>5502</v>
      </c>
      <c r="E354" s="6" t="s">
        <v>5503</v>
      </c>
      <c r="F354" s="7" t="s">
        <v>6662</v>
      </c>
      <c r="G354" s="6" t="s">
        <v>6321</v>
      </c>
      <c r="H354" s="6" t="s">
        <v>3</v>
      </c>
      <c r="I354" s="6"/>
      <c r="J354" s="6"/>
      <c r="K354" s="6"/>
      <c r="L354" s="6" t="s">
        <v>5504</v>
      </c>
      <c r="M354" s="6"/>
      <c r="N354" s="6" t="s">
        <v>5505</v>
      </c>
      <c r="O354" s="6" t="str">
        <f>HYPERLINK("https://ceds.ed.gov/cedselementdetails.aspx?termid=5162")</f>
        <v>https://ceds.ed.gov/cedselementdetails.aspx?termid=5162</v>
      </c>
      <c r="P354" s="6" t="str">
        <f>HYPERLINK("https://ceds.ed.gov/elementComment.aspx?elementName=Staff Member Identification System &amp;elementID=5162", "Click here to submit comment")</f>
        <v>Click here to submit comment</v>
      </c>
    </row>
    <row r="355" spans="1:16" ht="225">
      <c r="A355" s="6" t="s">
        <v>6715</v>
      </c>
      <c r="B355" s="6" t="s">
        <v>6768</v>
      </c>
      <c r="C355" s="6" t="s">
        <v>6773</v>
      </c>
      <c r="D355" s="6" t="s">
        <v>170</v>
      </c>
      <c r="E355" s="6" t="s">
        <v>171</v>
      </c>
      <c r="F355" s="6" t="s">
        <v>13</v>
      </c>
      <c r="G355" s="6" t="s">
        <v>5973</v>
      </c>
      <c r="H355" s="6" t="s">
        <v>3</v>
      </c>
      <c r="I355" s="6" t="s">
        <v>100</v>
      </c>
      <c r="J355" s="6"/>
      <c r="K355" s="6"/>
      <c r="L355" s="6" t="s">
        <v>172</v>
      </c>
      <c r="M355" s="6"/>
      <c r="N355" s="6" t="s">
        <v>173</v>
      </c>
      <c r="O355" s="6" t="str">
        <f>HYPERLINK("https://ceds.ed.gov/cedselementdetails.aspx?termid=5019")</f>
        <v>https://ceds.ed.gov/cedselementdetails.aspx?termid=5019</v>
      </c>
      <c r="P355" s="6" t="str">
        <f>HYPERLINK("https://ceds.ed.gov/elementComment.aspx?elementName=Address Apartment Room or Suite Number &amp;elementID=5019", "Click here to submit comment")</f>
        <v>Click here to submit comment</v>
      </c>
    </row>
    <row r="356" spans="1:16" ht="225">
      <c r="A356" s="6" t="s">
        <v>6715</v>
      </c>
      <c r="B356" s="6" t="s">
        <v>6768</v>
      </c>
      <c r="C356" s="6" t="s">
        <v>6773</v>
      </c>
      <c r="D356" s="6" t="s">
        <v>174</v>
      </c>
      <c r="E356" s="6" t="s">
        <v>175</v>
      </c>
      <c r="F356" s="6" t="s">
        <v>13</v>
      </c>
      <c r="G356" s="6" t="s">
        <v>5973</v>
      </c>
      <c r="H356" s="6" t="s">
        <v>3</v>
      </c>
      <c r="I356" s="6" t="s">
        <v>100</v>
      </c>
      <c r="J356" s="6"/>
      <c r="K356" s="6"/>
      <c r="L356" s="6" t="s">
        <v>176</v>
      </c>
      <c r="M356" s="6"/>
      <c r="N356" s="6" t="s">
        <v>177</v>
      </c>
      <c r="O356" s="6" t="str">
        <f>HYPERLINK("https://ceds.ed.gov/cedselementdetails.aspx?termid=5040")</f>
        <v>https://ceds.ed.gov/cedselementdetails.aspx?termid=5040</v>
      </c>
      <c r="P356" s="6" t="str">
        <f>HYPERLINK("https://ceds.ed.gov/elementComment.aspx?elementName=Address City &amp;elementID=5040", "Click here to submit comment")</f>
        <v>Click here to submit comment</v>
      </c>
    </row>
    <row r="357" spans="1:16" ht="225">
      <c r="A357" s="6" t="s">
        <v>6715</v>
      </c>
      <c r="B357" s="6" t="s">
        <v>6768</v>
      </c>
      <c r="C357" s="6" t="s">
        <v>6773</v>
      </c>
      <c r="D357" s="6" t="s">
        <v>182</v>
      </c>
      <c r="E357" s="6" t="s">
        <v>183</v>
      </c>
      <c r="F357" s="6" t="s">
        <v>13</v>
      </c>
      <c r="G357" s="6" t="s">
        <v>5973</v>
      </c>
      <c r="H357" s="6" t="s">
        <v>3</v>
      </c>
      <c r="I357" s="6" t="s">
        <v>184</v>
      </c>
      <c r="J357" s="6"/>
      <c r="K357" s="6"/>
      <c r="L357" s="6" t="s">
        <v>185</v>
      </c>
      <c r="M357" s="6"/>
      <c r="N357" s="6" t="s">
        <v>186</v>
      </c>
      <c r="O357" s="6" t="str">
        <f>HYPERLINK("https://ceds.ed.gov/cedselementdetails.aspx?termid=5214")</f>
        <v>https://ceds.ed.gov/cedselementdetails.aspx?termid=5214</v>
      </c>
      <c r="P357" s="6" t="str">
        <f>HYPERLINK("https://ceds.ed.gov/elementComment.aspx?elementName=Address Postal Code &amp;elementID=5214", "Click here to submit comment")</f>
        <v>Click here to submit comment</v>
      </c>
    </row>
    <row r="358" spans="1:16" ht="225">
      <c r="A358" s="6" t="s">
        <v>6715</v>
      </c>
      <c r="B358" s="6" t="s">
        <v>6768</v>
      </c>
      <c r="C358" s="6" t="s">
        <v>6773</v>
      </c>
      <c r="D358" s="6" t="s">
        <v>187</v>
      </c>
      <c r="E358" s="6" t="s">
        <v>188</v>
      </c>
      <c r="F358" s="6" t="s">
        <v>13</v>
      </c>
      <c r="G358" s="6" t="s">
        <v>5973</v>
      </c>
      <c r="H358" s="6" t="s">
        <v>3</v>
      </c>
      <c r="I358" s="6" t="s">
        <v>149</v>
      </c>
      <c r="J358" s="6"/>
      <c r="K358" s="6"/>
      <c r="L358" s="6" t="s">
        <v>189</v>
      </c>
      <c r="M358" s="6"/>
      <c r="N358" s="6" t="s">
        <v>190</v>
      </c>
      <c r="O358" s="6" t="str">
        <f>HYPERLINK("https://ceds.ed.gov/cedselementdetails.aspx?termid=5269")</f>
        <v>https://ceds.ed.gov/cedselementdetails.aspx?termid=5269</v>
      </c>
      <c r="P358" s="6" t="str">
        <f>HYPERLINK("https://ceds.ed.gov/elementComment.aspx?elementName=Address Street Number and Name &amp;elementID=5269", "Click here to submit comment")</f>
        <v>Click here to submit comment</v>
      </c>
    </row>
    <row r="359" spans="1:16" ht="150">
      <c r="A359" s="6" t="s">
        <v>6715</v>
      </c>
      <c r="B359" s="6" t="s">
        <v>6768</v>
      </c>
      <c r="C359" s="6" t="s">
        <v>6773</v>
      </c>
      <c r="D359" s="6" t="s">
        <v>200</v>
      </c>
      <c r="E359" s="6" t="s">
        <v>201</v>
      </c>
      <c r="F359" s="7" t="s">
        <v>6355</v>
      </c>
      <c r="G359" s="6" t="s">
        <v>202</v>
      </c>
      <c r="H359" s="6" t="s">
        <v>3</v>
      </c>
      <c r="I359" s="6" t="s">
        <v>100</v>
      </c>
      <c r="J359" s="6"/>
      <c r="K359" s="6"/>
      <c r="L359" s="6" t="s">
        <v>203</v>
      </c>
      <c r="M359" s="6"/>
      <c r="N359" s="6" t="s">
        <v>204</v>
      </c>
      <c r="O359" s="6" t="str">
        <f>HYPERLINK("https://ceds.ed.gov/cedselementdetails.aspx?termid=5698")</f>
        <v>https://ceds.ed.gov/cedselementdetails.aspx?termid=5698</v>
      </c>
      <c r="P359" s="6" t="str">
        <f>HYPERLINK("https://ceds.ed.gov/elementComment.aspx?elementName=Address Type for Staff &amp;elementID=5698", "Click here to submit comment")</f>
        <v>Click here to submit comment</v>
      </c>
    </row>
    <row r="360" spans="1:16" ht="195">
      <c r="A360" s="6" t="s">
        <v>6715</v>
      </c>
      <c r="B360" s="6" t="s">
        <v>6768</v>
      </c>
      <c r="C360" s="6" t="s">
        <v>6773</v>
      </c>
      <c r="D360" s="6" t="s">
        <v>2776</v>
      </c>
      <c r="E360" s="6" t="s">
        <v>2777</v>
      </c>
      <c r="F360" s="6" t="s">
        <v>13</v>
      </c>
      <c r="G360" s="6" t="s">
        <v>6176</v>
      </c>
      <c r="H360" s="6" t="s">
        <v>3</v>
      </c>
      <c r="I360" s="6" t="s">
        <v>1368</v>
      </c>
      <c r="J360" s="6"/>
      <c r="K360" s="6" t="s">
        <v>2778</v>
      </c>
      <c r="L360" s="6" t="s">
        <v>2779</v>
      </c>
      <c r="M360" s="6"/>
      <c r="N360" s="6" t="s">
        <v>2780</v>
      </c>
      <c r="O360" s="6" t="str">
        <f>HYPERLINK("https://ceds.ed.gov/cedselementdetails.aspx?termid=5115")</f>
        <v>https://ceds.ed.gov/cedselementdetails.aspx?termid=5115</v>
      </c>
      <c r="P360" s="6" t="str">
        <f>HYPERLINK("https://ceds.ed.gov/elementComment.aspx?elementName=First Name &amp;elementID=5115", "Click here to submit comment")</f>
        <v>Click here to submit comment</v>
      </c>
    </row>
    <row r="361" spans="1:16" ht="150">
      <c r="A361" s="6" t="s">
        <v>6715</v>
      </c>
      <c r="B361" s="6" t="s">
        <v>6768</v>
      </c>
      <c r="C361" s="6" t="s">
        <v>6773</v>
      </c>
      <c r="D361" s="6" t="s">
        <v>2829</v>
      </c>
      <c r="E361" s="6" t="s">
        <v>2830</v>
      </c>
      <c r="F361" s="6" t="s">
        <v>13</v>
      </c>
      <c r="G361" s="6" t="s">
        <v>6179</v>
      </c>
      <c r="H361" s="6" t="s">
        <v>3</v>
      </c>
      <c r="I361" s="6" t="s">
        <v>2031</v>
      </c>
      <c r="J361" s="6"/>
      <c r="K361" s="6" t="s">
        <v>2778</v>
      </c>
      <c r="L361" s="6" t="s">
        <v>2831</v>
      </c>
      <c r="M361" s="6"/>
      <c r="N361" s="6" t="s">
        <v>2832</v>
      </c>
      <c r="O361" s="6" t="str">
        <f>HYPERLINK("https://ceds.ed.gov/cedselementdetails.aspx?termid=5121")</f>
        <v>https://ceds.ed.gov/cedselementdetails.aspx?termid=5121</v>
      </c>
      <c r="P361" s="6" t="str">
        <f>HYPERLINK("https://ceds.ed.gov/elementComment.aspx?elementName=Generation Code or Suffix &amp;elementID=5121", "Click here to submit comment")</f>
        <v>Click here to submit comment</v>
      </c>
    </row>
    <row r="362" spans="1:16" ht="195">
      <c r="A362" s="6" t="s">
        <v>6715</v>
      </c>
      <c r="B362" s="6" t="s">
        <v>6768</v>
      </c>
      <c r="C362" s="6" t="s">
        <v>6773</v>
      </c>
      <c r="D362" s="6" t="s">
        <v>3427</v>
      </c>
      <c r="E362" s="6" t="s">
        <v>3428</v>
      </c>
      <c r="F362" s="6" t="s">
        <v>13</v>
      </c>
      <c r="G362" s="6" t="s">
        <v>6176</v>
      </c>
      <c r="H362" s="6" t="s">
        <v>3</v>
      </c>
      <c r="I362" s="6" t="s">
        <v>1368</v>
      </c>
      <c r="J362" s="6"/>
      <c r="K362" s="6" t="s">
        <v>2778</v>
      </c>
      <c r="L362" s="6" t="s">
        <v>3429</v>
      </c>
      <c r="M362" s="6" t="s">
        <v>3430</v>
      </c>
      <c r="N362" s="6" t="s">
        <v>3431</v>
      </c>
      <c r="O362" s="6" t="str">
        <f>HYPERLINK("https://ceds.ed.gov/cedselementdetails.aspx?termid=5172")</f>
        <v>https://ceds.ed.gov/cedselementdetails.aspx?termid=5172</v>
      </c>
      <c r="P362" s="6" t="str">
        <f>HYPERLINK("https://ceds.ed.gov/elementComment.aspx?elementName=Last or Surname &amp;elementID=5172", "Click here to submit comment")</f>
        <v>Click here to submit comment</v>
      </c>
    </row>
    <row r="363" spans="1:16" ht="195">
      <c r="A363" s="6" t="s">
        <v>6715</v>
      </c>
      <c r="B363" s="6" t="s">
        <v>6768</v>
      </c>
      <c r="C363" s="6" t="s">
        <v>6773</v>
      </c>
      <c r="D363" s="6" t="s">
        <v>4088</v>
      </c>
      <c r="E363" s="6" t="s">
        <v>4089</v>
      </c>
      <c r="F363" s="6" t="s">
        <v>13</v>
      </c>
      <c r="G363" s="6" t="s">
        <v>6176</v>
      </c>
      <c r="H363" s="6" t="s">
        <v>3</v>
      </c>
      <c r="I363" s="6" t="s">
        <v>1368</v>
      </c>
      <c r="J363" s="6"/>
      <c r="K363" s="6" t="s">
        <v>2778</v>
      </c>
      <c r="L363" s="6" t="s">
        <v>4090</v>
      </c>
      <c r="M363" s="6"/>
      <c r="N363" s="6" t="s">
        <v>4091</v>
      </c>
      <c r="O363" s="6" t="str">
        <f>HYPERLINK("https://ceds.ed.gov/cedselementdetails.aspx?termid=5184")</f>
        <v>https://ceds.ed.gov/cedselementdetails.aspx?termid=5184</v>
      </c>
      <c r="P363" s="6" t="str">
        <f>HYPERLINK("https://ceds.ed.gov/elementComment.aspx?elementName=Middle Name &amp;elementID=5184", "Click here to submit comment")</f>
        <v>Click here to submit comment</v>
      </c>
    </row>
    <row r="364" spans="1:16" ht="105">
      <c r="A364" s="6" t="s">
        <v>6715</v>
      </c>
      <c r="B364" s="6" t="s">
        <v>6768</v>
      </c>
      <c r="C364" s="6" t="s">
        <v>6773</v>
      </c>
      <c r="D364" s="6" t="s">
        <v>4498</v>
      </c>
      <c r="E364" s="6" t="s">
        <v>4499</v>
      </c>
      <c r="F364" s="6" t="s">
        <v>13</v>
      </c>
      <c r="G364" s="6" t="s">
        <v>6280</v>
      </c>
      <c r="H364" s="6" t="s">
        <v>3</v>
      </c>
      <c r="I364" s="6" t="s">
        <v>100</v>
      </c>
      <c r="J364" s="6"/>
      <c r="K364" s="6"/>
      <c r="L364" s="6" t="s">
        <v>4500</v>
      </c>
      <c r="M364" s="6" t="s">
        <v>4501</v>
      </c>
      <c r="N364" s="6" t="s">
        <v>4502</v>
      </c>
      <c r="O364" s="6" t="str">
        <f>HYPERLINK("https://ceds.ed.gov/cedselementdetails.aspx?termid=5212")</f>
        <v>https://ceds.ed.gov/cedselementdetails.aspx?termid=5212</v>
      </c>
      <c r="P364" s="6" t="str">
        <f>HYPERLINK("https://ceds.ed.gov/elementComment.aspx?elementName=Personal Title or Prefix &amp;elementID=5212", "Click here to submit comment")</f>
        <v>Click here to submit comment</v>
      </c>
    </row>
    <row r="365" spans="1:16" ht="90">
      <c r="A365" s="6" t="s">
        <v>6715</v>
      </c>
      <c r="B365" s="6" t="s">
        <v>6768</v>
      </c>
      <c r="C365" s="6" t="s">
        <v>6773</v>
      </c>
      <c r="D365" s="6" t="s">
        <v>4507</v>
      </c>
      <c r="E365" s="6" t="s">
        <v>4508</v>
      </c>
      <c r="F365" s="6" t="s">
        <v>13</v>
      </c>
      <c r="G365" s="6" t="s">
        <v>5968</v>
      </c>
      <c r="H365" s="6" t="s">
        <v>3</v>
      </c>
      <c r="I365" s="6" t="s">
        <v>1249</v>
      </c>
      <c r="J365" s="6"/>
      <c r="K365" s="6"/>
      <c r="L365" s="6" t="s">
        <v>4509</v>
      </c>
      <c r="M365" s="6"/>
      <c r="N365" s="6" t="s">
        <v>4510</v>
      </c>
      <c r="O365" s="6" t="str">
        <f>HYPERLINK("https://ceds.ed.gov/cedselementdetails.aspx?termid=5213")</f>
        <v>https://ceds.ed.gov/cedselementdetails.aspx?termid=5213</v>
      </c>
      <c r="P365" s="6" t="str">
        <f>HYPERLINK("https://ceds.ed.gov/elementComment.aspx?elementName=Position Title &amp;elementID=5213", "Click here to submit comment")</f>
        <v>Click here to submit comment</v>
      </c>
    </row>
    <row r="366" spans="1:16" ht="90">
      <c r="A366" s="6" t="s">
        <v>6715</v>
      </c>
      <c r="B366" s="6" t="s">
        <v>6768</v>
      </c>
      <c r="C366" s="6" t="s">
        <v>6773</v>
      </c>
      <c r="D366" s="6" t="s">
        <v>4591</v>
      </c>
      <c r="E366" s="6" t="s">
        <v>4592</v>
      </c>
      <c r="F366" s="6" t="s">
        <v>5963</v>
      </c>
      <c r="G366" s="6" t="s">
        <v>5968</v>
      </c>
      <c r="H366" s="6" t="s">
        <v>3</v>
      </c>
      <c r="I366" s="6"/>
      <c r="J366" s="6"/>
      <c r="K366" s="6"/>
      <c r="L366" s="6" t="s">
        <v>4593</v>
      </c>
      <c r="M366" s="6"/>
      <c r="N366" s="6" t="s">
        <v>4594</v>
      </c>
      <c r="O366" s="6" t="str">
        <f>HYPERLINK("https://ceds.ed.gov/cedselementdetails.aspx?termid=5219")</f>
        <v>https://ceds.ed.gov/cedselementdetails.aspx?termid=5219</v>
      </c>
      <c r="P366" s="6" t="str">
        <f>HYPERLINK("https://ceds.ed.gov/elementComment.aspx?elementName=Primary Telephone Number Indicator &amp;elementID=5219", "Click here to submit comment")</f>
        <v>Click here to submit comment</v>
      </c>
    </row>
    <row r="367" spans="1:16" ht="409.5">
      <c r="A367" s="6" t="s">
        <v>6715</v>
      </c>
      <c r="B367" s="6" t="s">
        <v>6768</v>
      </c>
      <c r="C367" s="6" t="s">
        <v>6773</v>
      </c>
      <c r="D367" s="6" t="s">
        <v>5533</v>
      </c>
      <c r="E367" s="6" t="s">
        <v>5534</v>
      </c>
      <c r="F367" s="7" t="s">
        <v>6633</v>
      </c>
      <c r="G367" s="6" t="s">
        <v>6324</v>
      </c>
      <c r="H367" s="6" t="s">
        <v>3</v>
      </c>
      <c r="I367" s="6"/>
      <c r="J367" s="6"/>
      <c r="K367" s="6"/>
      <c r="L367" s="6" t="s">
        <v>5535</v>
      </c>
      <c r="M367" s="6"/>
      <c r="N367" s="6" t="s">
        <v>5536</v>
      </c>
      <c r="O367" s="6" t="str">
        <f>HYPERLINK("https://ceds.ed.gov/cedselementdetails.aspx?termid=5267")</f>
        <v>https://ceds.ed.gov/cedselementdetails.aspx?termid=5267</v>
      </c>
      <c r="P367" s="6" t="str">
        <f>HYPERLINK("https://ceds.ed.gov/elementComment.aspx?elementName=State Abbreviation &amp;elementID=5267", "Click here to submit comment")</f>
        <v>Click here to submit comment</v>
      </c>
    </row>
    <row r="368" spans="1:16" ht="90">
      <c r="A368" s="6" t="s">
        <v>6715</v>
      </c>
      <c r="B368" s="6" t="s">
        <v>6768</v>
      </c>
      <c r="C368" s="6" t="s">
        <v>6773</v>
      </c>
      <c r="D368" s="6" t="s">
        <v>5727</v>
      </c>
      <c r="E368" s="6" t="s">
        <v>5728</v>
      </c>
      <c r="F368" s="6" t="s">
        <v>13</v>
      </c>
      <c r="G368" s="6" t="s">
        <v>5968</v>
      </c>
      <c r="H368" s="6" t="s">
        <v>3</v>
      </c>
      <c r="I368" s="6" t="s">
        <v>5729</v>
      </c>
      <c r="J368" s="6"/>
      <c r="K368" s="6"/>
      <c r="L368" s="6" t="s">
        <v>5730</v>
      </c>
      <c r="M368" s="6"/>
      <c r="N368" s="6" t="s">
        <v>5731</v>
      </c>
      <c r="O368" s="6" t="str">
        <f>HYPERLINK("https://ceds.ed.gov/cedselementdetails.aspx?termid=5279")</f>
        <v>https://ceds.ed.gov/cedselementdetails.aspx?termid=5279</v>
      </c>
      <c r="P368" s="6" t="str">
        <f>HYPERLINK("https://ceds.ed.gov/elementComment.aspx?elementName=Telephone Number &amp;elementID=5279", "Click here to submit comment")</f>
        <v>Click here to submit comment</v>
      </c>
    </row>
    <row r="369" spans="1:16" ht="135">
      <c r="A369" s="6" t="s">
        <v>6715</v>
      </c>
      <c r="B369" s="6" t="s">
        <v>6768</v>
      </c>
      <c r="C369" s="6" t="s">
        <v>6773</v>
      </c>
      <c r="D369" s="6" t="s">
        <v>5732</v>
      </c>
      <c r="E369" s="6" t="s">
        <v>5733</v>
      </c>
      <c r="F369" s="7" t="s">
        <v>6675</v>
      </c>
      <c r="G369" s="6" t="s">
        <v>5968</v>
      </c>
      <c r="H369" s="6" t="s">
        <v>3</v>
      </c>
      <c r="I369" s="6" t="s">
        <v>2844</v>
      </c>
      <c r="J369" s="6"/>
      <c r="K369" s="6"/>
      <c r="L369" s="6" t="s">
        <v>5734</v>
      </c>
      <c r="M369" s="6"/>
      <c r="N369" s="6" t="s">
        <v>5735</v>
      </c>
      <c r="O369" s="6" t="str">
        <f>HYPERLINK("https://ceds.ed.gov/cedselementdetails.aspx?termid=5280")</f>
        <v>https://ceds.ed.gov/cedselementdetails.aspx?termid=5280</v>
      </c>
      <c r="P369" s="6" t="str">
        <f>HYPERLINK("https://ceds.ed.gov/elementComment.aspx?elementName=Telephone Number Type &amp;elementID=5280", "Click here to submit comment")</f>
        <v>Click here to submit comment</v>
      </c>
    </row>
    <row r="370" spans="1:16" ht="409.5">
      <c r="A370" s="6" t="s">
        <v>6715</v>
      </c>
      <c r="B370" s="6" t="s">
        <v>6768</v>
      </c>
      <c r="C370" s="6" t="s">
        <v>6774</v>
      </c>
      <c r="D370" s="6" t="s">
        <v>4648</v>
      </c>
      <c r="E370" s="6" t="s">
        <v>4649</v>
      </c>
      <c r="F370" s="7" t="s">
        <v>6613</v>
      </c>
      <c r="G370" s="6"/>
      <c r="H370" s="6" t="s">
        <v>54</v>
      </c>
      <c r="I370" s="6"/>
      <c r="J370" s="6"/>
      <c r="K370" s="6" t="s">
        <v>4651</v>
      </c>
      <c r="L370" s="6" t="s">
        <v>4652</v>
      </c>
      <c r="M370" s="6"/>
      <c r="N370" s="6" t="s">
        <v>4653</v>
      </c>
      <c r="O370" s="6" t="str">
        <f>HYPERLINK("https://ceds.ed.gov/cedselementdetails.aspx?termid=6245")</f>
        <v>https://ceds.ed.gov/cedselementdetails.aspx?termid=6245</v>
      </c>
      <c r="P370" s="6" t="str">
        <f>HYPERLINK("https://ceds.ed.gov/elementComment.aspx?elementName=Professional Development Activity Education Levels Addressed &amp;elementID=6245", "Click here to submit comment")</f>
        <v>Click here to submit comment</v>
      </c>
    </row>
    <row r="371" spans="1:16" ht="60">
      <c r="A371" s="6" t="s">
        <v>6715</v>
      </c>
      <c r="B371" s="6" t="s">
        <v>6768</v>
      </c>
      <c r="C371" s="6" t="s">
        <v>6775</v>
      </c>
      <c r="D371" s="6" t="s">
        <v>4658</v>
      </c>
      <c r="E371" s="6" t="s">
        <v>4659</v>
      </c>
      <c r="F371" s="6" t="s">
        <v>13</v>
      </c>
      <c r="G371" s="6" t="s">
        <v>202</v>
      </c>
      <c r="H371" s="6"/>
      <c r="I371" s="6" t="s">
        <v>100</v>
      </c>
      <c r="J371" s="6" t="s">
        <v>4661</v>
      </c>
      <c r="K371" s="6"/>
      <c r="L371" s="6" t="s">
        <v>4662</v>
      </c>
      <c r="M371" s="6"/>
      <c r="N371" s="6" t="s">
        <v>4663</v>
      </c>
      <c r="O371" s="6" t="str">
        <f>HYPERLINK("https://ceds.ed.gov/cedselementdetails.aspx?termid=5808")</f>
        <v>https://ceds.ed.gov/cedselementdetails.aspx?termid=5808</v>
      </c>
      <c r="P371" s="6" t="str">
        <f>HYPERLINK("https://ceds.ed.gov/elementComment.aspx?elementName=Professional Development Activity Identifier &amp;elementID=5808", "Click here to submit comment")</f>
        <v>Click here to submit comment</v>
      </c>
    </row>
    <row r="372" spans="1:16" ht="60">
      <c r="A372" s="6" t="s">
        <v>6715</v>
      </c>
      <c r="B372" s="6" t="s">
        <v>6768</v>
      </c>
      <c r="C372" s="6" t="s">
        <v>6775</v>
      </c>
      <c r="D372" s="6" t="s">
        <v>4654</v>
      </c>
      <c r="E372" s="6" t="s">
        <v>4655</v>
      </c>
      <c r="F372" s="6" t="s">
        <v>13</v>
      </c>
      <c r="G372" s="6"/>
      <c r="H372" s="6" t="s">
        <v>54</v>
      </c>
      <c r="I372" s="6" t="s">
        <v>73</v>
      </c>
      <c r="J372" s="6"/>
      <c r="K372" s="6"/>
      <c r="L372" s="6" t="s">
        <v>4656</v>
      </c>
      <c r="M372" s="6"/>
      <c r="N372" s="6" t="s">
        <v>4657</v>
      </c>
      <c r="O372" s="6" t="str">
        <f>HYPERLINK("https://ceds.ed.gov/cedselementdetails.aspx?termid=6421")</f>
        <v>https://ceds.ed.gov/cedselementdetails.aspx?termid=6421</v>
      </c>
      <c r="P372" s="6" t="str">
        <f>HYPERLINK("https://ceds.ed.gov/elementComment.aspx?elementName=Professional Development Activity Expiration Date &amp;elementID=6421", "Click here to submit comment")</f>
        <v>Click here to submit comment</v>
      </c>
    </row>
    <row r="373" spans="1:16" ht="60">
      <c r="A373" s="6" t="s">
        <v>6715</v>
      </c>
      <c r="B373" s="6" t="s">
        <v>6768</v>
      </c>
      <c r="C373" s="6" t="s">
        <v>6775</v>
      </c>
      <c r="D373" s="6" t="s">
        <v>4620</v>
      </c>
      <c r="E373" s="6" t="s">
        <v>4621</v>
      </c>
      <c r="F373" s="6" t="s">
        <v>13</v>
      </c>
      <c r="G373" s="6"/>
      <c r="H373" s="6" t="s">
        <v>54</v>
      </c>
      <c r="I373" s="6" t="s">
        <v>100</v>
      </c>
      <c r="J373" s="6"/>
      <c r="K373" s="6"/>
      <c r="L373" s="6" t="s">
        <v>4622</v>
      </c>
      <c r="M373" s="6"/>
      <c r="N373" s="6" t="s">
        <v>4623</v>
      </c>
      <c r="O373" s="6" t="str">
        <f>HYPERLINK("https://ceds.ed.gov/cedselementdetails.aspx?termid=6402")</f>
        <v>https://ceds.ed.gov/cedselementdetails.aspx?termid=6402</v>
      </c>
      <c r="P373" s="6" t="str">
        <f>HYPERLINK("https://ceds.ed.gov/elementComment.aspx?elementName=Professional Development Activity Approval Code &amp;elementID=6402", "Click here to submit comment")</f>
        <v>Click here to submit comment</v>
      </c>
    </row>
    <row r="374" spans="1:16" ht="105">
      <c r="A374" s="6" t="s">
        <v>6715</v>
      </c>
      <c r="B374" s="6" t="s">
        <v>6768</v>
      </c>
      <c r="C374" s="6" t="s">
        <v>6775</v>
      </c>
      <c r="D374" s="6" t="s">
        <v>4624</v>
      </c>
      <c r="E374" s="6" t="s">
        <v>4625</v>
      </c>
      <c r="F374" s="7" t="s">
        <v>6611</v>
      </c>
      <c r="G374" s="6"/>
      <c r="H374" s="6" t="s">
        <v>54</v>
      </c>
      <c r="I374" s="6"/>
      <c r="J374" s="6"/>
      <c r="K374" s="6"/>
      <c r="L374" s="6" t="s">
        <v>4626</v>
      </c>
      <c r="M374" s="6"/>
      <c r="N374" s="6" t="s">
        <v>4627</v>
      </c>
      <c r="O374" s="6" t="str">
        <f>HYPERLINK("https://ceds.ed.gov/cedselementdetails.aspx?termid=6403")</f>
        <v>https://ceds.ed.gov/cedselementdetails.aspx?termid=6403</v>
      </c>
      <c r="P374" s="6" t="str">
        <f>HYPERLINK("https://ceds.ed.gov/elementComment.aspx?elementName=Professional Development Activity Approved For &amp;elementID=6403", "Click here to submit comment")</f>
        <v>Click here to submit comment</v>
      </c>
    </row>
    <row r="375" spans="1:16" ht="75">
      <c r="A375" s="6" t="s">
        <v>6715</v>
      </c>
      <c r="B375" s="6" t="s">
        <v>6768</v>
      </c>
      <c r="C375" s="6" t="s">
        <v>6775</v>
      </c>
      <c r="D375" s="6" t="s">
        <v>4628</v>
      </c>
      <c r="E375" s="6" t="s">
        <v>4629</v>
      </c>
      <c r="F375" s="6" t="s">
        <v>13</v>
      </c>
      <c r="G375" s="6"/>
      <c r="H375" s="6" t="s">
        <v>54</v>
      </c>
      <c r="I375" s="6" t="s">
        <v>100</v>
      </c>
      <c r="J375" s="6"/>
      <c r="K375" s="6"/>
      <c r="L375" s="6" t="s">
        <v>4630</v>
      </c>
      <c r="M375" s="6"/>
      <c r="N375" s="6" t="s">
        <v>4631</v>
      </c>
      <c r="O375" s="6" t="str">
        <f>HYPERLINK("https://ceds.ed.gov/cedselementdetails.aspx?termid=6404")</f>
        <v>https://ceds.ed.gov/cedselementdetails.aspx?termid=6404</v>
      </c>
      <c r="P375" s="6" t="str">
        <f>HYPERLINK("https://ceds.ed.gov/elementComment.aspx?elementName=Professional Development Activity Code &amp;elementID=6404", "Click here to submit comment")</f>
        <v>Click here to submit comment</v>
      </c>
    </row>
    <row r="376" spans="1:16" ht="45">
      <c r="A376" s="6" t="s">
        <v>6715</v>
      </c>
      <c r="B376" s="6" t="s">
        <v>6768</v>
      </c>
      <c r="C376" s="6" t="s">
        <v>6775</v>
      </c>
      <c r="D376" s="6" t="s">
        <v>4632</v>
      </c>
      <c r="E376" s="6" t="s">
        <v>4633</v>
      </c>
      <c r="F376" s="6" t="s">
        <v>13</v>
      </c>
      <c r="G376" s="6"/>
      <c r="H376" s="6" t="s">
        <v>54</v>
      </c>
      <c r="I376" s="6" t="s">
        <v>1461</v>
      </c>
      <c r="J376" s="6"/>
      <c r="K376" s="6"/>
      <c r="L376" s="6" t="s">
        <v>4634</v>
      </c>
      <c r="M376" s="6"/>
      <c r="N376" s="6" t="s">
        <v>4635</v>
      </c>
      <c r="O376" s="6" t="str">
        <f>HYPERLINK("https://ceds.ed.gov/cedselementdetails.aspx?termid=6405")</f>
        <v>https://ceds.ed.gov/cedselementdetails.aspx?termid=6405</v>
      </c>
      <c r="P376" s="6" t="str">
        <f>HYPERLINK("https://ceds.ed.gov/elementComment.aspx?elementName=Professional Development Activity Cost &amp;elementID=6405", "Click here to submit comment")</f>
        <v>Click here to submit comment</v>
      </c>
    </row>
    <row r="377" spans="1:16" ht="120">
      <c r="A377" s="6" t="s">
        <v>6715</v>
      </c>
      <c r="B377" s="6" t="s">
        <v>6768</v>
      </c>
      <c r="C377" s="6" t="s">
        <v>6775</v>
      </c>
      <c r="D377" s="6" t="s">
        <v>4636</v>
      </c>
      <c r="E377" s="6" t="s">
        <v>4637</v>
      </c>
      <c r="F377" s="7" t="s">
        <v>6612</v>
      </c>
      <c r="G377" s="6"/>
      <c r="H377" s="6" t="s">
        <v>54</v>
      </c>
      <c r="I377" s="6"/>
      <c r="J377" s="6"/>
      <c r="K377" s="6"/>
      <c r="L377" s="6" t="s">
        <v>4638</v>
      </c>
      <c r="M377" s="6"/>
      <c r="N377" s="6" t="s">
        <v>4639</v>
      </c>
      <c r="O377" s="6" t="str">
        <f>HYPERLINK("https://ceds.ed.gov/cedselementdetails.aspx?termid=6406")</f>
        <v>https://ceds.ed.gov/cedselementdetails.aspx?termid=6406</v>
      </c>
      <c r="P377" s="6" t="str">
        <f>HYPERLINK("https://ceds.ed.gov/elementComment.aspx?elementName=Professional Development Activity Credit Type &amp;elementID=6406", "Click here to submit comment")</f>
        <v>Click here to submit comment</v>
      </c>
    </row>
    <row r="378" spans="1:16" ht="45">
      <c r="A378" s="6" t="s">
        <v>6715</v>
      </c>
      <c r="B378" s="6" t="s">
        <v>6768</v>
      </c>
      <c r="C378" s="6" t="s">
        <v>6775</v>
      </c>
      <c r="D378" s="6" t="s">
        <v>4640</v>
      </c>
      <c r="E378" s="6" t="s">
        <v>4641</v>
      </c>
      <c r="F378" s="6" t="s">
        <v>13</v>
      </c>
      <c r="G378" s="6"/>
      <c r="H378" s="6" t="s">
        <v>54</v>
      </c>
      <c r="I378" s="6" t="s">
        <v>1461</v>
      </c>
      <c r="J378" s="6"/>
      <c r="K378" s="6"/>
      <c r="L378" s="6" t="s">
        <v>4642</v>
      </c>
      <c r="M378" s="6"/>
      <c r="N378" s="6" t="s">
        <v>4643</v>
      </c>
      <c r="O378" s="6" t="str">
        <f>HYPERLINK("https://ceds.ed.gov/cedselementdetails.aspx?termid=6407")</f>
        <v>https://ceds.ed.gov/cedselementdetails.aspx?termid=6407</v>
      </c>
      <c r="P378" s="6" t="str">
        <f>HYPERLINK("https://ceds.ed.gov/elementComment.aspx?elementName=Professional Development Activity Credits &amp;elementID=6407", "Click here to submit comment")</f>
        <v>Click here to submit comment</v>
      </c>
    </row>
    <row r="379" spans="1:16" ht="60">
      <c r="A379" s="6" t="s">
        <v>6715</v>
      </c>
      <c r="B379" s="6" t="s">
        <v>6768</v>
      </c>
      <c r="C379" s="6" t="s">
        <v>6775</v>
      </c>
      <c r="D379" s="6" t="s">
        <v>4644</v>
      </c>
      <c r="E379" s="6" t="s">
        <v>4645</v>
      </c>
      <c r="F379" s="6" t="s">
        <v>13</v>
      </c>
      <c r="G379" s="6"/>
      <c r="H379" s="6" t="s">
        <v>54</v>
      </c>
      <c r="I379" s="6" t="s">
        <v>319</v>
      </c>
      <c r="J379" s="6"/>
      <c r="K379" s="6"/>
      <c r="L379" s="6" t="s">
        <v>4646</v>
      </c>
      <c r="M379" s="6"/>
      <c r="N379" s="6" t="s">
        <v>4647</v>
      </c>
      <c r="O379" s="6" t="str">
        <f>HYPERLINK("https://ceds.ed.gov/cedselementdetails.aspx?termid=6408")</f>
        <v>https://ceds.ed.gov/cedselementdetails.aspx?termid=6408</v>
      </c>
      <c r="P379" s="6" t="str">
        <f>HYPERLINK("https://ceds.ed.gov/elementComment.aspx?elementName=Professional Development Activity Description &amp;elementID=6408", "Click here to submit comment")</f>
        <v>Click here to submit comment</v>
      </c>
    </row>
    <row r="380" spans="1:16" ht="60">
      <c r="A380" s="6" t="s">
        <v>6715</v>
      </c>
      <c r="B380" s="6" t="s">
        <v>6768</v>
      </c>
      <c r="C380" s="6" t="s">
        <v>6775</v>
      </c>
      <c r="D380" s="6" t="s">
        <v>4664</v>
      </c>
      <c r="E380" s="6" t="s">
        <v>4665</v>
      </c>
      <c r="F380" s="6" t="s">
        <v>6289</v>
      </c>
      <c r="G380" s="6"/>
      <c r="H380" s="6" t="s">
        <v>54</v>
      </c>
      <c r="I380" s="6"/>
      <c r="J380" s="6"/>
      <c r="K380" s="6"/>
      <c r="L380" s="6" t="s">
        <v>4666</v>
      </c>
      <c r="M380" s="6"/>
      <c r="N380" s="6" t="s">
        <v>4667</v>
      </c>
      <c r="O380" s="6" t="str">
        <f>HYPERLINK("https://ceds.ed.gov/cedselementdetails.aspx?termid=6409")</f>
        <v>https://ceds.ed.gov/cedselementdetails.aspx?termid=6409</v>
      </c>
      <c r="P380" s="6" t="str">
        <f>HYPERLINK("https://ceds.ed.gov/elementComment.aspx?elementName=Professional Development Activity Level &amp;elementID=6409", "Click here to submit comment")</f>
        <v>Click here to submit comment</v>
      </c>
    </row>
    <row r="381" spans="1:16" ht="45">
      <c r="A381" s="6" t="s">
        <v>6715</v>
      </c>
      <c r="B381" s="6" t="s">
        <v>6768</v>
      </c>
      <c r="C381" s="6" t="s">
        <v>6775</v>
      </c>
      <c r="D381" s="6" t="s">
        <v>4668</v>
      </c>
      <c r="E381" s="6" t="s">
        <v>4669</v>
      </c>
      <c r="F381" s="6" t="s">
        <v>13</v>
      </c>
      <c r="G381" s="6"/>
      <c r="H381" s="6" t="s">
        <v>54</v>
      </c>
      <c r="I381" s="6" t="s">
        <v>319</v>
      </c>
      <c r="J381" s="6"/>
      <c r="K381" s="6"/>
      <c r="L381" s="6" t="s">
        <v>4670</v>
      </c>
      <c r="M381" s="6"/>
      <c r="N381" s="6" t="s">
        <v>4671</v>
      </c>
      <c r="O381" s="6" t="str">
        <f>HYPERLINK("https://ceds.ed.gov/cedselementdetails.aspx?termid=6410")</f>
        <v>https://ceds.ed.gov/cedselementdetails.aspx?termid=6410</v>
      </c>
      <c r="P381" s="6" t="str">
        <f>HYPERLINK("https://ceds.ed.gov/elementComment.aspx?elementName=Professional Development Activity Objective &amp;elementID=6410", "Click here to submit comment")</f>
        <v>Click here to submit comment</v>
      </c>
    </row>
    <row r="382" spans="1:16" ht="409.5">
      <c r="A382" s="6" t="s">
        <v>6715</v>
      </c>
      <c r="B382" s="6" t="s">
        <v>6768</v>
      </c>
      <c r="C382" s="6" t="s">
        <v>6775</v>
      </c>
      <c r="D382" s="6" t="s">
        <v>4672</v>
      </c>
      <c r="E382" s="6" t="s">
        <v>4673</v>
      </c>
      <c r="F382" s="7" t="s">
        <v>6614</v>
      </c>
      <c r="G382" s="6"/>
      <c r="H382" s="6" t="s">
        <v>54</v>
      </c>
      <c r="I382" s="6"/>
      <c r="J382" s="6"/>
      <c r="K382" s="6"/>
      <c r="L382" s="6" t="s">
        <v>4674</v>
      </c>
      <c r="M382" s="6"/>
      <c r="N382" s="6" t="s">
        <v>4675</v>
      </c>
      <c r="O382" s="6" t="str">
        <f>HYPERLINK("https://ceds.ed.gov/cedselementdetails.aspx?termid=6464")</f>
        <v>https://ceds.ed.gov/cedselementdetails.aspx?termid=6464</v>
      </c>
      <c r="P382" s="6" t="str">
        <f>HYPERLINK("https://ceds.ed.gov/elementComment.aspx?elementName=Professional Development Activity Target Audience &amp;elementID=6464", "Click here to submit comment")</f>
        <v>Click here to submit comment</v>
      </c>
    </row>
    <row r="383" spans="1:16" ht="45">
      <c r="A383" s="6" t="s">
        <v>6715</v>
      </c>
      <c r="B383" s="6" t="s">
        <v>6768</v>
      </c>
      <c r="C383" s="6" t="s">
        <v>6775</v>
      </c>
      <c r="D383" s="6" t="s">
        <v>4676</v>
      </c>
      <c r="E383" s="6" t="s">
        <v>4677</v>
      </c>
      <c r="F383" s="6" t="s">
        <v>13</v>
      </c>
      <c r="G383" s="6" t="s">
        <v>202</v>
      </c>
      <c r="H383" s="6" t="s">
        <v>66</v>
      </c>
      <c r="I383" s="6" t="s">
        <v>106</v>
      </c>
      <c r="J383" s="6" t="s">
        <v>4678</v>
      </c>
      <c r="K383" s="6"/>
      <c r="L383" s="6" t="s">
        <v>4679</v>
      </c>
      <c r="M383" s="6"/>
      <c r="N383" s="6" t="s">
        <v>4680</v>
      </c>
      <c r="O383" s="6" t="str">
        <f>HYPERLINK("https://ceds.ed.gov/cedselementdetails.aspx?termid=5809")</f>
        <v>https://ceds.ed.gov/cedselementdetails.aspx?termid=5809</v>
      </c>
      <c r="P383" s="6" t="str">
        <f>HYPERLINK("https://ceds.ed.gov/elementComment.aspx?elementName=Professional Development Activity Title &amp;elementID=5809", "Click here to submit comment")</f>
        <v>Click here to submit comment</v>
      </c>
    </row>
    <row r="384" spans="1:16" ht="210">
      <c r="A384" s="6" t="s">
        <v>6715</v>
      </c>
      <c r="B384" s="6" t="s">
        <v>6768</v>
      </c>
      <c r="C384" s="6" t="s">
        <v>6775</v>
      </c>
      <c r="D384" s="6" t="s">
        <v>4681</v>
      </c>
      <c r="E384" s="6" t="s">
        <v>4682</v>
      </c>
      <c r="F384" s="7" t="s">
        <v>6615</v>
      </c>
      <c r="G384" s="6"/>
      <c r="H384" s="6" t="s">
        <v>54</v>
      </c>
      <c r="I384" s="6"/>
      <c r="J384" s="6"/>
      <c r="K384" s="6" t="s">
        <v>4683</v>
      </c>
      <c r="L384" s="6" t="s">
        <v>4684</v>
      </c>
      <c r="M384" s="6"/>
      <c r="N384" s="6" t="s">
        <v>4685</v>
      </c>
      <c r="O384" s="6" t="str">
        <f>HYPERLINK("https://ceds.ed.gov/cedselementdetails.aspx?termid=6412")</f>
        <v>https://ceds.ed.gov/cedselementdetails.aspx?termid=6412</v>
      </c>
      <c r="P384" s="6" t="str">
        <f>HYPERLINK("https://ceds.ed.gov/elementComment.aspx?elementName=Professional Development Activity Type &amp;elementID=6412", "Click here to submit comment")</f>
        <v>Click here to submit comment</v>
      </c>
    </row>
    <row r="385" spans="1:16" ht="45">
      <c r="A385" s="6" t="s">
        <v>6715</v>
      </c>
      <c r="B385" s="6" t="s">
        <v>6768</v>
      </c>
      <c r="C385" s="6" t="s">
        <v>6776</v>
      </c>
      <c r="D385" s="6" t="s">
        <v>4718</v>
      </c>
      <c r="E385" s="6" t="s">
        <v>4719</v>
      </c>
      <c r="F385" s="6" t="s">
        <v>13</v>
      </c>
      <c r="G385" s="6"/>
      <c r="H385" s="6" t="s">
        <v>54</v>
      </c>
      <c r="I385" s="6" t="s">
        <v>575</v>
      </c>
      <c r="J385" s="6"/>
      <c r="K385" s="6"/>
      <c r="L385" s="6" t="s">
        <v>4720</v>
      </c>
      <c r="M385" s="6"/>
      <c r="N385" s="6" t="s">
        <v>4721</v>
      </c>
      <c r="O385" s="6" t="str">
        <f>HYPERLINK("https://ceds.ed.gov/cedselementdetails.aspx?termid=6416")</f>
        <v>https://ceds.ed.gov/cedselementdetails.aspx?termid=6416</v>
      </c>
      <c r="P385" s="6" t="str">
        <f>HYPERLINK("https://ceds.ed.gov/elementComment.aspx?elementName=Professional Development Session Capacity &amp;elementID=6416", "Click here to submit comment")</f>
        <v>Click here to submit comment</v>
      </c>
    </row>
    <row r="386" spans="1:16" ht="45">
      <c r="A386" s="6" t="s">
        <v>6715</v>
      </c>
      <c r="B386" s="6" t="s">
        <v>6768</v>
      </c>
      <c r="C386" s="6" t="s">
        <v>6776</v>
      </c>
      <c r="D386" s="6" t="s">
        <v>4722</v>
      </c>
      <c r="E386" s="6" t="s">
        <v>4723</v>
      </c>
      <c r="F386" s="6" t="s">
        <v>13</v>
      </c>
      <c r="G386" s="6"/>
      <c r="H386" s="6" t="s">
        <v>54</v>
      </c>
      <c r="I386" s="6" t="s">
        <v>73</v>
      </c>
      <c r="J386" s="6"/>
      <c r="K386" s="6"/>
      <c r="L386" s="6" t="s">
        <v>4724</v>
      </c>
      <c r="M386" s="6"/>
      <c r="N386" s="6" t="s">
        <v>4725</v>
      </c>
      <c r="O386" s="6" t="str">
        <f>HYPERLINK("https://ceds.ed.gov/cedselementdetails.aspx?termid=6417")</f>
        <v>https://ceds.ed.gov/cedselementdetails.aspx?termid=6417</v>
      </c>
      <c r="P386" s="6" t="str">
        <f>HYPERLINK("https://ceds.ed.gov/elementComment.aspx?elementName=Professional Development Session End Date &amp;elementID=6417", "Click here to submit comment")</f>
        <v>Click here to submit comment</v>
      </c>
    </row>
    <row r="387" spans="1:16" ht="45">
      <c r="A387" s="6" t="s">
        <v>6715</v>
      </c>
      <c r="B387" s="6" t="s">
        <v>6768</v>
      </c>
      <c r="C387" s="6" t="s">
        <v>6776</v>
      </c>
      <c r="D387" s="6" t="s">
        <v>4726</v>
      </c>
      <c r="E387" s="6" t="s">
        <v>4727</v>
      </c>
      <c r="F387" s="6" t="s">
        <v>13</v>
      </c>
      <c r="G387" s="6"/>
      <c r="H387" s="6" t="s">
        <v>54</v>
      </c>
      <c r="I387" s="6" t="s">
        <v>4728</v>
      </c>
      <c r="J387" s="6"/>
      <c r="K387" s="6"/>
      <c r="L387" s="6" t="s">
        <v>4729</v>
      </c>
      <c r="M387" s="6"/>
      <c r="N387" s="6" t="s">
        <v>4730</v>
      </c>
      <c r="O387" s="6" t="str">
        <f>HYPERLINK("https://ceds.ed.gov/cedselementdetails.aspx?termid=6418")</f>
        <v>https://ceds.ed.gov/cedselementdetails.aspx?termid=6418</v>
      </c>
      <c r="P387" s="6" t="str">
        <f>HYPERLINK("https://ceds.ed.gov/elementComment.aspx?elementName=Professional Development Session End Time &amp;elementID=6418", "Click here to submit comment")</f>
        <v>Click here to submit comment</v>
      </c>
    </row>
    <row r="388" spans="1:16" ht="60">
      <c r="A388" s="6" t="s">
        <v>6715</v>
      </c>
      <c r="B388" s="6" t="s">
        <v>6768</v>
      </c>
      <c r="C388" s="6" t="s">
        <v>6776</v>
      </c>
      <c r="D388" s="6" t="s">
        <v>4731</v>
      </c>
      <c r="E388" s="6" t="s">
        <v>4732</v>
      </c>
      <c r="F388" s="6" t="s">
        <v>13</v>
      </c>
      <c r="G388" s="6"/>
      <c r="H388" s="6" t="s">
        <v>54</v>
      </c>
      <c r="I388" s="6" t="s">
        <v>100</v>
      </c>
      <c r="J388" s="6"/>
      <c r="K388" s="6"/>
      <c r="L388" s="6" t="s">
        <v>4733</v>
      </c>
      <c r="M388" s="6"/>
      <c r="N388" s="6" t="s">
        <v>4734</v>
      </c>
      <c r="O388" s="6" t="str">
        <f>HYPERLINK("https://ceds.ed.gov/cedselementdetails.aspx?termid=6419")</f>
        <v>https://ceds.ed.gov/cedselementdetails.aspx?termid=6419</v>
      </c>
      <c r="P388" s="6" t="str">
        <f>HYPERLINK("https://ceds.ed.gov/elementComment.aspx?elementName=Professional Development Session Evaluation Method &amp;elementID=6419", "Click here to submit comment")</f>
        <v>Click here to submit comment</v>
      </c>
    </row>
    <row r="389" spans="1:16" ht="60">
      <c r="A389" s="6" t="s">
        <v>6715</v>
      </c>
      <c r="B389" s="6" t="s">
        <v>6768</v>
      </c>
      <c r="C389" s="6" t="s">
        <v>6776</v>
      </c>
      <c r="D389" s="6" t="s">
        <v>4735</v>
      </c>
      <c r="E389" s="6" t="s">
        <v>4736</v>
      </c>
      <c r="F389" s="6" t="s">
        <v>13</v>
      </c>
      <c r="G389" s="6"/>
      <c r="H389" s="6" t="s">
        <v>54</v>
      </c>
      <c r="I389" s="6" t="s">
        <v>100</v>
      </c>
      <c r="J389" s="6"/>
      <c r="K389" s="6"/>
      <c r="L389" s="6" t="s">
        <v>4737</v>
      </c>
      <c r="M389" s="6"/>
      <c r="N389" s="6" t="s">
        <v>4738</v>
      </c>
      <c r="O389" s="6" t="str">
        <f>HYPERLINK("https://ceds.ed.gov/cedselementdetails.aspx?termid=6420")</f>
        <v>https://ceds.ed.gov/cedselementdetails.aspx?termid=6420</v>
      </c>
      <c r="P389" s="6" t="str">
        <f>HYPERLINK("https://ceds.ed.gov/elementComment.aspx?elementName=Professional Development Session Evaluation Score &amp;elementID=6420", "Click here to submit comment")</f>
        <v>Click here to submit comment</v>
      </c>
    </row>
    <row r="390" spans="1:16" ht="75">
      <c r="A390" s="6" t="s">
        <v>6715</v>
      </c>
      <c r="B390" s="6" t="s">
        <v>6768</v>
      </c>
      <c r="C390" s="6" t="s">
        <v>6776</v>
      </c>
      <c r="D390" s="6" t="s">
        <v>4739</v>
      </c>
      <c r="E390" s="6" t="s">
        <v>4740</v>
      </c>
      <c r="F390" s="6" t="s">
        <v>13</v>
      </c>
      <c r="G390" s="6"/>
      <c r="H390" s="6" t="s">
        <v>54</v>
      </c>
      <c r="I390" s="6" t="s">
        <v>100</v>
      </c>
      <c r="J390" s="6"/>
      <c r="K390" s="6"/>
      <c r="L390" s="6" t="s">
        <v>4741</v>
      </c>
      <c r="M390" s="6"/>
      <c r="N390" s="6" t="s">
        <v>4742</v>
      </c>
      <c r="O390" s="6" t="str">
        <f>HYPERLINK("https://ceds.ed.gov/cedselementdetails.aspx?termid=6422")</f>
        <v>https://ceds.ed.gov/cedselementdetails.aspx?termid=6422</v>
      </c>
      <c r="P390" s="6" t="str">
        <f>HYPERLINK("https://ceds.ed.gov/elementComment.aspx?elementName=Professional Development Session Identifier &amp;elementID=6422", "Click here to submit comment")</f>
        <v>Click here to submit comment</v>
      </c>
    </row>
    <row r="391" spans="1:16" ht="45">
      <c r="A391" s="6" t="s">
        <v>6715</v>
      </c>
      <c r="B391" s="6" t="s">
        <v>6768</v>
      </c>
      <c r="C391" s="6" t="s">
        <v>6776</v>
      </c>
      <c r="D391" s="6" t="s">
        <v>4747</v>
      </c>
      <c r="E391" s="6" t="s">
        <v>4748</v>
      </c>
      <c r="F391" s="6" t="s">
        <v>13</v>
      </c>
      <c r="G391" s="6"/>
      <c r="H391" s="6" t="s">
        <v>54</v>
      </c>
      <c r="I391" s="6" t="s">
        <v>73</v>
      </c>
      <c r="J391" s="6"/>
      <c r="K391" s="6"/>
      <c r="L391" s="6" t="s">
        <v>4749</v>
      </c>
      <c r="M391" s="6"/>
      <c r="N391" s="6" t="s">
        <v>4750</v>
      </c>
      <c r="O391" s="6" t="str">
        <f>HYPERLINK("https://ceds.ed.gov/cedselementdetails.aspx?termid=6426")</f>
        <v>https://ceds.ed.gov/cedselementdetails.aspx?termid=6426</v>
      </c>
      <c r="P391" s="6" t="str">
        <f>HYPERLINK("https://ceds.ed.gov/elementComment.aspx?elementName=Professional Development Session Start Date &amp;elementID=6426", "Click here to submit comment")</f>
        <v>Click here to submit comment</v>
      </c>
    </row>
    <row r="392" spans="1:16" ht="45">
      <c r="A392" s="6" t="s">
        <v>6715</v>
      </c>
      <c r="B392" s="6" t="s">
        <v>6768</v>
      </c>
      <c r="C392" s="6" t="s">
        <v>6776</v>
      </c>
      <c r="D392" s="6" t="s">
        <v>4751</v>
      </c>
      <c r="E392" s="6" t="s">
        <v>4752</v>
      </c>
      <c r="F392" s="6" t="s">
        <v>13</v>
      </c>
      <c r="G392" s="6"/>
      <c r="H392" s="6" t="s">
        <v>54</v>
      </c>
      <c r="I392" s="6" t="s">
        <v>4728</v>
      </c>
      <c r="J392" s="6"/>
      <c r="K392" s="6"/>
      <c r="L392" s="6" t="s">
        <v>4753</v>
      </c>
      <c r="M392" s="6"/>
      <c r="N392" s="6" t="s">
        <v>4754</v>
      </c>
      <c r="O392" s="6" t="str">
        <f>HYPERLINK("https://ceds.ed.gov/cedselementdetails.aspx?termid=6427")</f>
        <v>https://ceds.ed.gov/cedselementdetails.aspx?termid=6427</v>
      </c>
      <c r="P392" s="6" t="str">
        <f>HYPERLINK("https://ceds.ed.gov/elementComment.aspx?elementName=Professional Development Session Start Time &amp;elementID=6427", "Click here to submit comment")</f>
        <v>Click here to submit comment</v>
      </c>
    </row>
    <row r="393" spans="1:16" ht="60">
      <c r="A393" s="6" t="s">
        <v>6715</v>
      </c>
      <c r="B393" s="6" t="s">
        <v>6768</v>
      </c>
      <c r="C393" s="6" t="s">
        <v>6776</v>
      </c>
      <c r="D393" s="6" t="s">
        <v>4755</v>
      </c>
      <c r="E393" s="6" t="s">
        <v>4756</v>
      </c>
      <c r="F393" s="6" t="s">
        <v>6292</v>
      </c>
      <c r="G393" s="6"/>
      <c r="H393" s="6" t="s">
        <v>54</v>
      </c>
      <c r="I393" s="6"/>
      <c r="J393" s="6"/>
      <c r="K393" s="6"/>
      <c r="L393" s="6" t="s">
        <v>4757</v>
      </c>
      <c r="M393" s="6"/>
      <c r="N393" s="6" t="s">
        <v>4758</v>
      </c>
      <c r="O393" s="6" t="str">
        <f>HYPERLINK("https://ceds.ed.gov/cedselementdetails.aspx?termid=6428")</f>
        <v>https://ceds.ed.gov/cedselementdetails.aspx?termid=6428</v>
      </c>
      <c r="P393" s="6" t="str">
        <f>HYPERLINK("https://ceds.ed.gov/elementComment.aspx?elementName=Professional Development Session Status &amp;elementID=6428", "Click here to submit comment")</f>
        <v>Click here to submit comment</v>
      </c>
    </row>
    <row r="394" spans="1:16" ht="90">
      <c r="A394" s="6" t="s">
        <v>6715</v>
      </c>
      <c r="B394" s="6" t="s">
        <v>6768</v>
      </c>
      <c r="C394" s="6" t="s">
        <v>6776</v>
      </c>
      <c r="D394" s="6" t="s">
        <v>4690</v>
      </c>
      <c r="E394" s="6" t="s">
        <v>4691</v>
      </c>
      <c r="F394" s="7" t="s">
        <v>6616</v>
      </c>
      <c r="G394" s="6"/>
      <c r="H394" s="6" t="s">
        <v>54</v>
      </c>
      <c r="I394" s="6"/>
      <c r="J394" s="6"/>
      <c r="K394" s="6"/>
      <c r="L394" s="6" t="s">
        <v>4692</v>
      </c>
      <c r="M394" s="6"/>
      <c r="N394" s="6" t="s">
        <v>4693</v>
      </c>
      <c r="O394" s="6" t="str">
        <f>HYPERLINK("https://ceds.ed.gov/cedselementdetails.aspx?termid=6401")</f>
        <v>https://ceds.ed.gov/cedselementdetails.aspx?termid=6401</v>
      </c>
      <c r="P394" s="6" t="str">
        <f>HYPERLINK("https://ceds.ed.gov/elementComment.aspx?elementName=Professional Development Delivery Method &amp;elementID=6401", "Click here to submit comment")</f>
        <v>Click here to submit comment</v>
      </c>
    </row>
    <row r="395" spans="1:16" ht="45">
      <c r="A395" s="6" t="s">
        <v>6715</v>
      </c>
      <c r="B395" s="6" t="s">
        <v>6768</v>
      </c>
      <c r="C395" s="6" t="s">
        <v>6776</v>
      </c>
      <c r="D395" s="6" t="s">
        <v>4698</v>
      </c>
      <c r="E395" s="6" t="s">
        <v>4699</v>
      </c>
      <c r="F395" s="6" t="s">
        <v>13</v>
      </c>
      <c r="G395" s="6"/>
      <c r="H395" s="6" t="s">
        <v>54</v>
      </c>
      <c r="I395" s="6" t="s">
        <v>100</v>
      </c>
      <c r="J395" s="6"/>
      <c r="K395" s="6"/>
      <c r="L395" s="6" t="s">
        <v>4700</v>
      </c>
      <c r="M395" s="6"/>
      <c r="N395" s="6" t="s">
        <v>4701</v>
      </c>
      <c r="O395" s="6" t="str">
        <f>HYPERLINK("https://ceds.ed.gov/cedselementdetails.aspx?termid=6413")</f>
        <v>https://ceds.ed.gov/cedselementdetails.aspx?termid=6413</v>
      </c>
      <c r="P395" s="6" t="str">
        <f>HYPERLINK("https://ceds.ed.gov/elementComment.aspx?elementName=Professional Development Funding Source &amp;elementID=6413", "Click here to submit comment")</f>
        <v>Click here to submit comment</v>
      </c>
    </row>
    <row r="396" spans="1:16" ht="240">
      <c r="A396" s="6" t="s">
        <v>6715</v>
      </c>
      <c r="B396" s="6" t="s">
        <v>6768</v>
      </c>
      <c r="C396" s="6" t="s">
        <v>6776</v>
      </c>
      <c r="D396" s="6" t="s">
        <v>4702</v>
      </c>
      <c r="E396" s="6" t="s">
        <v>4703</v>
      </c>
      <c r="F396" s="7" t="s">
        <v>6618</v>
      </c>
      <c r="G396" s="6"/>
      <c r="H396" s="6" t="s">
        <v>54</v>
      </c>
      <c r="I396" s="6"/>
      <c r="J396" s="6"/>
      <c r="K396" s="6"/>
      <c r="L396" s="6" t="s">
        <v>4704</v>
      </c>
      <c r="M396" s="6"/>
      <c r="N396" s="6" t="s">
        <v>4705</v>
      </c>
      <c r="O396" s="6" t="str">
        <f>HYPERLINK("https://ceds.ed.gov/cedselementdetails.aspx?termid=6429")</f>
        <v>https://ceds.ed.gov/cedselementdetails.aspx?termid=6429</v>
      </c>
      <c r="P396" s="6" t="str">
        <f>HYPERLINK("https://ceds.ed.gov/elementComment.aspx?elementName=Professional Development Instructional Delivery Mode &amp;elementID=6429", "Click here to submit comment")</f>
        <v>Click here to submit comment</v>
      </c>
    </row>
    <row r="397" spans="1:16" ht="60">
      <c r="A397" s="6" t="s">
        <v>6715</v>
      </c>
      <c r="B397" s="6" t="s">
        <v>6768</v>
      </c>
      <c r="C397" s="6" t="s">
        <v>6776</v>
      </c>
      <c r="D397" s="6" t="s">
        <v>4706</v>
      </c>
      <c r="E397" s="6" t="s">
        <v>4707</v>
      </c>
      <c r="F397" s="6" t="s">
        <v>13</v>
      </c>
      <c r="G397" s="6"/>
      <c r="H397" s="6" t="s">
        <v>54</v>
      </c>
      <c r="I397" s="6" t="s">
        <v>100</v>
      </c>
      <c r="J397" s="6"/>
      <c r="K397" s="6"/>
      <c r="L397" s="6" t="s">
        <v>4708</v>
      </c>
      <c r="M397" s="6"/>
      <c r="N397" s="6" t="s">
        <v>4709</v>
      </c>
      <c r="O397" s="6" t="str">
        <f>HYPERLINK("https://ceds.ed.gov/cedselementdetails.aspx?termid=6414")</f>
        <v>https://ceds.ed.gov/cedselementdetails.aspx?termid=6414</v>
      </c>
      <c r="P397" s="6" t="str">
        <f>HYPERLINK("https://ceds.ed.gov/elementComment.aspx?elementName=Professional Development Instructor Identifier &amp;elementID=6414", "Click here to submit comment")</f>
        <v>Click here to submit comment</v>
      </c>
    </row>
    <row r="398" spans="1:16" ht="45">
      <c r="A398" s="6" t="s">
        <v>6715</v>
      </c>
      <c r="B398" s="6" t="s">
        <v>6768</v>
      </c>
      <c r="C398" s="6" t="s">
        <v>6776</v>
      </c>
      <c r="D398" s="6" t="s">
        <v>5443</v>
      </c>
      <c r="E398" s="6" t="s">
        <v>5444</v>
      </c>
      <c r="F398" s="6" t="s">
        <v>13</v>
      </c>
      <c r="G398" s="6"/>
      <c r="H398" s="6" t="s">
        <v>54</v>
      </c>
      <c r="I398" s="6" t="s">
        <v>106</v>
      </c>
      <c r="J398" s="6"/>
      <c r="K398" s="6"/>
      <c r="L398" s="6" t="s">
        <v>5445</v>
      </c>
      <c r="M398" s="6"/>
      <c r="N398" s="6" t="s">
        <v>5446</v>
      </c>
      <c r="O398" s="6" t="str">
        <f>HYPERLINK("https://ceds.ed.gov/cedselementdetails.aspx?termid=6461")</f>
        <v>https://ceds.ed.gov/cedselementdetails.aspx?termid=6461</v>
      </c>
      <c r="P398" s="6" t="str">
        <f>HYPERLINK("https://ceds.ed.gov/elementComment.aspx?elementName=Sponsoring Agency Name &amp;elementID=6461", "Click here to submit comment")</f>
        <v>Click here to submit comment</v>
      </c>
    </row>
    <row r="399" spans="1:16" ht="60">
      <c r="A399" s="6" t="s">
        <v>6715</v>
      </c>
      <c r="B399" s="6" t="s">
        <v>6768</v>
      </c>
      <c r="C399" s="6" t="s">
        <v>6777</v>
      </c>
      <c r="D399" s="6" t="s">
        <v>4743</v>
      </c>
      <c r="E399" s="6" t="s">
        <v>4744</v>
      </c>
      <c r="F399" s="6" t="s">
        <v>13</v>
      </c>
      <c r="G399" s="6"/>
      <c r="H399" s="6" t="s">
        <v>54</v>
      </c>
      <c r="I399" s="6" t="s">
        <v>106</v>
      </c>
      <c r="J399" s="6"/>
      <c r="K399" s="6"/>
      <c r="L399" s="6" t="s">
        <v>4745</v>
      </c>
      <c r="M399" s="6"/>
      <c r="N399" s="6" t="s">
        <v>4746</v>
      </c>
      <c r="O399" s="6" t="str">
        <f>HYPERLINK("https://ceds.ed.gov/cedselementdetails.aspx?termid=6424")</f>
        <v>https://ceds.ed.gov/cedselementdetails.aspx?termid=6424</v>
      </c>
      <c r="P399" s="6" t="str">
        <f>HYPERLINK("https://ceds.ed.gov/elementComment.aspx?elementName=Professional Development Session Location Name &amp;elementID=6424", "Click here to submit comment")</f>
        <v>Click here to submit comment</v>
      </c>
    </row>
    <row r="400" spans="1:16" ht="225">
      <c r="A400" s="6" t="s">
        <v>6715</v>
      </c>
      <c r="B400" s="6" t="s">
        <v>6768</v>
      </c>
      <c r="C400" s="6" t="s">
        <v>6777</v>
      </c>
      <c r="D400" s="6" t="s">
        <v>187</v>
      </c>
      <c r="E400" s="6" t="s">
        <v>188</v>
      </c>
      <c r="F400" s="6" t="s">
        <v>13</v>
      </c>
      <c r="G400" s="6" t="s">
        <v>5973</v>
      </c>
      <c r="H400" s="6" t="s">
        <v>3</v>
      </c>
      <c r="I400" s="6" t="s">
        <v>149</v>
      </c>
      <c r="J400" s="6"/>
      <c r="K400" s="6"/>
      <c r="L400" s="6" t="s">
        <v>189</v>
      </c>
      <c r="M400" s="6"/>
      <c r="N400" s="6" t="s">
        <v>190</v>
      </c>
      <c r="O400" s="6" t="str">
        <f>HYPERLINK("https://ceds.ed.gov/cedselementdetails.aspx?termid=5269")</f>
        <v>https://ceds.ed.gov/cedselementdetails.aspx?termid=5269</v>
      </c>
      <c r="P400" s="6" t="str">
        <f>HYPERLINK("https://ceds.ed.gov/elementComment.aspx?elementName=Address Street Number and Name &amp;elementID=5269", "Click here to submit comment")</f>
        <v>Click here to submit comment</v>
      </c>
    </row>
    <row r="401" spans="1:16" ht="225">
      <c r="A401" s="6" t="s">
        <v>6715</v>
      </c>
      <c r="B401" s="6" t="s">
        <v>6768</v>
      </c>
      <c r="C401" s="6" t="s">
        <v>6777</v>
      </c>
      <c r="D401" s="6" t="s">
        <v>170</v>
      </c>
      <c r="E401" s="6" t="s">
        <v>171</v>
      </c>
      <c r="F401" s="6" t="s">
        <v>13</v>
      </c>
      <c r="G401" s="6" t="s">
        <v>5973</v>
      </c>
      <c r="H401" s="6" t="s">
        <v>3</v>
      </c>
      <c r="I401" s="6" t="s">
        <v>100</v>
      </c>
      <c r="J401" s="6"/>
      <c r="K401" s="6"/>
      <c r="L401" s="6" t="s">
        <v>172</v>
      </c>
      <c r="M401" s="6"/>
      <c r="N401" s="6" t="s">
        <v>173</v>
      </c>
      <c r="O401" s="6" t="str">
        <f>HYPERLINK("https://ceds.ed.gov/cedselementdetails.aspx?termid=5019")</f>
        <v>https://ceds.ed.gov/cedselementdetails.aspx?termid=5019</v>
      </c>
      <c r="P401" s="6" t="str">
        <f>HYPERLINK("https://ceds.ed.gov/elementComment.aspx?elementName=Address Apartment Room or Suite Number &amp;elementID=5019", "Click here to submit comment")</f>
        <v>Click here to submit comment</v>
      </c>
    </row>
    <row r="402" spans="1:16" ht="225">
      <c r="A402" s="6" t="s">
        <v>6715</v>
      </c>
      <c r="B402" s="6" t="s">
        <v>6768</v>
      </c>
      <c r="C402" s="6" t="s">
        <v>6777</v>
      </c>
      <c r="D402" s="6" t="s">
        <v>174</v>
      </c>
      <c r="E402" s="6" t="s">
        <v>175</v>
      </c>
      <c r="F402" s="6" t="s">
        <v>13</v>
      </c>
      <c r="G402" s="6" t="s">
        <v>5973</v>
      </c>
      <c r="H402" s="6" t="s">
        <v>3</v>
      </c>
      <c r="I402" s="6" t="s">
        <v>100</v>
      </c>
      <c r="J402" s="6"/>
      <c r="K402" s="6"/>
      <c r="L402" s="6" t="s">
        <v>176</v>
      </c>
      <c r="M402" s="6"/>
      <c r="N402" s="6" t="s">
        <v>177</v>
      </c>
      <c r="O402" s="6" t="str">
        <f>HYPERLINK("https://ceds.ed.gov/cedselementdetails.aspx?termid=5040")</f>
        <v>https://ceds.ed.gov/cedselementdetails.aspx?termid=5040</v>
      </c>
      <c r="P402" s="6" t="str">
        <f>HYPERLINK("https://ceds.ed.gov/elementComment.aspx?elementName=Address City &amp;elementID=5040", "Click here to submit comment")</f>
        <v>Click here to submit comment</v>
      </c>
    </row>
    <row r="403" spans="1:16" ht="409.5">
      <c r="A403" s="6" t="s">
        <v>6715</v>
      </c>
      <c r="B403" s="6" t="s">
        <v>6768</v>
      </c>
      <c r="C403" s="6" t="s">
        <v>6777</v>
      </c>
      <c r="D403" s="6" t="s">
        <v>5533</v>
      </c>
      <c r="E403" s="6" t="s">
        <v>5534</v>
      </c>
      <c r="F403" s="7" t="s">
        <v>6633</v>
      </c>
      <c r="G403" s="6" t="s">
        <v>6324</v>
      </c>
      <c r="H403" s="6" t="s">
        <v>3</v>
      </c>
      <c r="I403" s="6"/>
      <c r="J403" s="6"/>
      <c r="K403" s="6"/>
      <c r="L403" s="6" t="s">
        <v>5535</v>
      </c>
      <c r="M403" s="6"/>
      <c r="N403" s="6" t="s">
        <v>5536</v>
      </c>
      <c r="O403" s="6" t="str">
        <f>HYPERLINK("https://ceds.ed.gov/cedselementdetails.aspx?termid=5267")</f>
        <v>https://ceds.ed.gov/cedselementdetails.aspx?termid=5267</v>
      </c>
      <c r="P403" s="6" t="str">
        <f>HYPERLINK("https://ceds.ed.gov/elementComment.aspx?elementName=State Abbreviation &amp;elementID=5267", "Click here to submit comment")</f>
        <v>Click here to submit comment</v>
      </c>
    </row>
    <row r="404" spans="1:16" ht="225">
      <c r="A404" s="6" t="s">
        <v>6715</v>
      </c>
      <c r="B404" s="6" t="s">
        <v>6768</v>
      </c>
      <c r="C404" s="6" t="s">
        <v>6777</v>
      </c>
      <c r="D404" s="6" t="s">
        <v>182</v>
      </c>
      <c r="E404" s="6" t="s">
        <v>183</v>
      </c>
      <c r="F404" s="6" t="s">
        <v>13</v>
      </c>
      <c r="G404" s="6" t="s">
        <v>5973</v>
      </c>
      <c r="H404" s="6" t="s">
        <v>3</v>
      </c>
      <c r="I404" s="6" t="s">
        <v>184</v>
      </c>
      <c r="J404" s="6"/>
      <c r="K404" s="6"/>
      <c r="L404" s="6" t="s">
        <v>185</v>
      </c>
      <c r="M404" s="6"/>
      <c r="N404" s="6" t="s">
        <v>186</v>
      </c>
      <c r="O404" s="6" t="str">
        <f>HYPERLINK("https://ceds.ed.gov/cedselementdetails.aspx?termid=5214")</f>
        <v>https://ceds.ed.gov/cedselementdetails.aspx?termid=5214</v>
      </c>
      <c r="P404" s="6" t="str">
        <f>HYPERLINK("https://ceds.ed.gov/elementComment.aspx?elementName=Address Postal Code &amp;elementID=5214", "Click here to submit comment")</f>
        <v>Click here to submit comment</v>
      </c>
    </row>
    <row r="405" spans="1:16" ht="90">
      <c r="A405" s="6" t="s">
        <v>6715</v>
      </c>
      <c r="B405" s="6" t="s">
        <v>6768</v>
      </c>
      <c r="C405" s="6" t="s">
        <v>6777</v>
      </c>
      <c r="D405" s="6" t="s">
        <v>5727</v>
      </c>
      <c r="E405" s="6" t="s">
        <v>5728</v>
      </c>
      <c r="F405" s="6" t="s">
        <v>13</v>
      </c>
      <c r="G405" s="6" t="s">
        <v>5968</v>
      </c>
      <c r="H405" s="6" t="s">
        <v>3</v>
      </c>
      <c r="I405" s="6" t="s">
        <v>5729</v>
      </c>
      <c r="J405" s="6"/>
      <c r="K405" s="6"/>
      <c r="L405" s="6" t="s">
        <v>5730</v>
      </c>
      <c r="M405" s="6"/>
      <c r="N405" s="6" t="s">
        <v>5731</v>
      </c>
      <c r="O405" s="6" t="str">
        <f>HYPERLINK("https://ceds.ed.gov/cedselementdetails.aspx?termid=5279")</f>
        <v>https://ceds.ed.gov/cedselementdetails.aspx?termid=5279</v>
      </c>
      <c r="P405" s="6" t="str">
        <f>HYPERLINK("https://ceds.ed.gov/elementComment.aspx?elementName=Telephone Number &amp;elementID=5279", "Click here to submit comment")</f>
        <v>Click here to submit comment</v>
      </c>
    </row>
    <row r="406" spans="1:16" ht="135">
      <c r="A406" s="6" t="s">
        <v>6715</v>
      </c>
      <c r="B406" s="6" t="s">
        <v>6778</v>
      </c>
      <c r="C406" s="6"/>
      <c r="D406" s="6" t="s">
        <v>2657</v>
      </c>
      <c r="E406" s="6" t="s">
        <v>2658</v>
      </c>
      <c r="F406" s="6" t="s">
        <v>13</v>
      </c>
      <c r="G406" s="6" t="s">
        <v>218</v>
      </c>
      <c r="H406" s="6" t="s">
        <v>3</v>
      </c>
      <c r="I406" s="6" t="s">
        <v>1461</v>
      </c>
      <c r="J406" s="6"/>
      <c r="K406" s="6"/>
      <c r="L406" s="6" t="s">
        <v>2659</v>
      </c>
      <c r="M406" s="6"/>
      <c r="N406" s="6" t="s">
        <v>2660</v>
      </c>
      <c r="O406" s="6" t="str">
        <f>HYPERLINK("https://ceds.ed.gov/cedselementdetails.aspx?termid=5540")</f>
        <v>https://ceds.ed.gov/cedselementdetails.aspx?termid=5540</v>
      </c>
      <c r="P406" s="6" t="str">
        <f>HYPERLINK("https://ceds.ed.gov/elementComment.aspx?elementName=Federal Programs Funding Allocation &amp;elementID=5540", "Click here to submit comment")</f>
        <v>Click here to submit comment</v>
      </c>
    </row>
    <row r="407" spans="1:16" ht="60">
      <c r="A407" s="6" t="s">
        <v>6715</v>
      </c>
      <c r="B407" s="6" t="s">
        <v>6779</v>
      </c>
      <c r="C407" s="6" t="s">
        <v>6780</v>
      </c>
      <c r="D407" s="6" t="s">
        <v>2336</v>
      </c>
      <c r="E407" s="6" t="s">
        <v>2337</v>
      </c>
      <c r="F407" s="6" t="s">
        <v>13</v>
      </c>
      <c r="G407" s="6" t="s">
        <v>6095</v>
      </c>
      <c r="H407" s="6"/>
      <c r="I407" s="6" t="s">
        <v>106</v>
      </c>
      <c r="J407" s="6"/>
      <c r="K407" s="6"/>
      <c r="L407" s="6" t="s">
        <v>2338</v>
      </c>
      <c r="M407" s="6"/>
      <c r="N407" s="6" t="s">
        <v>2339</v>
      </c>
      <c r="O407" s="6" t="str">
        <f>HYPERLINK("https://ceds.ed.gov/cedselementdetails.aspx?termid=5820")</f>
        <v>https://ceds.ed.gov/cedselementdetails.aspx?termid=5820</v>
      </c>
      <c r="P407" s="6" t="str">
        <f>HYPERLINK("https://ceds.ed.gov/elementComment.aspx?elementName=Early Learning Class Group Name &amp;elementID=5820", "Click here to submit comment")</f>
        <v>Click here to submit comment</v>
      </c>
    </row>
    <row r="408" spans="1:16" ht="75">
      <c r="A408" s="6" t="s">
        <v>6715</v>
      </c>
      <c r="B408" s="6" t="s">
        <v>6779</v>
      </c>
      <c r="C408" s="6" t="s">
        <v>6780</v>
      </c>
      <c r="D408" s="6" t="s">
        <v>2331</v>
      </c>
      <c r="E408" s="6" t="s">
        <v>2332</v>
      </c>
      <c r="F408" s="6" t="s">
        <v>13</v>
      </c>
      <c r="G408" s="6" t="s">
        <v>6095</v>
      </c>
      <c r="H408" s="6"/>
      <c r="I408" s="6" t="s">
        <v>100</v>
      </c>
      <c r="J408" s="6"/>
      <c r="K408" s="6"/>
      <c r="L408" s="6" t="s">
        <v>2334</v>
      </c>
      <c r="M408" s="6"/>
      <c r="N408" s="6" t="s">
        <v>2335</v>
      </c>
      <c r="O408" s="6" t="str">
        <f>HYPERLINK("https://ceds.ed.gov/cedselementdetails.aspx?termid=5819")</f>
        <v>https://ceds.ed.gov/cedselementdetails.aspx?termid=5819</v>
      </c>
      <c r="P408" s="6" t="str">
        <f>HYPERLINK("https://ceds.ed.gov/elementComment.aspx?elementName=Early Learning Class Group Identifier &amp;elementID=5819", "Click here to submit comment")</f>
        <v>Click here to submit comment</v>
      </c>
    </row>
    <row r="409" spans="1:16" ht="30">
      <c r="A409" s="6" t="s">
        <v>6715</v>
      </c>
      <c r="B409" s="6" t="s">
        <v>6779</v>
      </c>
      <c r="C409" s="6" t="s">
        <v>6781</v>
      </c>
      <c r="D409" s="6" t="s">
        <v>1678</v>
      </c>
      <c r="E409" s="6" t="s">
        <v>1679</v>
      </c>
      <c r="F409" s="6" t="s">
        <v>13</v>
      </c>
      <c r="G409" s="6" t="s">
        <v>6097</v>
      </c>
      <c r="H409" s="6"/>
      <c r="I409" s="6" t="s">
        <v>426</v>
      </c>
      <c r="J409" s="6"/>
      <c r="K409" s="6"/>
      <c r="L409" s="6" t="s">
        <v>1680</v>
      </c>
      <c r="M409" s="6"/>
      <c r="N409" s="6" t="s">
        <v>1681</v>
      </c>
      <c r="O409" s="6" t="str">
        <f>HYPERLINK("https://ceds.ed.gov/cedselementdetails.aspx?termid=5510")</f>
        <v>https://ceds.ed.gov/cedselementdetails.aspx?termid=5510</v>
      </c>
      <c r="P409" s="6" t="str">
        <f>HYPERLINK("https://ceds.ed.gov/elementComment.aspx?elementName=Class Beginning Time &amp;elementID=5510", "Click here to submit comment")</f>
        <v>Click here to submit comment</v>
      </c>
    </row>
    <row r="410" spans="1:16" ht="30">
      <c r="A410" s="6" t="s">
        <v>6715</v>
      </c>
      <c r="B410" s="6" t="s">
        <v>6779</v>
      </c>
      <c r="C410" s="6" t="s">
        <v>6781</v>
      </c>
      <c r="D410" s="6" t="s">
        <v>1682</v>
      </c>
      <c r="E410" s="6" t="s">
        <v>1683</v>
      </c>
      <c r="F410" s="6" t="s">
        <v>13</v>
      </c>
      <c r="G410" s="6" t="s">
        <v>6097</v>
      </c>
      <c r="H410" s="6"/>
      <c r="I410" s="6" t="s">
        <v>1684</v>
      </c>
      <c r="J410" s="6"/>
      <c r="K410" s="6"/>
      <c r="L410" s="6" t="s">
        <v>1685</v>
      </c>
      <c r="M410" s="6"/>
      <c r="N410" s="6" t="s">
        <v>1686</v>
      </c>
      <c r="O410" s="6" t="str">
        <f>HYPERLINK("https://ceds.ed.gov/cedselementdetails.aspx?termid=5511")</f>
        <v>https://ceds.ed.gov/cedselementdetails.aspx?termid=5511</v>
      </c>
      <c r="P410" s="6" t="str">
        <f>HYPERLINK("https://ceds.ed.gov/elementComment.aspx?elementName=Class Ending Time &amp;elementID=5511", "Click here to submit comment")</f>
        <v>Click here to submit comment</v>
      </c>
    </row>
    <row r="411" spans="1:16" ht="180">
      <c r="A411" s="6" t="s">
        <v>6715</v>
      </c>
      <c r="B411" s="6" t="s">
        <v>6779</v>
      </c>
      <c r="C411" s="6" t="s">
        <v>6781</v>
      </c>
      <c r="D411" s="6" t="s">
        <v>5305</v>
      </c>
      <c r="E411" s="6" t="s">
        <v>5306</v>
      </c>
      <c r="F411" s="7" t="s">
        <v>6654</v>
      </c>
      <c r="G411" s="6" t="s">
        <v>6129</v>
      </c>
      <c r="H411" s="6"/>
      <c r="I411" s="6"/>
      <c r="J411" s="6"/>
      <c r="K411" s="6"/>
      <c r="L411" s="6" t="s">
        <v>5307</v>
      </c>
      <c r="M411" s="6"/>
      <c r="N411" s="6" t="s">
        <v>5308</v>
      </c>
      <c r="O411" s="6" t="str">
        <f>HYPERLINK("https://ceds.ed.gov/cedselementdetails.aspx?termid=5352")</f>
        <v>https://ceds.ed.gov/cedselementdetails.aspx?termid=5352</v>
      </c>
      <c r="P411" s="6" t="str">
        <f>HYPERLINK("https://ceds.ed.gov/elementComment.aspx?elementName=Service Option Variation &amp;elementID=5352", "Click here to submit comment")</f>
        <v>Click here to submit comment</v>
      </c>
    </row>
    <row r="412" spans="1:16" ht="60">
      <c r="A412" s="6" t="s">
        <v>6715</v>
      </c>
      <c r="B412" s="6" t="s">
        <v>6779</v>
      </c>
      <c r="C412" s="6" t="s">
        <v>6781</v>
      </c>
      <c r="D412" s="6" t="s">
        <v>3015</v>
      </c>
      <c r="E412" s="6" t="s">
        <v>3016</v>
      </c>
      <c r="F412" s="6" t="s">
        <v>13</v>
      </c>
      <c r="G412" s="6" t="s">
        <v>6129</v>
      </c>
      <c r="H412" s="6"/>
      <c r="I412" s="6" t="s">
        <v>1461</v>
      </c>
      <c r="J412" s="6"/>
      <c r="K412" s="6"/>
      <c r="L412" s="6" t="s">
        <v>3017</v>
      </c>
      <c r="M412" s="6"/>
      <c r="N412" s="6" t="s">
        <v>3018</v>
      </c>
      <c r="O412" s="6" t="str">
        <f>HYPERLINK("https://ceds.ed.gov/cedselementdetails.aspx?termid=5353")</f>
        <v>https://ceds.ed.gov/cedselementdetails.aspx?termid=5353</v>
      </c>
      <c r="P412" s="6" t="str">
        <f>HYPERLINK("https://ceds.ed.gov/elementComment.aspx?elementName=Hours Available Per Day &amp;elementID=5353", "Click here to submit comment")</f>
        <v>Click here to submit comment</v>
      </c>
    </row>
    <row r="413" spans="1:16" ht="60">
      <c r="A413" s="6" t="s">
        <v>6715</v>
      </c>
      <c r="B413" s="6" t="s">
        <v>6779</v>
      </c>
      <c r="C413" s="6" t="s">
        <v>6781</v>
      </c>
      <c r="D413" s="6" t="s">
        <v>2110</v>
      </c>
      <c r="E413" s="6" t="s">
        <v>2111</v>
      </c>
      <c r="F413" s="6" t="s">
        <v>13</v>
      </c>
      <c r="G413" s="6" t="s">
        <v>6129</v>
      </c>
      <c r="H413" s="6"/>
      <c r="I413" s="6" t="s">
        <v>308</v>
      </c>
      <c r="J413" s="6"/>
      <c r="K413" s="6"/>
      <c r="L413" s="6" t="s">
        <v>2112</v>
      </c>
      <c r="M413" s="6"/>
      <c r="N413" s="6" t="s">
        <v>2113</v>
      </c>
      <c r="O413" s="6" t="str">
        <f>HYPERLINK("https://ceds.ed.gov/cedselementdetails.aspx?termid=5354")</f>
        <v>https://ceds.ed.gov/cedselementdetails.aspx?termid=5354</v>
      </c>
      <c r="P413" s="6" t="str">
        <f>HYPERLINK("https://ceds.ed.gov/elementComment.aspx?elementName=Days Available Per Week &amp;elementID=5354", "Click here to submit comment")</f>
        <v>Click here to submit comment</v>
      </c>
    </row>
    <row r="414" spans="1:16" ht="240">
      <c r="A414" s="6" t="s">
        <v>6715</v>
      </c>
      <c r="B414" s="6" t="s">
        <v>6779</v>
      </c>
      <c r="C414" s="6" t="s">
        <v>6781</v>
      </c>
      <c r="D414" s="6" t="s">
        <v>2307</v>
      </c>
      <c r="E414" s="6" t="s">
        <v>2308</v>
      </c>
      <c r="F414" s="7" t="s">
        <v>6472</v>
      </c>
      <c r="G414" s="6" t="s">
        <v>6129</v>
      </c>
      <c r="H414" s="6" t="s">
        <v>66</v>
      </c>
      <c r="I414" s="6"/>
      <c r="J414" s="6" t="s">
        <v>2309</v>
      </c>
      <c r="K414" s="6"/>
      <c r="L414" s="6" t="s">
        <v>2310</v>
      </c>
      <c r="M414" s="6"/>
      <c r="N414" s="6" t="s">
        <v>2311</v>
      </c>
      <c r="O414" s="6" t="str">
        <f>HYPERLINK("https://ceds.ed.gov/cedselementdetails.aspx?termid=5355")</f>
        <v>https://ceds.ed.gov/cedselementdetails.aspx?termid=5355</v>
      </c>
      <c r="P414" s="6" t="str">
        <f>HYPERLINK("https://ceds.ed.gov/elementComment.aspx?elementName=Early Childhood Setting &amp;elementID=5355", "Click here to submit comment")</f>
        <v>Click here to submit comment</v>
      </c>
    </row>
    <row r="415" spans="1:16" ht="45">
      <c r="A415" s="6" t="s">
        <v>6715</v>
      </c>
      <c r="B415" s="6" t="s">
        <v>6779</v>
      </c>
      <c r="C415" s="6" t="s">
        <v>6781</v>
      </c>
      <c r="D415" s="6" t="s">
        <v>2380</v>
      </c>
      <c r="E415" s="6" t="s">
        <v>2381</v>
      </c>
      <c r="F415" s="6" t="s">
        <v>13</v>
      </c>
      <c r="G415" s="6" t="s">
        <v>6097</v>
      </c>
      <c r="H415" s="6"/>
      <c r="I415" s="6" t="s">
        <v>2382</v>
      </c>
      <c r="J415" s="6"/>
      <c r="K415" s="6"/>
      <c r="L415" s="6" t="s">
        <v>2383</v>
      </c>
      <c r="M415" s="6"/>
      <c r="N415" s="6" t="s">
        <v>2384</v>
      </c>
      <c r="O415" s="6" t="str">
        <f>HYPERLINK("https://ceds.ed.gov/cedselementdetails.aspx?termid=5824")</f>
        <v>https://ceds.ed.gov/cedselementdetails.aspx?termid=5824</v>
      </c>
      <c r="P415" s="6" t="str">
        <f>HYPERLINK("https://ceds.ed.gov/elementComment.aspx?elementName=Early Learning Program Annual Operating Weeks &amp;elementID=5824", "Click here to submit comment")</f>
        <v>Click here to submit comment</v>
      </c>
    </row>
    <row r="416" spans="1:16" ht="45">
      <c r="A416" s="6" t="s">
        <v>6715</v>
      </c>
      <c r="B416" s="6" t="s">
        <v>6779</v>
      </c>
      <c r="C416" s="6" t="s">
        <v>6781</v>
      </c>
      <c r="D416" s="6" t="s">
        <v>3415</v>
      </c>
      <c r="E416" s="6" t="s">
        <v>3416</v>
      </c>
      <c r="F416" s="6" t="s">
        <v>5963</v>
      </c>
      <c r="G416" s="6"/>
      <c r="H416" s="6"/>
      <c r="I416" s="6"/>
      <c r="J416" s="6"/>
      <c r="K416" s="6"/>
      <c r="L416" s="6" t="s">
        <v>3417</v>
      </c>
      <c r="M416" s="6"/>
      <c r="N416" s="6" t="s">
        <v>3418</v>
      </c>
      <c r="O416" s="6" t="str">
        <f>HYPERLINK("https://ceds.ed.gov/cedselementdetails.aspx?termid=6190")</f>
        <v>https://ceds.ed.gov/cedselementdetails.aspx?termid=6190</v>
      </c>
      <c r="P416" s="6" t="str">
        <f>HYPERLINK("https://ceds.ed.gov/elementComment.aspx?elementName=Language Translation Policy &amp;elementID=6190", "Click here to submit comment")</f>
        <v>Click here to submit comment</v>
      </c>
    </row>
    <row r="417" spans="1:16" ht="30">
      <c r="A417" s="6" t="s">
        <v>6715</v>
      </c>
      <c r="B417" s="6" t="s">
        <v>6779</v>
      </c>
      <c r="C417" s="6" t="s">
        <v>6781</v>
      </c>
      <c r="D417" s="6" t="s">
        <v>2349</v>
      </c>
      <c r="E417" s="6" t="s">
        <v>2350</v>
      </c>
      <c r="F417" s="6" t="s">
        <v>13</v>
      </c>
      <c r="G417" s="6"/>
      <c r="H417" s="6" t="s">
        <v>54</v>
      </c>
      <c r="I417" s="6" t="s">
        <v>575</v>
      </c>
      <c r="J417" s="6"/>
      <c r="K417" s="6"/>
      <c r="L417" s="6" t="s">
        <v>2352</v>
      </c>
      <c r="M417" s="6"/>
      <c r="N417" s="6" t="s">
        <v>2353</v>
      </c>
      <c r="O417" s="6" t="str">
        <f>HYPERLINK("https://ceds.ed.gov/cedselementdetails.aspx?termid=6295")</f>
        <v>https://ceds.ed.gov/cedselementdetails.aspx?termid=6295</v>
      </c>
      <c r="P417" s="6" t="str">
        <f>HYPERLINK("https://ceds.ed.gov/elementComment.aspx?elementName=Early Learning Group Size &amp;elementID=6295", "Click here to submit comment")</f>
        <v>Click here to submit comment</v>
      </c>
    </row>
    <row r="418" spans="1:16" ht="270">
      <c r="A418" s="6" t="s">
        <v>6715</v>
      </c>
      <c r="B418" s="6" t="s">
        <v>6779</v>
      </c>
      <c r="C418" s="6" t="s">
        <v>6782</v>
      </c>
      <c r="D418" s="6" t="s">
        <v>2298</v>
      </c>
      <c r="E418" s="6" t="s">
        <v>2299</v>
      </c>
      <c r="F418" s="7" t="s">
        <v>6470</v>
      </c>
      <c r="G418" s="6" t="s">
        <v>6140</v>
      </c>
      <c r="H418" s="6"/>
      <c r="I418" s="6"/>
      <c r="J418" s="6"/>
      <c r="K418" s="6"/>
      <c r="L418" s="6" t="s">
        <v>2300</v>
      </c>
      <c r="M418" s="6"/>
      <c r="N418" s="6" t="s">
        <v>2301</v>
      </c>
      <c r="O418" s="6" t="str">
        <f>HYPERLINK("https://ceds.ed.gov/cedselementdetails.aspx?termid=5318")</f>
        <v>https://ceds.ed.gov/cedselementdetails.aspx?termid=5318</v>
      </c>
      <c r="P418" s="6" t="str">
        <f>HYPERLINK("https://ceds.ed.gov/elementComment.aspx?elementName=Early Childhood Enrollment Service Type &amp;elementID=5318", "Click here to submit comment")</f>
        <v>Click here to submit comment</v>
      </c>
    </row>
    <row r="419" spans="1:16" ht="60">
      <c r="A419" s="6" t="s">
        <v>6715</v>
      </c>
      <c r="B419" s="6" t="s">
        <v>6779</v>
      </c>
      <c r="C419" s="6" t="s">
        <v>6782</v>
      </c>
      <c r="D419" s="6" t="s">
        <v>2428</v>
      </c>
      <c r="E419" s="6" t="s">
        <v>2429</v>
      </c>
      <c r="F419" s="6" t="s">
        <v>13</v>
      </c>
      <c r="G419" s="6" t="s">
        <v>6143</v>
      </c>
      <c r="H419" s="6"/>
      <c r="I419" s="6" t="s">
        <v>575</v>
      </c>
      <c r="J419" s="6"/>
      <c r="K419" s="6"/>
      <c r="L419" s="6" t="s">
        <v>2430</v>
      </c>
      <c r="M419" s="6"/>
      <c r="N419" s="6" t="s">
        <v>2431</v>
      </c>
      <c r="O419" s="6" t="str">
        <f>HYPERLINK("https://ceds.ed.gov/cedselementdetails.aspx?termid=5626")</f>
        <v>https://ceds.ed.gov/cedselementdetails.aspx?termid=5626</v>
      </c>
      <c r="P419" s="6" t="str">
        <f>HYPERLINK("https://ceds.ed.gov/elementComment.aspx?elementName=Early Learning Youngest Age Authorized to Serve &amp;elementID=5626", "Click here to submit comment")</f>
        <v>Click here to submit comment</v>
      </c>
    </row>
    <row r="420" spans="1:16" ht="60">
      <c r="A420" s="6" t="s">
        <v>6715</v>
      </c>
      <c r="B420" s="6" t="s">
        <v>6779</v>
      </c>
      <c r="C420" s="6" t="s">
        <v>6782</v>
      </c>
      <c r="D420" s="6" t="s">
        <v>2359</v>
      </c>
      <c r="E420" s="6" t="s">
        <v>2360</v>
      </c>
      <c r="F420" s="6" t="s">
        <v>13</v>
      </c>
      <c r="G420" s="6" t="s">
        <v>6143</v>
      </c>
      <c r="H420" s="6"/>
      <c r="I420" s="6" t="s">
        <v>575</v>
      </c>
      <c r="J420" s="6"/>
      <c r="K420" s="6"/>
      <c r="L420" s="6" t="s">
        <v>2361</v>
      </c>
      <c r="M420" s="6"/>
      <c r="N420" s="6" t="s">
        <v>2362</v>
      </c>
      <c r="O420" s="6" t="str">
        <f>HYPERLINK("https://ceds.ed.gov/cedselementdetails.aspx?termid=6189")</f>
        <v>https://ceds.ed.gov/cedselementdetails.aspx?termid=6189</v>
      </c>
      <c r="P420" s="6" t="str">
        <f>HYPERLINK("https://ceds.ed.gov/elementComment.aspx?elementName=Early Learning Oldest Age Authorized to Serve &amp;elementID=6189", "Click here to submit comment")</f>
        <v>Click here to submit comment</v>
      </c>
    </row>
    <row r="421" spans="1:16" ht="45">
      <c r="A421" s="6" t="s">
        <v>6715</v>
      </c>
      <c r="B421" s="6" t="s">
        <v>6779</v>
      </c>
      <c r="C421" s="6" t="s">
        <v>6782</v>
      </c>
      <c r="D421" s="6" t="s">
        <v>5293</v>
      </c>
      <c r="E421" s="6" t="s">
        <v>5294</v>
      </c>
      <c r="F421" s="6" t="s">
        <v>5963</v>
      </c>
      <c r="G421" s="6" t="s">
        <v>6097</v>
      </c>
      <c r="H421" s="6"/>
      <c r="I421" s="6"/>
      <c r="J421" s="6"/>
      <c r="K421" s="6"/>
      <c r="L421" s="6" t="s">
        <v>5295</v>
      </c>
      <c r="M421" s="6"/>
      <c r="N421" s="6" t="s">
        <v>5296</v>
      </c>
      <c r="O421" s="6" t="str">
        <f>HYPERLINK("https://ceds.ed.gov/cedselementdetails.aspx?termid=5821")</f>
        <v>https://ceds.ed.gov/cedselementdetails.aspx?termid=5821</v>
      </c>
      <c r="P421" s="6" t="str">
        <f>HYPERLINK("https://ceds.ed.gov/elementComment.aspx?elementName=Serves Children with Special Needs &amp;elementID=5821", "Click here to submit comment")</f>
        <v>Click here to submit comment</v>
      </c>
    </row>
    <row r="422" spans="1:16" ht="195">
      <c r="A422" s="6" t="s">
        <v>6715</v>
      </c>
      <c r="B422" s="6" t="s">
        <v>6779</v>
      </c>
      <c r="C422" s="6" t="s">
        <v>6782</v>
      </c>
      <c r="D422" s="6" t="s">
        <v>2354</v>
      </c>
      <c r="E422" s="6" t="s">
        <v>2355</v>
      </c>
      <c r="F422" s="7" t="s">
        <v>6479</v>
      </c>
      <c r="G422" s="6" t="s">
        <v>65</v>
      </c>
      <c r="H422" s="6"/>
      <c r="I422" s="6"/>
      <c r="J422" s="6"/>
      <c r="K422" s="6"/>
      <c r="L422" s="6" t="s">
        <v>2357</v>
      </c>
      <c r="M422" s="6"/>
      <c r="N422" s="6" t="s">
        <v>2358</v>
      </c>
      <c r="O422" s="6" t="str">
        <f>HYPERLINK("https://ceds.ed.gov/cedselementdetails.aspx?termid=5823")</f>
        <v>https://ceds.ed.gov/cedselementdetails.aspx?termid=5823</v>
      </c>
      <c r="P422" s="6" t="str">
        <f>HYPERLINK("https://ceds.ed.gov/elementComment.aspx?elementName=Early Learning Group Size Standards Met &amp;elementID=5823", "Click here to submit comment")</f>
        <v>Click here to submit comment</v>
      </c>
    </row>
    <row r="423" spans="1:16" ht="255">
      <c r="A423" s="6" t="s">
        <v>6715</v>
      </c>
      <c r="B423" s="6" t="s">
        <v>6779</v>
      </c>
      <c r="C423" s="6" t="s">
        <v>6783</v>
      </c>
      <c r="D423" s="6" t="s">
        <v>2326</v>
      </c>
      <c r="E423" s="6" t="s">
        <v>2327</v>
      </c>
      <c r="F423" s="7" t="s">
        <v>6476</v>
      </c>
      <c r="G423" s="6" t="s">
        <v>65</v>
      </c>
      <c r="H423" s="6"/>
      <c r="I423" s="6"/>
      <c r="J423" s="6"/>
      <c r="K423" s="6"/>
      <c r="L423" s="6" t="s">
        <v>2329</v>
      </c>
      <c r="M423" s="6"/>
      <c r="N423" s="6" t="s">
        <v>2330</v>
      </c>
      <c r="O423" s="6" t="str">
        <f>HYPERLINK("https://ceds.ed.gov/cedselementdetails.aspx?termid=5822")</f>
        <v>https://ceds.ed.gov/cedselementdetails.aspx?termid=5822</v>
      </c>
      <c r="P423" s="6" t="str">
        <f>HYPERLINK("https://ceds.ed.gov/elementComment.aspx?elementName=Early Learning Class Group Curriculum Type &amp;elementID=5822", "Click here to submit comment")</f>
        <v>Click here to submit comment</v>
      </c>
    </row>
    <row r="424" spans="1:16" ht="165">
      <c r="A424" s="6" t="s">
        <v>6715</v>
      </c>
      <c r="B424" s="6" t="s">
        <v>6784</v>
      </c>
      <c r="C424" s="6" t="s">
        <v>6785</v>
      </c>
      <c r="D424" s="6" t="s">
        <v>590</v>
      </c>
      <c r="E424" s="6" t="s">
        <v>591</v>
      </c>
      <c r="F424" s="6" t="s">
        <v>13</v>
      </c>
      <c r="G424" s="6" t="s">
        <v>6015</v>
      </c>
      <c r="H424" s="6"/>
      <c r="I424" s="6" t="s">
        <v>100</v>
      </c>
      <c r="J424" s="6"/>
      <c r="K424" s="6"/>
      <c r="L424" s="6" t="s">
        <v>592</v>
      </c>
      <c r="M424" s="6"/>
      <c r="N424" s="6" t="s">
        <v>593</v>
      </c>
      <c r="O424" s="6" t="str">
        <f>HYPERLINK("https://ceds.ed.gov/cedselementdetails.aspx?termid=5152")</f>
        <v>https://ceds.ed.gov/cedselementdetails.aspx?termid=5152</v>
      </c>
      <c r="P424" s="6" t="str">
        <f>HYPERLINK("https://ceds.ed.gov/elementComment.aspx?elementName=Assessment Identifier &amp;elementID=5152", "Click here to submit comment")</f>
        <v>Click here to submit comment</v>
      </c>
    </row>
    <row r="425" spans="1:16" ht="75">
      <c r="A425" s="6" t="s">
        <v>6715</v>
      </c>
      <c r="B425" s="6" t="s">
        <v>6784</v>
      </c>
      <c r="C425" s="6" t="s">
        <v>6785</v>
      </c>
      <c r="D425" s="6" t="s">
        <v>3080</v>
      </c>
      <c r="E425" s="6" t="s">
        <v>3081</v>
      </c>
      <c r="F425" s="6" t="s">
        <v>6065</v>
      </c>
      <c r="G425" s="6"/>
      <c r="H425" s="6"/>
      <c r="I425" s="6"/>
      <c r="J425" s="6"/>
      <c r="K425" s="6"/>
      <c r="L425" s="6" t="s">
        <v>3082</v>
      </c>
      <c r="M425" s="6"/>
      <c r="N425" s="6" t="s">
        <v>3083</v>
      </c>
      <c r="O425" s="6" t="str">
        <f>HYPERLINK("https://ceds.ed.gov/cedselementdetails.aspx?termid=6141")</f>
        <v>https://ceds.ed.gov/cedselementdetails.aspx?termid=6141</v>
      </c>
      <c r="P425" s="6" t="str">
        <f>HYPERLINK("https://ceds.ed.gov/elementComment.aspx?elementName=Identification System for Assessment Form Section &amp;elementID=6141", "Click here to submit comment")</f>
        <v>Click here to submit comment</v>
      </c>
    </row>
    <row r="426" spans="1:16" ht="165">
      <c r="A426" s="6" t="s">
        <v>6715</v>
      </c>
      <c r="B426" s="6" t="s">
        <v>6784</v>
      </c>
      <c r="C426" s="6" t="s">
        <v>6785</v>
      </c>
      <c r="D426" s="6" t="s">
        <v>1387</v>
      </c>
      <c r="E426" s="6" t="s">
        <v>1388</v>
      </c>
      <c r="F426" s="6" t="s">
        <v>13</v>
      </c>
      <c r="G426" s="6" t="s">
        <v>6073</v>
      </c>
      <c r="H426" s="6"/>
      <c r="I426" s="6" t="s">
        <v>106</v>
      </c>
      <c r="J426" s="6"/>
      <c r="K426" s="6"/>
      <c r="L426" s="6" t="s">
        <v>1389</v>
      </c>
      <c r="M426" s="6"/>
      <c r="N426" s="6" t="s">
        <v>1390</v>
      </c>
      <c r="O426" s="6" t="str">
        <f>HYPERLINK("https://ceds.ed.gov/cedselementdetails.aspx?termid=5028")</f>
        <v>https://ceds.ed.gov/cedselementdetails.aspx?termid=5028</v>
      </c>
      <c r="P426" s="6" t="str">
        <f>HYPERLINK("https://ceds.ed.gov/elementComment.aspx?elementName=Assessment Title &amp;elementID=5028", "Click here to submit comment")</f>
        <v>Click here to submit comment</v>
      </c>
    </row>
    <row r="427" spans="1:16" ht="409.5">
      <c r="A427" s="6" t="s">
        <v>6715</v>
      </c>
      <c r="B427" s="6" t="s">
        <v>6784</v>
      </c>
      <c r="C427" s="6" t="s">
        <v>6785</v>
      </c>
      <c r="D427" s="6" t="s">
        <v>1391</v>
      </c>
      <c r="E427" s="6" t="s">
        <v>1392</v>
      </c>
      <c r="F427" s="7" t="s">
        <v>6405</v>
      </c>
      <c r="G427" s="6" t="s">
        <v>6000</v>
      </c>
      <c r="H427" s="6"/>
      <c r="I427" s="6"/>
      <c r="J427" s="6"/>
      <c r="K427" s="6"/>
      <c r="L427" s="6" t="s">
        <v>1393</v>
      </c>
      <c r="M427" s="6"/>
      <c r="N427" s="6" t="s">
        <v>1394</v>
      </c>
      <c r="O427" s="6" t="str">
        <f>HYPERLINK("https://ceds.ed.gov/cedselementdetails.aspx?termid=5029")</f>
        <v>https://ceds.ed.gov/cedselementdetails.aspx?termid=5029</v>
      </c>
      <c r="P427" s="6" t="str">
        <f>HYPERLINK("https://ceds.ed.gov/elementComment.aspx?elementName=Assessment Type &amp;elementID=5029", "Click here to submit comment")</f>
        <v>Click here to submit comment</v>
      </c>
    </row>
    <row r="428" spans="1:16" ht="405">
      <c r="A428" s="6" t="s">
        <v>6715</v>
      </c>
      <c r="B428" s="6" t="s">
        <v>6784</v>
      </c>
      <c r="C428" s="6" t="s">
        <v>6785</v>
      </c>
      <c r="D428" s="6" t="s">
        <v>395</v>
      </c>
      <c r="E428" s="6" t="s">
        <v>396</v>
      </c>
      <c r="F428" s="7" t="s">
        <v>6375</v>
      </c>
      <c r="G428" s="6" t="s">
        <v>5990</v>
      </c>
      <c r="H428" s="6"/>
      <c r="I428" s="6"/>
      <c r="J428" s="6"/>
      <c r="K428" s="6"/>
      <c r="L428" s="6" t="s">
        <v>397</v>
      </c>
      <c r="M428" s="6"/>
      <c r="N428" s="6" t="s">
        <v>398</v>
      </c>
      <c r="O428" s="6" t="str">
        <f>HYPERLINK("https://ceds.ed.gov/cedselementdetails.aspx?termid=5021")</f>
        <v>https://ceds.ed.gov/cedselementdetails.aspx?termid=5021</v>
      </c>
      <c r="P428" s="6" t="str">
        <f>HYPERLINK("https://ceds.ed.gov/elementComment.aspx?elementName=Assessment Academic Subject &amp;elementID=5021", "Click here to submit comment")</f>
        <v>Click here to submit comment</v>
      </c>
    </row>
    <row r="429" spans="1:16" ht="225">
      <c r="A429" s="6" t="s">
        <v>6715</v>
      </c>
      <c r="B429" s="6" t="s">
        <v>6784</v>
      </c>
      <c r="C429" s="6" t="s">
        <v>6785</v>
      </c>
      <c r="D429" s="6" t="s">
        <v>491</v>
      </c>
      <c r="E429" s="6" t="s">
        <v>492</v>
      </c>
      <c r="F429" s="7" t="s">
        <v>6381</v>
      </c>
      <c r="G429" s="6" t="s">
        <v>493</v>
      </c>
      <c r="H429" s="6"/>
      <c r="I429" s="6"/>
      <c r="J429" s="6"/>
      <c r="K429" s="6"/>
      <c r="L429" s="6" t="s">
        <v>494</v>
      </c>
      <c r="M429" s="6"/>
      <c r="N429" s="6" t="s">
        <v>495</v>
      </c>
      <c r="O429" s="6" t="str">
        <f>HYPERLINK("https://ceds.ed.gov/cedselementdetails.aspx?termid=6003")</f>
        <v>https://ceds.ed.gov/cedselementdetails.aspx?termid=6003</v>
      </c>
      <c r="P429" s="6" t="str">
        <f>HYPERLINK("https://ceds.ed.gov/elementComment.aspx?elementName=Assessment Early Learning Developmental Domain &amp;elementID=6003", "Click here to submit comment")</f>
        <v>Click here to submit comment</v>
      </c>
    </row>
    <row r="430" spans="1:16" ht="409.5">
      <c r="A430" s="6" t="s">
        <v>6715</v>
      </c>
      <c r="B430" s="6" t="s">
        <v>6784</v>
      </c>
      <c r="C430" s="6" t="s">
        <v>6785</v>
      </c>
      <c r="D430" s="6" t="s">
        <v>1156</v>
      </c>
      <c r="E430" s="6" t="s">
        <v>1157</v>
      </c>
      <c r="F430" s="7" t="s">
        <v>6399</v>
      </c>
      <c r="G430" s="6" t="s">
        <v>6000</v>
      </c>
      <c r="H430" s="6"/>
      <c r="I430" s="6"/>
      <c r="J430" s="6"/>
      <c r="K430" s="6" t="s">
        <v>1158</v>
      </c>
      <c r="L430" s="6" t="s">
        <v>1159</v>
      </c>
      <c r="M430" s="6"/>
      <c r="N430" s="6" t="s">
        <v>1160</v>
      </c>
      <c r="O430" s="6" t="str">
        <f>HYPERLINK("https://ceds.ed.gov/cedselementdetails.aspx?termid=5026")</f>
        <v>https://ceds.ed.gov/cedselementdetails.aspx?termid=5026</v>
      </c>
      <c r="P430" s="6" t="str">
        <f>HYPERLINK("https://ceds.ed.gov/elementComment.aspx?elementName=Assessment Purpose &amp;elementID=5026", "Click here to submit comment")</f>
        <v>Click here to submit comment</v>
      </c>
    </row>
    <row r="431" spans="1:16" ht="375">
      <c r="A431" s="6" t="s">
        <v>6715</v>
      </c>
      <c r="B431" s="6" t="s">
        <v>6784</v>
      </c>
      <c r="C431" s="6" t="s">
        <v>6785</v>
      </c>
      <c r="D431" s="6" t="s">
        <v>942</v>
      </c>
      <c r="E431" s="6" t="s">
        <v>943</v>
      </c>
      <c r="F431" s="7" t="s">
        <v>6390</v>
      </c>
      <c r="G431" s="6" t="s">
        <v>6030</v>
      </c>
      <c r="H431" s="6"/>
      <c r="I431" s="6"/>
      <c r="J431" s="6"/>
      <c r="K431" s="6"/>
      <c r="L431" s="6" t="s">
        <v>944</v>
      </c>
      <c r="M431" s="6"/>
      <c r="N431" s="6" t="s">
        <v>945</v>
      </c>
      <c r="O431" s="6" t="str">
        <f>HYPERLINK("https://ceds.ed.gov/cedselementdetails.aspx?termid=5177")</f>
        <v>https://ceds.ed.gov/cedselementdetails.aspx?termid=5177</v>
      </c>
      <c r="P431" s="6" t="str">
        <f>HYPERLINK("https://ceds.ed.gov/elementComment.aspx?elementName=Assessment Level for Which Designed &amp;elementID=5177", "Click here to submit comment")</f>
        <v>Click here to submit comment</v>
      </c>
    </row>
    <row r="432" spans="1:16" ht="30">
      <c r="A432" s="6" t="s">
        <v>6715</v>
      </c>
      <c r="B432" s="6" t="s">
        <v>6784</v>
      </c>
      <c r="C432" s="6" t="s">
        <v>6785</v>
      </c>
      <c r="D432" s="6" t="s">
        <v>1086</v>
      </c>
      <c r="E432" s="6" t="s">
        <v>1087</v>
      </c>
      <c r="F432" s="6" t="s">
        <v>13</v>
      </c>
      <c r="G432" s="6" t="s">
        <v>6018</v>
      </c>
      <c r="H432" s="6"/>
      <c r="I432" s="6" t="s">
        <v>745</v>
      </c>
      <c r="J432" s="6"/>
      <c r="K432" s="6"/>
      <c r="L432" s="6" t="s">
        <v>1088</v>
      </c>
      <c r="M432" s="6"/>
      <c r="N432" s="6" t="s">
        <v>1089</v>
      </c>
      <c r="O432" s="6" t="str">
        <f>HYPERLINK("https://ceds.ed.gov/cedselementdetails.aspx?termid=5373")</f>
        <v>https://ceds.ed.gov/cedselementdetails.aspx?termid=5373</v>
      </c>
      <c r="P432" s="6" t="str">
        <f>HYPERLINK("https://ceds.ed.gov/elementComment.aspx?elementName=Assessment Objective &amp;elementID=5373", "Click here to submit comment")</f>
        <v>Click here to submit comment</v>
      </c>
    </row>
    <row r="433" spans="1:16" ht="409.5">
      <c r="A433" s="6" t="s">
        <v>6715</v>
      </c>
      <c r="B433" s="6" t="s">
        <v>6784</v>
      </c>
      <c r="C433" s="6" t="s">
        <v>6785</v>
      </c>
      <c r="D433" s="6" t="s">
        <v>1395</v>
      </c>
      <c r="E433" s="6" t="s">
        <v>1396</v>
      </c>
      <c r="F433" s="7" t="s">
        <v>6406</v>
      </c>
      <c r="G433" s="6" t="s">
        <v>6052</v>
      </c>
      <c r="H433" s="6"/>
      <c r="I433" s="6"/>
      <c r="J433" s="6"/>
      <c r="K433" s="6"/>
      <c r="L433" s="6" t="s">
        <v>1397</v>
      </c>
      <c r="M433" s="6"/>
      <c r="N433" s="6" t="s">
        <v>1398</v>
      </c>
      <c r="O433" s="6" t="str">
        <f>HYPERLINK("https://ceds.ed.gov/cedselementdetails.aspx?termid=5405")</f>
        <v>https://ceds.ed.gov/cedselementdetails.aspx?termid=5405</v>
      </c>
      <c r="P433" s="6" t="str">
        <f>HYPERLINK("https://ceds.ed.gov/elementComment.aspx?elementName=Assessment Type Administered to Children With Disabilities &amp;elementID=5405", "Click here to submit comment")</f>
        <v>Click here to submit comment</v>
      </c>
    </row>
    <row r="434" spans="1:16" ht="225">
      <c r="A434" s="6" t="s">
        <v>6715</v>
      </c>
      <c r="B434" s="6" t="s">
        <v>6784</v>
      </c>
      <c r="C434" s="6" t="s">
        <v>6785</v>
      </c>
      <c r="D434" s="6" t="s">
        <v>487</v>
      </c>
      <c r="E434" s="6" t="s">
        <v>488</v>
      </c>
      <c r="F434" s="7" t="s">
        <v>6380</v>
      </c>
      <c r="G434" s="6" t="s">
        <v>6000</v>
      </c>
      <c r="H434" s="6"/>
      <c r="I434" s="6"/>
      <c r="J434" s="6"/>
      <c r="K434" s="6"/>
      <c r="L434" s="6" t="s">
        <v>489</v>
      </c>
      <c r="M434" s="6"/>
      <c r="N434" s="6" t="s">
        <v>490</v>
      </c>
      <c r="O434" s="6" t="str">
        <f>HYPERLINK("https://ceds.ed.gov/cedselementdetails.aspx?termid=5598")</f>
        <v>https://ceds.ed.gov/cedselementdetails.aspx?termid=5598</v>
      </c>
      <c r="P434" s="6" t="str">
        <f>HYPERLINK("https://ceds.ed.gov/elementComment.aspx?elementName=Assessment Content Standard Type &amp;elementID=5598", "Click here to submit comment")</f>
        <v>Click here to submit comment</v>
      </c>
    </row>
    <row r="435" spans="1:16" ht="150">
      <c r="A435" s="6" t="s">
        <v>6715</v>
      </c>
      <c r="B435" s="6" t="s">
        <v>6784</v>
      </c>
      <c r="C435" s="6" t="s">
        <v>6785</v>
      </c>
      <c r="D435" s="6" t="s">
        <v>514</v>
      </c>
      <c r="E435" s="6" t="s">
        <v>515</v>
      </c>
      <c r="F435" s="6" t="s">
        <v>13</v>
      </c>
      <c r="G435" s="6" t="s">
        <v>6006</v>
      </c>
      <c r="H435" s="6"/>
      <c r="I435" s="6" t="s">
        <v>149</v>
      </c>
      <c r="J435" s="6"/>
      <c r="K435" s="6"/>
      <c r="L435" s="6" t="s">
        <v>516</v>
      </c>
      <c r="M435" s="6"/>
      <c r="N435" s="6" t="s">
        <v>517</v>
      </c>
      <c r="O435" s="6" t="str">
        <f>HYPERLINK("https://ceds.ed.gov/cedselementdetails.aspx?termid=5024")</f>
        <v>https://ceds.ed.gov/cedselementdetails.aspx?termid=5024</v>
      </c>
      <c r="P435" s="6" t="str">
        <f>HYPERLINK("https://ceds.ed.gov/elementComment.aspx?elementName=Assessment Form Name &amp;elementID=5024", "Click here to submit comment")</f>
        <v>Click here to submit comment</v>
      </c>
    </row>
    <row r="436" spans="1:16" ht="45">
      <c r="A436" s="6" t="s">
        <v>6715</v>
      </c>
      <c r="B436" s="6" t="s">
        <v>6784</v>
      </c>
      <c r="C436" s="6" t="s">
        <v>6785</v>
      </c>
      <c r="D436" s="6" t="s">
        <v>518</v>
      </c>
      <c r="E436" s="6" t="s">
        <v>519</v>
      </c>
      <c r="F436" s="6" t="s">
        <v>13</v>
      </c>
      <c r="G436" s="6" t="s">
        <v>5992</v>
      </c>
      <c r="H436" s="6"/>
      <c r="I436" s="6" t="s">
        <v>100</v>
      </c>
      <c r="J436" s="6"/>
      <c r="K436" s="6"/>
      <c r="L436" s="6" t="s">
        <v>520</v>
      </c>
      <c r="M436" s="6"/>
      <c r="N436" s="6" t="s">
        <v>521</v>
      </c>
      <c r="O436" s="6" t="str">
        <f>HYPERLINK("https://ceds.ed.gov/cedselementdetails.aspx?termid=5365")</f>
        <v>https://ceds.ed.gov/cedselementdetails.aspx?termid=5365</v>
      </c>
      <c r="P436" s="6" t="str">
        <f>HYPERLINK("https://ceds.ed.gov/elementComment.aspx?elementName=Assessment Form Number &amp;elementID=5365", "Click here to submit comment")</f>
        <v>Click here to submit comment</v>
      </c>
    </row>
    <row r="437" spans="1:16" ht="45">
      <c r="A437" s="6" t="s">
        <v>6715</v>
      </c>
      <c r="B437" s="6" t="s">
        <v>6784</v>
      </c>
      <c r="C437" s="6" t="s">
        <v>6785</v>
      </c>
      <c r="D437" s="6" t="s">
        <v>1224</v>
      </c>
      <c r="E437" s="6" t="s">
        <v>1225</v>
      </c>
      <c r="F437" s="6" t="s">
        <v>5963</v>
      </c>
      <c r="G437" s="6" t="s">
        <v>5992</v>
      </c>
      <c r="H437" s="6" t="s">
        <v>3</v>
      </c>
      <c r="I437" s="6"/>
      <c r="J437" s="6"/>
      <c r="K437" s="6"/>
      <c r="L437" s="6" t="s">
        <v>1226</v>
      </c>
      <c r="M437" s="6"/>
      <c r="N437" s="6" t="s">
        <v>1227</v>
      </c>
      <c r="O437" s="6" t="str">
        <f>HYPERLINK("https://ceds.ed.gov/cedselementdetails.aspx?termid=5375")</f>
        <v>https://ceds.ed.gov/cedselementdetails.aspx?termid=5375</v>
      </c>
      <c r="P437" s="6" t="str">
        <f>HYPERLINK("https://ceds.ed.gov/elementComment.aspx?elementName=Assessment Secure Indicator &amp;elementID=5375", "Click here to submit comment")</f>
        <v>Click here to submit comment</v>
      </c>
    </row>
    <row r="438" spans="1:16" ht="30">
      <c r="A438" s="6" t="s">
        <v>6715</v>
      </c>
      <c r="B438" s="6" t="s">
        <v>6784</v>
      </c>
      <c r="C438" s="6" t="s">
        <v>6785</v>
      </c>
      <c r="D438" s="6" t="s">
        <v>748</v>
      </c>
      <c r="E438" s="6" t="s">
        <v>749</v>
      </c>
      <c r="F438" s="6" t="s">
        <v>13</v>
      </c>
      <c r="G438" s="6" t="s">
        <v>6018</v>
      </c>
      <c r="H438" s="6"/>
      <c r="I438" s="6" t="s">
        <v>100</v>
      </c>
      <c r="J438" s="6"/>
      <c r="K438" s="6"/>
      <c r="L438" s="6" t="s">
        <v>750</v>
      </c>
      <c r="M438" s="6"/>
      <c r="N438" s="6" t="s">
        <v>751</v>
      </c>
      <c r="O438" s="6" t="str">
        <f>HYPERLINK("https://ceds.ed.gov/cedselementdetails.aspx?termid=5623")</f>
        <v>https://ceds.ed.gov/cedselementdetails.aspx?termid=5623</v>
      </c>
      <c r="P438" s="6" t="str">
        <f>HYPERLINK("https://ceds.ed.gov/elementComment.aspx?elementName=Assessment Item Identifier &amp;elementID=5623", "Click here to submit comment")</f>
        <v>Click here to submit comment</v>
      </c>
    </row>
    <row r="439" spans="1:16" ht="409.5">
      <c r="A439" s="6" t="s">
        <v>6715</v>
      </c>
      <c r="B439" s="6" t="s">
        <v>6784</v>
      </c>
      <c r="C439" s="6" t="s">
        <v>6785</v>
      </c>
      <c r="D439" s="6" t="s">
        <v>933</v>
      </c>
      <c r="E439" s="6" t="s">
        <v>934</v>
      </c>
      <c r="F439" s="7" t="s">
        <v>6389</v>
      </c>
      <c r="G439" s="6" t="s">
        <v>6018</v>
      </c>
      <c r="H439" s="6"/>
      <c r="I439" s="6"/>
      <c r="J439" s="6"/>
      <c r="K439" s="6"/>
      <c r="L439" s="6" t="s">
        <v>935</v>
      </c>
      <c r="M439" s="6"/>
      <c r="N439" s="6" t="s">
        <v>936</v>
      </c>
      <c r="O439" s="6" t="str">
        <f>HYPERLINK("https://ceds.ed.gov/cedselementdetails.aspx?termid=5382")</f>
        <v>https://ceds.ed.gov/cedselementdetails.aspx?termid=5382</v>
      </c>
      <c r="P439" s="6" t="str">
        <f>HYPERLINK("https://ceds.ed.gov/elementComment.aspx?elementName=Assessment Item Type &amp;elementID=5382", "Click here to submit comment")</f>
        <v>Click here to submit comment</v>
      </c>
    </row>
    <row r="440" spans="1:16" ht="409.5">
      <c r="A440" s="6" t="s">
        <v>6715</v>
      </c>
      <c r="B440" s="6" t="s">
        <v>6784</v>
      </c>
      <c r="C440" s="6" t="s">
        <v>6785</v>
      </c>
      <c r="D440" s="6" t="s">
        <v>730</v>
      </c>
      <c r="E440" s="6" t="s">
        <v>731</v>
      </c>
      <c r="F440" s="7" t="s">
        <v>6383</v>
      </c>
      <c r="G440" s="6" t="s">
        <v>6018</v>
      </c>
      <c r="H440" s="6"/>
      <c r="I440" s="6"/>
      <c r="J440" s="6"/>
      <c r="K440" s="6"/>
      <c r="L440" s="6" t="s">
        <v>732</v>
      </c>
      <c r="M440" s="6"/>
      <c r="N440" s="6" t="s">
        <v>733</v>
      </c>
      <c r="O440" s="6" t="str">
        <f>HYPERLINK("https://ceds.ed.gov/cedselementdetails.aspx?termid=5384")</f>
        <v>https://ceds.ed.gov/cedselementdetails.aspx?termid=5384</v>
      </c>
      <c r="P440" s="6" t="str">
        <f>HYPERLINK("https://ceds.ed.gov/elementComment.aspx?elementName=Assessment Item Characteristic Type &amp;elementID=5384", "Click here to submit comment")</f>
        <v>Click here to submit comment</v>
      </c>
    </row>
    <row r="441" spans="1:16" ht="45">
      <c r="A441" s="6" t="s">
        <v>6715</v>
      </c>
      <c r="B441" s="6" t="s">
        <v>6784</v>
      </c>
      <c r="C441" s="6" t="s">
        <v>6785</v>
      </c>
      <c r="D441" s="6" t="s">
        <v>734</v>
      </c>
      <c r="E441" s="6" t="s">
        <v>735</v>
      </c>
      <c r="F441" s="6" t="s">
        <v>13</v>
      </c>
      <c r="G441" s="6"/>
      <c r="H441" s="6"/>
      <c r="I441" s="6" t="s">
        <v>100</v>
      </c>
      <c r="J441" s="6"/>
      <c r="K441" s="6"/>
      <c r="L441" s="6" t="s">
        <v>736</v>
      </c>
      <c r="M441" s="6"/>
      <c r="N441" s="6" t="s">
        <v>737</v>
      </c>
      <c r="O441" s="6" t="str">
        <f>HYPERLINK("https://ceds.ed.gov/cedselementdetails.aspx?termid=5685")</f>
        <v>https://ceds.ed.gov/cedselementdetails.aspx?termid=5685</v>
      </c>
      <c r="P441" s="6" t="str">
        <f>HYPERLINK("https://ceds.ed.gov/elementComment.aspx?elementName=Assessment Item Characteristic Value &amp;elementID=5685", "Click here to submit comment")</f>
        <v>Click here to submit comment</v>
      </c>
    </row>
    <row r="442" spans="1:16" ht="45">
      <c r="A442" s="6" t="s">
        <v>6715</v>
      </c>
      <c r="B442" s="6" t="s">
        <v>6784</v>
      </c>
      <c r="C442" s="6" t="s">
        <v>6785</v>
      </c>
      <c r="D442" s="6" t="s">
        <v>798</v>
      </c>
      <c r="E442" s="6" t="s">
        <v>799</v>
      </c>
      <c r="F442" s="6" t="s">
        <v>13</v>
      </c>
      <c r="G442" s="6" t="s">
        <v>6018</v>
      </c>
      <c r="H442" s="6"/>
      <c r="I442" s="6" t="s">
        <v>745</v>
      </c>
      <c r="J442" s="6"/>
      <c r="K442" s="6"/>
      <c r="L442" s="6" t="s">
        <v>800</v>
      </c>
      <c r="M442" s="6"/>
      <c r="N442" s="6" t="s">
        <v>801</v>
      </c>
      <c r="O442" s="6" t="str">
        <f>HYPERLINK("https://ceds.ed.gov/cedselementdetails.aspx?termid=5385")</f>
        <v>https://ceds.ed.gov/cedselementdetails.aspx?termid=5385</v>
      </c>
      <c r="P442" s="6" t="str">
        <f>HYPERLINK("https://ceds.ed.gov/elementComment.aspx?elementName=Assessment Item Response Choice Pattern &amp;elementID=5385", "Click here to submit comment")</f>
        <v>Click here to submit comment</v>
      </c>
    </row>
    <row r="443" spans="1:16" ht="30">
      <c r="A443" s="6" t="s">
        <v>6715</v>
      </c>
      <c r="B443" s="6" t="s">
        <v>6784</v>
      </c>
      <c r="C443" s="6" t="s">
        <v>6785</v>
      </c>
      <c r="D443" s="6" t="s">
        <v>598</v>
      </c>
      <c r="E443" s="6" t="s">
        <v>599</v>
      </c>
      <c r="F443" s="6" t="s">
        <v>13</v>
      </c>
      <c r="G443" s="6" t="s">
        <v>6018</v>
      </c>
      <c r="H443" s="6"/>
      <c r="I443" s="6" t="s">
        <v>426</v>
      </c>
      <c r="J443" s="6"/>
      <c r="K443" s="6"/>
      <c r="L443" s="6" t="s">
        <v>600</v>
      </c>
      <c r="M443" s="6"/>
      <c r="N443" s="6" t="s">
        <v>601</v>
      </c>
      <c r="O443" s="6" t="str">
        <f>HYPERLINK("https://ceds.ed.gov/cedselementdetails.aspx?termid=5395")</f>
        <v>https://ceds.ed.gov/cedselementdetails.aspx?termid=5395</v>
      </c>
      <c r="P443" s="6" t="str">
        <f>HYPERLINK("https://ceds.ed.gov/elementComment.aspx?elementName=Assessment Item Allotted Time &amp;elementID=5395", "Click here to submit comment")</f>
        <v>Click here to submit comment</v>
      </c>
    </row>
    <row r="444" spans="1:16" ht="45">
      <c r="A444" s="6" t="s">
        <v>6715</v>
      </c>
      <c r="B444" s="6" t="s">
        <v>6784</v>
      </c>
      <c r="C444" s="6" t="s">
        <v>6785</v>
      </c>
      <c r="D444" s="6" t="s">
        <v>917</v>
      </c>
      <c r="E444" s="6" t="s">
        <v>918</v>
      </c>
      <c r="F444" s="6" t="s">
        <v>13</v>
      </c>
      <c r="G444" s="6" t="s">
        <v>6018</v>
      </c>
      <c r="H444" s="6"/>
      <c r="I444" s="6" t="s">
        <v>319</v>
      </c>
      <c r="J444" s="6"/>
      <c r="K444" s="6"/>
      <c r="L444" s="6" t="s">
        <v>919</v>
      </c>
      <c r="M444" s="6"/>
      <c r="N444" s="6" t="s">
        <v>920</v>
      </c>
      <c r="O444" s="6" t="str">
        <f>HYPERLINK("https://ceds.ed.gov/cedselementdetails.aspx?termid=5392")</f>
        <v>https://ceds.ed.gov/cedselementdetails.aspx?termid=5392</v>
      </c>
      <c r="P444" s="6" t="str">
        <f>HYPERLINK("https://ceds.ed.gov/elementComment.aspx?elementName=Assessment Item Stem &amp;elementID=5392", "Click here to submit comment")</f>
        <v>Click here to submit comment</v>
      </c>
    </row>
    <row r="445" spans="1:16" ht="30">
      <c r="A445" s="6" t="s">
        <v>6715</v>
      </c>
      <c r="B445" s="6" t="s">
        <v>6784</v>
      </c>
      <c r="C445" s="6" t="s">
        <v>6785</v>
      </c>
      <c r="D445" s="6" t="s">
        <v>764</v>
      </c>
      <c r="E445" s="6" t="s">
        <v>765</v>
      </c>
      <c r="F445" s="6" t="s">
        <v>13</v>
      </c>
      <c r="G445" s="6"/>
      <c r="H445" s="6"/>
      <c r="I445" s="6" t="s">
        <v>93</v>
      </c>
      <c r="J445" s="6"/>
      <c r="K445" s="6"/>
      <c r="L445" s="6" t="s">
        <v>766</v>
      </c>
      <c r="M445" s="6"/>
      <c r="N445" s="6" t="s">
        <v>767</v>
      </c>
      <c r="O445" s="6" t="str">
        <f>HYPERLINK("https://ceds.ed.gov/cedselementdetails.aspx?termid=5684")</f>
        <v>https://ceds.ed.gov/cedselementdetails.aspx?termid=5684</v>
      </c>
      <c r="P445" s="6" t="str">
        <f>HYPERLINK("https://ceds.ed.gov/elementComment.aspx?elementName=Assessment Item Minimum Score &amp;elementID=5684", "Click here to submit comment")</f>
        <v>Click here to submit comment</v>
      </c>
    </row>
    <row r="446" spans="1:16" ht="30">
      <c r="A446" s="6" t="s">
        <v>6715</v>
      </c>
      <c r="B446" s="6" t="s">
        <v>6784</v>
      </c>
      <c r="C446" s="6" t="s">
        <v>6785</v>
      </c>
      <c r="D446" s="6" t="s">
        <v>760</v>
      </c>
      <c r="E446" s="6" t="s">
        <v>761</v>
      </c>
      <c r="F446" s="6" t="s">
        <v>13</v>
      </c>
      <c r="G446" s="6"/>
      <c r="H446" s="6"/>
      <c r="I446" s="6" t="s">
        <v>93</v>
      </c>
      <c r="J446" s="6"/>
      <c r="K446" s="6"/>
      <c r="L446" s="6" t="s">
        <v>762</v>
      </c>
      <c r="M446" s="6"/>
      <c r="N446" s="6" t="s">
        <v>763</v>
      </c>
      <c r="O446" s="6" t="str">
        <f>HYPERLINK("https://ceds.ed.gov/cedselementdetails.aspx?termid=5683")</f>
        <v>https://ceds.ed.gov/cedselementdetails.aspx?termid=5683</v>
      </c>
      <c r="P446" s="6" t="str">
        <f>HYPERLINK("https://ceds.ed.gov/elementComment.aspx?elementName=Assessment Item Maximum Score &amp;elementID=5683", "Click here to submit comment")</f>
        <v>Click here to submit comment</v>
      </c>
    </row>
    <row r="447" spans="1:16" ht="45">
      <c r="A447" s="6" t="s">
        <v>6715</v>
      </c>
      <c r="B447" s="6" t="s">
        <v>6784</v>
      </c>
      <c r="C447" s="6" t="s">
        <v>6785</v>
      </c>
      <c r="D447" s="6" t="s">
        <v>738</v>
      </c>
      <c r="E447" s="6" t="s">
        <v>739</v>
      </c>
      <c r="F447" s="6" t="s">
        <v>13</v>
      </c>
      <c r="G447" s="6" t="s">
        <v>6018</v>
      </c>
      <c r="H447" s="6"/>
      <c r="I447" s="6" t="s">
        <v>740</v>
      </c>
      <c r="J447" s="6"/>
      <c r="K447" s="6"/>
      <c r="L447" s="6" t="s">
        <v>741</v>
      </c>
      <c r="M447" s="6"/>
      <c r="N447" s="6" t="s">
        <v>742</v>
      </c>
      <c r="O447" s="6" t="str">
        <f>HYPERLINK("https://ceds.ed.gov/cedselementdetails.aspx?termid=5383")</f>
        <v>https://ceds.ed.gov/cedselementdetails.aspx?termid=5383</v>
      </c>
      <c r="P447" s="6" t="str">
        <f>HYPERLINK("https://ceds.ed.gov/elementComment.aspx?elementName=Assessment Item Difficulty &amp;elementID=5383", "Click here to submit comment")</f>
        <v>Click here to submit comment</v>
      </c>
    </row>
    <row r="448" spans="1:16" ht="30">
      <c r="A448" s="6" t="s">
        <v>6715</v>
      </c>
      <c r="B448" s="6" t="s">
        <v>6784</v>
      </c>
      <c r="C448" s="6" t="s">
        <v>6785</v>
      </c>
      <c r="D448" s="6" t="s">
        <v>743</v>
      </c>
      <c r="E448" s="6" t="s">
        <v>744</v>
      </c>
      <c r="F448" s="6" t="s">
        <v>13</v>
      </c>
      <c r="G448" s="6" t="s">
        <v>6018</v>
      </c>
      <c r="H448" s="6"/>
      <c r="I448" s="6" t="s">
        <v>745</v>
      </c>
      <c r="J448" s="6"/>
      <c r="K448" s="6"/>
      <c r="L448" s="6" t="s">
        <v>746</v>
      </c>
      <c r="M448" s="6"/>
      <c r="N448" s="6" t="s">
        <v>747</v>
      </c>
      <c r="O448" s="6" t="str">
        <f>HYPERLINK("https://ceds.ed.gov/cedselementdetails.aspx?termid=5390")</f>
        <v>https://ceds.ed.gov/cedselementdetails.aspx?termid=5390</v>
      </c>
      <c r="P448" s="6" t="str">
        <f>HYPERLINK("https://ceds.ed.gov/elementComment.aspx?elementName=Assessment Item Distractor Analysis &amp;elementID=5390", "Click here to submit comment")</f>
        <v>Click here to submit comment</v>
      </c>
    </row>
    <row r="449" spans="1:16" ht="60">
      <c r="A449" s="6" t="s">
        <v>6715</v>
      </c>
      <c r="B449" s="6" t="s">
        <v>6784</v>
      </c>
      <c r="C449" s="6" t="s">
        <v>6785</v>
      </c>
      <c r="D449" s="6" t="s">
        <v>793</v>
      </c>
      <c r="E449" s="6" t="s">
        <v>794</v>
      </c>
      <c r="F449" s="6" t="s">
        <v>13</v>
      </c>
      <c r="G449" s="6" t="s">
        <v>6018</v>
      </c>
      <c r="H449" s="6"/>
      <c r="I449" s="6" t="s">
        <v>100</v>
      </c>
      <c r="J449" s="6"/>
      <c r="K449" s="6" t="s">
        <v>795</v>
      </c>
      <c r="L449" s="6" t="s">
        <v>796</v>
      </c>
      <c r="M449" s="6"/>
      <c r="N449" s="6" t="s">
        <v>797</v>
      </c>
      <c r="O449" s="6" t="str">
        <f>HYPERLINK("https://ceds.ed.gov/cedselementdetails.aspx?termid=5397")</f>
        <v>https://ceds.ed.gov/cedselementdetails.aspx?termid=5397</v>
      </c>
      <c r="P449" s="6" t="str">
        <f>HYPERLINK("https://ceds.ed.gov/elementComment.aspx?elementName=Assessment Item Response Aid Set Used &amp;elementID=5397", "Click here to submit comment")</f>
        <v>Click here to submit comment</v>
      </c>
    </row>
    <row r="450" spans="1:16" ht="45">
      <c r="A450" s="6" t="s">
        <v>6715</v>
      </c>
      <c r="B450" s="6" t="s">
        <v>6784</v>
      </c>
      <c r="C450" s="6" t="s">
        <v>6785</v>
      </c>
      <c r="D450" s="6" t="s">
        <v>1318</v>
      </c>
      <c r="E450" s="6" t="s">
        <v>1319</v>
      </c>
      <c r="F450" s="6" t="s">
        <v>13</v>
      </c>
      <c r="G450" s="6" t="s">
        <v>6018</v>
      </c>
      <c r="H450" s="6"/>
      <c r="I450" s="6" t="s">
        <v>100</v>
      </c>
      <c r="J450" s="6"/>
      <c r="K450" s="6" t="s">
        <v>1320</v>
      </c>
      <c r="L450" s="6" t="s">
        <v>1321</v>
      </c>
      <c r="M450" s="6"/>
      <c r="N450" s="6" t="s">
        <v>1322</v>
      </c>
      <c r="O450" s="6" t="str">
        <f>HYPERLINK("https://ceds.ed.gov/cedselementdetails.aspx?termid=5389")</f>
        <v>https://ceds.ed.gov/cedselementdetails.aspx?termid=5389</v>
      </c>
      <c r="P450" s="6" t="str">
        <f>HYPERLINK("https://ceds.ed.gov/elementComment.aspx?elementName=Assessment Subtest Optimal Value &amp;elementID=5389", "Click here to submit comment")</f>
        <v>Click here to submit comment</v>
      </c>
    </row>
    <row r="451" spans="1:16" ht="45">
      <c r="A451" s="6" t="s">
        <v>6715</v>
      </c>
      <c r="B451" s="6" t="s">
        <v>6784</v>
      </c>
      <c r="C451" s="6" t="s">
        <v>6785</v>
      </c>
      <c r="D451" s="6" t="s">
        <v>1302</v>
      </c>
      <c r="E451" s="6" t="s">
        <v>1303</v>
      </c>
      <c r="F451" s="6" t="s">
        <v>13</v>
      </c>
      <c r="G451" s="6" t="s">
        <v>6064</v>
      </c>
      <c r="H451" s="6"/>
      <c r="I451" s="6" t="s">
        <v>100</v>
      </c>
      <c r="J451" s="6"/>
      <c r="K451" s="6"/>
      <c r="L451" s="6" t="s">
        <v>1304</v>
      </c>
      <c r="M451" s="6"/>
      <c r="N451" s="6" t="s">
        <v>1305</v>
      </c>
      <c r="O451" s="6" t="str">
        <f>HYPERLINK("https://ceds.ed.gov/cedselementdetails.aspx?termid=5366")</f>
        <v>https://ceds.ed.gov/cedselementdetails.aspx?termid=5366</v>
      </c>
      <c r="P451" s="6" t="str">
        <f>HYPERLINK("https://ceds.ed.gov/elementComment.aspx?elementName=Assessment Subtest Identifier &amp;elementID=5366", "Click here to submit comment")</f>
        <v>Click here to submit comment</v>
      </c>
    </row>
    <row r="452" spans="1:16" ht="165">
      <c r="A452" s="6" t="s">
        <v>6715</v>
      </c>
      <c r="B452" s="6" t="s">
        <v>6784</v>
      </c>
      <c r="C452" s="6" t="s">
        <v>6785</v>
      </c>
      <c r="D452" s="6" t="s">
        <v>1379</v>
      </c>
      <c r="E452" s="6" t="s">
        <v>1380</v>
      </c>
      <c r="F452" s="6" t="s">
        <v>13</v>
      </c>
      <c r="G452" s="6" t="s">
        <v>6073</v>
      </c>
      <c r="H452" s="6"/>
      <c r="I452" s="6" t="s">
        <v>106</v>
      </c>
      <c r="J452" s="6"/>
      <c r="K452" s="6"/>
      <c r="L452" s="6" t="s">
        <v>1381</v>
      </c>
      <c r="M452" s="6"/>
      <c r="N452" s="6" t="s">
        <v>1382</v>
      </c>
      <c r="O452" s="6" t="str">
        <f>HYPERLINK("https://ceds.ed.gov/cedselementdetails.aspx?termid=5275")</f>
        <v>https://ceds.ed.gov/cedselementdetails.aspx?termid=5275</v>
      </c>
      <c r="P452" s="6" t="str">
        <f>HYPERLINK("https://ceds.ed.gov/elementComment.aspx?elementName=Assessment Subtest Title &amp;elementID=5275", "Click here to submit comment")</f>
        <v>Click here to submit comment</v>
      </c>
    </row>
    <row r="453" spans="1:16" ht="45">
      <c r="A453" s="6" t="s">
        <v>6715</v>
      </c>
      <c r="B453" s="6" t="s">
        <v>6784</v>
      </c>
      <c r="C453" s="6" t="s">
        <v>6785</v>
      </c>
      <c r="D453" s="6" t="s">
        <v>1294</v>
      </c>
      <c r="E453" s="6" t="s">
        <v>1295</v>
      </c>
      <c r="F453" s="6" t="s">
        <v>13</v>
      </c>
      <c r="G453" s="6" t="s">
        <v>6063</v>
      </c>
      <c r="H453" s="6"/>
      <c r="I453" s="6" t="s">
        <v>100</v>
      </c>
      <c r="J453" s="6"/>
      <c r="K453" s="6"/>
      <c r="L453" s="6" t="s">
        <v>1296</v>
      </c>
      <c r="M453" s="6"/>
      <c r="N453" s="6" t="s">
        <v>1297</v>
      </c>
      <c r="O453" s="6" t="str">
        <f>HYPERLINK("https://ceds.ed.gov/cedselementdetails.aspx?termid=5367")</f>
        <v>https://ceds.ed.gov/cedselementdetails.aspx?termid=5367</v>
      </c>
      <c r="P453" s="6" t="str">
        <f>HYPERLINK("https://ceds.ed.gov/elementComment.aspx?elementName=Assessment Subtest Abbreviation &amp;elementID=5367", "Click here to submit comment")</f>
        <v>Click here to submit comment</v>
      </c>
    </row>
    <row r="454" spans="1:16" ht="45">
      <c r="A454" s="6" t="s">
        <v>6715</v>
      </c>
      <c r="B454" s="6" t="s">
        <v>6784</v>
      </c>
      <c r="C454" s="6" t="s">
        <v>6785</v>
      </c>
      <c r="D454" s="6" t="s">
        <v>1383</v>
      </c>
      <c r="E454" s="6" t="s">
        <v>1384</v>
      </c>
      <c r="F454" s="6" t="s">
        <v>13</v>
      </c>
      <c r="G454" s="6" t="s">
        <v>6064</v>
      </c>
      <c r="H454" s="6"/>
      <c r="I454" s="6" t="s">
        <v>100</v>
      </c>
      <c r="J454" s="6"/>
      <c r="K454" s="6"/>
      <c r="L454" s="6" t="s">
        <v>1385</v>
      </c>
      <c r="M454" s="6"/>
      <c r="N454" s="6" t="s">
        <v>1386</v>
      </c>
      <c r="O454" s="6" t="str">
        <f>HYPERLINK("https://ceds.ed.gov/cedselementdetails.aspx?termid=5379")</f>
        <v>https://ceds.ed.gov/cedselementdetails.aspx?termid=5379</v>
      </c>
      <c r="P454" s="6" t="str">
        <f>HYPERLINK("https://ceds.ed.gov/elementComment.aspx?elementName=Assessment Subtest Version &amp;elementID=5379", "Click here to submit comment")</f>
        <v>Click here to submit comment</v>
      </c>
    </row>
    <row r="455" spans="1:16" ht="409.5">
      <c r="A455" s="6" t="s">
        <v>6715</v>
      </c>
      <c r="B455" s="6" t="s">
        <v>6784</v>
      </c>
      <c r="C455" s="6" t="s">
        <v>6785</v>
      </c>
      <c r="D455" s="6" t="s">
        <v>1375</v>
      </c>
      <c r="E455" s="6" t="s">
        <v>1376</v>
      </c>
      <c r="F455" s="7" t="s">
        <v>6398</v>
      </c>
      <c r="G455" s="6" t="s">
        <v>6064</v>
      </c>
      <c r="H455" s="6"/>
      <c r="I455" s="6"/>
      <c r="J455" s="6"/>
      <c r="K455" s="6"/>
      <c r="L455" s="6" t="s">
        <v>1377</v>
      </c>
      <c r="M455" s="6"/>
      <c r="N455" s="6" t="s">
        <v>1378</v>
      </c>
      <c r="O455" s="6" t="str">
        <f>HYPERLINK("https://ceds.ed.gov/cedselementdetails.aspx?termid=5368")</f>
        <v>https://ceds.ed.gov/cedselementdetails.aspx?termid=5368</v>
      </c>
      <c r="P455" s="6" t="str">
        <f>HYPERLINK("https://ceds.ed.gov/elementComment.aspx?elementName=Assessment Subtest Score Metric Type &amp;elementID=5368", "Click here to submit comment")</f>
        <v>Click here to submit comment</v>
      </c>
    </row>
    <row r="456" spans="1:16" ht="45">
      <c r="A456" s="6" t="s">
        <v>6715</v>
      </c>
      <c r="B456" s="6" t="s">
        <v>6784</v>
      </c>
      <c r="C456" s="6" t="s">
        <v>6785</v>
      </c>
      <c r="D456" s="6" t="s">
        <v>1371</v>
      </c>
      <c r="E456" s="6" t="s">
        <v>1372</v>
      </c>
      <c r="F456" s="6" t="s">
        <v>13</v>
      </c>
      <c r="G456" s="6"/>
      <c r="H456" s="6"/>
      <c r="I456" s="6" t="s">
        <v>319</v>
      </c>
      <c r="J456" s="6"/>
      <c r="K456" s="6"/>
      <c r="L456" s="6" t="s">
        <v>1373</v>
      </c>
      <c r="M456" s="6"/>
      <c r="N456" s="6" t="s">
        <v>1374</v>
      </c>
      <c r="O456" s="6" t="str">
        <f>HYPERLINK("https://ceds.ed.gov/cedselementdetails.aspx?termid=5695")</f>
        <v>https://ceds.ed.gov/cedselementdetails.aspx?termid=5695</v>
      </c>
      <c r="P456" s="6" t="str">
        <f>HYPERLINK("https://ceds.ed.gov/elementComment.aspx?elementName=Assessment Subtest Rules &amp;elementID=5695", "Click here to submit comment")</f>
        <v>Click here to submit comment</v>
      </c>
    </row>
    <row r="457" spans="1:16" ht="150">
      <c r="A457" s="6" t="s">
        <v>6715</v>
      </c>
      <c r="B457" s="6" t="s">
        <v>6784</v>
      </c>
      <c r="C457" s="6" t="s">
        <v>6785</v>
      </c>
      <c r="D457" s="6" t="s">
        <v>1298</v>
      </c>
      <c r="E457" s="6" t="s">
        <v>1299</v>
      </c>
      <c r="F457" s="6" t="s">
        <v>13</v>
      </c>
      <c r="G457" s="6" t="s">
        <v>6006</v>
      </c>
      <c r="H457" s="6"/>
      <c r="I457" s="6" t="s">
        <v>106</v>
      </c>
      <c r="J457" s="6"/>
      <c r="K457" s="6"/>
      <c r="L457" s="6" t="s">
        <v>1300</v>
      </c>
      <c r="M457" s="6"/>
      <c r="N457" s="6" t="s">
        <v>1301</v>
      </c>
      <c r="O457" s="6" t="str">
        <f>HYPERLINK("https://ceds.ed.gov/cedselementdetails.aspx?termid=5274")</f>
        <v>https://ceds.ed.gov/cedselementdetails.aspx?termid=5274</v>
      </c>
      <c r="P457" s="6" t="str">
        <f>HYPERLINK("https://ceds.ed.gov/elementComment.aspx?elementName=Assessment Subtest Description &amp;elementID=5274", "Click here to submit comment")</f>
        <v>Click here to submit comment</v>
      </c>
    </row>
    <row r="458" spans="1:16" ht="45">
      <c r="A458" s="6" t="s">
        <v>6715</v>
      </c>
      <c r="B458" s="6" t="s">
        <v>6784</v>
      </c>
      <c r="C458" s="6" t="s">
        <v>6785</v>
      </c>
      <c r="D458" s="6" t="s">
        <v>1121</v>
      </c>
      <c r="E458" s="6" t="s">
        <v>1122</v>
      </c>
      <c r="F458" s="6" t="s">
        <v>13</v>
      </c>
      <c r="G458" s="6" t="s">
        <v>493</v>
      </c>
      <c r="H458" s="6"/>
      <c r="I458" s="6" t="s">
        <v>100</v>
      </c>
      <c r="J458" s="6"/>
      <c r="K458" s="6"/>
      <c r="L458" s="6" t="s">
        <v>1123</v>
      </c>
      <c r="M458" s="6"/>
      <c r="N458" s="6" t="s">
        <v>1124</v>
      </c>
      <c r="O458" s="6" t="str">
        <f>HYPERLINK("https://ceds.ed.gov/cedselementdetails.aspx?termid=5693")</f>
        <v>https://ceds.ed.gov/cedselementdetails.aspx?termid=5693</v>
      </c>
      <c r="P458" s="6" t="str">
        <f>HYPERLINK("https://ceds.ed.gov/elementComment.aspx?elementName=Assessment Performance Level Identifier &amp;elementID=5693", "Click here to submit comment")</f>
        <v>Click here to submit comment</v>
      </c>
    </row>
    <row r="459" spans="1:16" ht="45">
      <c r="A459" s="6" t="s">
        <v>6715</v>
      </c>
      <c r="B459" s="6" t="s">
        <v>6784</v>
      </c>
      <c r="C459" s="6" t="s">
        <v>6785</v>
      </c>
      <c r="D459" s="6" t="s">
        <v>1125</v>
      </c>
      <c r="E459" s="6" t="s">
        <v>1126</v>
      </c>
      <c r="F459" s="6" t="s">
        <v>13</v>
      </c>
      <c r="G459" s="6" t="s">
        <v>493</v>
      </c>
      <c r="H459" s="6"/>
      <c r="I459" s="6" t="s">
        <v>1127</v>
      </c>
      <c r="J459" s="6"/>
      <c r="K459" s="6"/>
      <c r="L459" s="6" t="s">
        <v>1128</v>
      </c>
      <c r="M459" s="6"/>
      <c r="N459" s="6" t="s">
        <v>1129</v>
      </c>
      <c r="O459" s="6" t="str">
        <f>HYPERLINK("https://ceds.ed.gov/cedselementdetails.aspx?termid=5694")</f>
        <v>https://ceds.ed.gov/cedselementdetails.aspx?termid=5694</v>
      </c>
      <c r="P459" s="6" t="str">
        <f>HYPERLINK("https://ceds.ed.gov/elementComment.aspx?elementName=Assessment Performance Level Label &amp;elementID=5694", "Click here to submit comment")</f>
        <v>Click here to submit comment</v>
      </c>
    </row>
    <row r="460" spans="1:16" ht="409.5">
      <c r="A460" s="6" t="s">
        <v>6715</v>
      </c>
      <c r="B460" s="6" t="s">
        <v>6784</v>
      </c>
      <c r="C460" s="6" t="s">
        <v>6785</v>
      </c>
      <c r="D460" s="6" t="s">
        <v>1134</v>
      </c>
      <c r="E460" s="6" t="s">
        <v>1135</v>
      </c>
      <c r="F460" s="7" t="s">
        <v>6398</v>
      </c>
      <c r="G460" s="6" t="s">
        <v>5992</v>
      </c>
      <c r="H460" s="6"/>
      <c r="I460" s="6" t="s">
        <v>100</v>
      </c>
      <c r="J460" s="6"/>
      <c r="K460" s="6"/>
      <c r="L460" s="6" t="s">
        <v>1136</v>
      </c>
      <c r="M460" s="6"/>
      <c r="N460" s="6" t="s">
        <v>1137</v>
      </c>
      <c r="O460" s="6" t="str">
        <f>HYPERLINK("https://ceds.ed.gov/cedselementdetails.aspx?termid=5407")</f>
        <v>https://ceds.ed.gov/cedselementdetails.aspx?termid=5407</v>
      </c>
      <c r="P460" s="6" t="str">
        <f>HYPERLINK("https://ceds.ed.gov/elementComment.aspx?elementName=Assessment Performance Level Score Metric &amp;elementID=5407", "Click here to submit comment")</f>
        <v>Click here to submit comment</v>
      </c>
    </row>
    <row r="461" spans="1:16" ht="45">
      <c r="A461" s="6" t="s">
        <v>6715</v>
      </c>
      <c r="B461" s="6" t="s">
        <v>6784</v>
      </c>
      <c r="C461" s="6" t="s">
        <v>6785</v>
      </c>
      <c r="D461" s="6" t="s">
        <v>1130</v>
      </c>
      <c r="E461" s="6" t="s">
        <v>1131</v>
      </c>
      <c r="F461" s="6" t="s">
        <v>13</v>
      </c>
      <c r="G461" s="6" t="s">
        <v>5992</v>
      </c>
      <c r="H461" s="6"/>
      <c r="I461" s="6" t="s">
        <v>100</v>
      </c>
      <c r="J461" s="6"/>
      <c r="K461" s="6"/>
      <c r="L461" s="6" t="s">
        <v>1132</v>
      </c>
      <c r="M461" s="6"/>
      <c r="N461" s="6" t="s">
        <v>1133</v>
      </c>
      <c r="O461" s="6" t="str">
        <f>HYPERLINK("https://ceds.ed.gov/cedselementdetails.aspx?termid=5408")</f>
        <v>https://ceds.ed.gov/cedselementdetails.aspx?termid=5408</v>
      </c>
      <c r="P461" s="6" t="str">
        <f>HYPERLINK("https://ceds.ed.gov/elementComment.aspx?elementName=Assessment Performance Level Lower Cut Score &amp;elementID=5408", "Click here to submit comment")</f>
        <v>Click here to submit comment</v>
      </c>
    </row>
    <row r="462" spans="1:16" ht="45">
      <c r="A462" s="6" t="s">
        <v>6715</v>
      </c>
      <c r="B462" s="6" t="s">
        <v>6784</v>
      </c>
      <c r="C462" s="6" t="s">
        <v>6785</v>
      </c>
      <c r="D462" s="6" t="s">
        <v>1138</v>
      </c>
      <c r="E462" s="6" t="s">
        <v>1139</v>
      </c>
      <c r="F462" s="6" t="s">
        <v>13</v>
      </c>
      <c r="G462" s="6" t="s">
        <v>5992</v>
      </c>
      <c r="H462" s="6"/>
      <c r="I462" s="6" t="s">
        <v>100</v>
      </c>
      <c r="J462" s="6"/>
      <c r="K462" s="6"/>
      <c r="L462" s="6" t="s">
        <v>1140</v>
      </c>
      <c r="M462" s="6"/>
      <c r="N462" s="6" t="s">
        <v>1141</v>
      </c>
      <c r="O462" s="6" t="str">
        <f>HYPERLINK("https://ceds.ed.gov/cedselementdetails.aspx?termid=5409")</f>
        <v>https://ceds.ed.gov/cedselementdetails.aspx?termid=5409</v>
      </c>
      <c r="P462" s="6" t="str">
        <f>HYPERLINK("https://ceds.ed.gov/elementComment.aspx?elementName=Assessment Performance Level Upper Cut Score &amp;elementID=5409", "Click here to submit comment")</f>
        <v>Click here to submit comment</v>
      </c>
    </row>
    <row r="463" spans="1:16" ht="315">
      <c r="A463" s="6" t="s">
        <v>6715</v>
      </c>
      <c r="B463" s="6" t="s">
        <v>6784</v>
      </c>
      <c r="C463" s="6" t="s">
        <v>6785</v>
      </c>
      <c r="D463" s="6" t="s">
        <v>1186</v>
      </c>
      <c r="E463" s="6" t="s">
        <v>1187</v>
      </c>
      <c r="F463" s="7" t="s">
        <v>6402</v>
      </c>
      <c r="G463" s="6" t="s">
        <v>6052</v>
      </c>
      <c r="H463" s="6"/>
      <c r="I463" s="6"/>
      <c r="J463" s="6"/>
      <c r="K463" s="6" t="s">
        <v>1188</v>
      </c>
      <c r="L463" s="6" t="s">
        <v>1189</v>
      </c>
      <c r="M463" s="6"/>
      <c r="N463" s="6" t="s">
        <v>1190</v>
      </c>
      <c r="O463" s="6" t="str">
        <f>HYPERLINK("https://ceds.ed.gov/cedselementdetails.aspx?termid=5531")</f>
        <v>https://ceds.ed.gov/cedselementdetails.aspx?termid=5531</v>
      </c>
      <c r="P463" s="6" t="str">
        <f>HYPERLINK("https://ceds.ed.gov/elementComment.aspx?elementName=Assessment Registration Reason Not Completing &amp;elementID=5531", "Click here to submit comment")</f>
        <v>Click here to submit comment</v>
      </c>
    </row>
    <row r="464" spans="1:16" ht="375">
      <c r="A464" s="6" t="s">
        <v>6715</v>
      </c>
      <c r="B464" s="6" t="s">
        <v>6784</v>
      </c>
      <c r="C464" s="6" t="s">
        <v>6785</v>
      </c>
      <c r="D464" s="6" t="s">
        <v>2847</v>
      </c>
      <c r="E464" s="6" t="s">
        <v>2848</v>
      </c>
      <c r="F464" s="7" t="s">
        <v>6520</v>
      </c>
      <c r="G464" s="6" t="s">
        <v>6182</v>
      </c>
      <c r="H464" s="6"/>
      <c r="I464" s="6"/>
      <c r="J464" s="6"/>
      <c r="K464" s="6"/>
      <c r="L464" s="6" t="s">
        <v>2849</v>
      </c>
      <c r="M464" s="6"/>
      <c r="N464" s="6" t="s">
        <v>2850</v>
      </c>
      <c r="O464" s="6" t="str">
        <f>HYPERLINK("https://ceds.ed.gov/cedselementdetails.aspx?termid=5126")</f>
        <v>https://ceds.ed.gov/cedselementdetails.aspx?termid=5126</v>
      </c>
      <c r="P464" s="6" t="str">
        <f>HYPERLINK("https://ceds.ed.gov/elementComment.aspx?elementName=Grade Level When Assessed &amp;elementID=5126", "Click here to submit comment")</f>
        <v>Click here to submit comment</v>
      </c>
    </row>
    <row r="465" spans="1:16" ht="285">
      <c r="A465" s="6" t="s">
        <v>6715</v>
      </c>
      <c r="B465" s="6" t="s">
        <v>6784</v>
      </c>
      <c r="C465" s="6" t="s">
        <v>6785</v>
      </c>
      <c r="D465" s="6" t="s">
        <v>399</v>
      </c>
      <c r="E465" s="6" t="s">
        <v>400</v>
      </c>
      <c r="F465" s="7" t="s">
        <v>6376</v>
      </c>
      <c r="G465" s="6" t="s">
        <v>5992</v>
      </c>
      <c r="H465" s="6" t="s">
        <v>3</v>
      </c>
      <c r="I465" s="6"/>
      <c r="J465" s="6"/>
      <c r="K465" s="6"/>
      <c r="L465" s="6" t="s">
        <v>401</v>
      </c>
      <c r="M465" s="6"/>
      <c r="N465" s="6" t="s">
        <v>402</v>
      </c>
      <c r="O465" s="6" t="str">
        <f>HYPERLINK("https://ceds.ed.gov/cedselementdetails.aspx?termid=5374")</f>
        <v>https://ceds.ed.gov/cedselementdetails.aspx?termid=5374</v>
      </c>
      <c r="P465" s="6" t="str">
        <f>HYPERLINK("https://ceds.ed.gov/elementComment.aspx?elementName=Assessment Accommodation Category &amp;elementID=5374", "Click here to submit comment")</f>
        <v>Click here to submit comment</v>
      </c>
    </row>
    <row r="466" spans="1:16" ht="75">
      <c r="A466" s="6" t="s">
        <v>6715</v>
      </c>
      <c r="B466" s="6" t="s">
        <v>6784</v>
      </c>
      <c r="C466" s="6" t="s">
        <v>6785</v>
      </c>
      <c r="D466" s="6" t="s">
        <v>505</v>
      </c>
      <c r="E466" s="6" t="s">
        <v>506</v>
      </c>
      <c r="F466" s="6" t="s">
        <v>13</v>
      </c>
      <c r="G466" s="6"/>
      <c r="H466" s="6"/>
      <c r="I466" s="6" t="s">
        <v>319</v>
      </c>
      <c r="J466" s="6"/>
      <c r="K466" s="6"/>
      <c r="L466" s="6" t="s">
        <v>507</v>
      </c>
      <c r="M466" s="6"/>
      <c r="N466" s="6" t="s">
        <v>508</v>
      </c>
      <c r="O466" s="6" t="str">
        <f>HYPERLINK("https://ceds.ed.gov/cedselementdetails.aspx?termid=6136")</f>
        <v>https://ceds.ed.gov/cedselementdetails.aspx?termid=6136</v>
      </c>
      <c r="P466" s="6" t="str">
        <f>HYPERLINK("https://ceds.ed.gov/elementComment.aspx?elementName=Assessment Form Accommodation List &amp;elementID=6136", "Click here to submit comment")</f>
        <v>Click here to submit comment</v>
      </c>
    </row>
    <row r="467" spans="1:16" ht="45">
      <c r="A467" s="6" t="s">
        <v>6715</v>
      </c>
      <c r="B467" s="6" t="s">
        <v>6784</v>
      </c>
      <c r="C467" s="6" t="s">
        <v>6785</v>
      </c>
      <c r="D467" s="6" t="s">
        <v>3739</v>
      </c>
      <c r="E467" s="6" t="s">
        <v>3740</v>
      </c>
      <c r="F467" s="6" t="s">
        <v>13</v>
      </c>
      <c r="G467" s="6" t="s">
        <v>493</v>
      </c>
      <c r="H467" s="6"/>
      <c r="I467" s="6" t="s">
        <v>93</v>
      </c>
      <c r="J467" s="6"/>
      <c r="K467" s="6"/>
      <c r="L467" s="6" t="s">
        <v>3741</v>
      </c>
      <c r="M467" s="6"/>
      <c r="N467" s="6" t="s">
        <v>3742</v>
      </c>
      <c r="O467" s="6" t="str">
        <f>HYPERLINK("https://ceds.ed.gov/cedselementdetails.aspx?termid=5670")</f>
        <v>https://ceds.ed.gov/cedselementdetails.aspx?termid=5670</v>
      </c>
      <c r="P467" s="6" t="str">
        <f>HYPERLINK("https://ceds.ed.gov/elementComment.aspx?elementName=Learning Standard Document Identifier URI &amp;elementID=5670", "Click here to submit comment")</f>
        <v>Click here to submit comment</v>
      </c>
    </row>
    <row r="468" spans="1:16" ht="30">
      <c r="A468" s="6" t="s">
        <v>6715</v>
      </c>
      <c r="B468" s="6" t="s">
        <v>6784</v>
      </c>
      <c r="C468" s="6" t="s">
        <v>6785</v>
      </c>
      <c r="D468" s="6" t="s">
        <v>3775</v>
      </c>
      <c r="E468" s="6" t="s">
        <v>3776</v>
      </c>
      <c r="F468" s="6" t="s">
        <v>13</v>
      </c>
      <c r="G468" s="6" t="s">
        <v>493</v>
      </c>
      <c r="H468" s="6"/>
      <c r="I468" s="6" t="s">
        <v>1440</v>
      </c>
      <c r="J468" s="6"/>
      <c r="K468" s="6"/>
      <c r="L468" s="6" t="s">
        <v>3777</v>
      </c>
      <c r="M468" s="6"/>
      <c r="N468" s="6" t="s">
        <v>3778</v>
      </c>
      <c r="O468" s="6" t="str">
        <f>HYPERLINK("https://ceds.ed.gov/cedselementdetails.aspx?termid=5671")</f>
        <v>https://ceds.ed.gov/cedselementdetails.aspx?termid=5671</v>
      </c>
      <c r="P468" s="6" t="str">
        <f>HYPERLINK("https://ceds.ed.gov/elementComment.aspx?elementName=Learning Standard Document Title &amp;elementID=5671", "Click here to submit comment")</f>
        <v>Click here to submit comment</v>
      </c>
    </row>
    <row r="469" spans="1:16" ht="30">
      <c r="A469" s="6" t="s">
        <v>6715</v>
      </c>
      <c r="B469" s="6" t="s">
        <v>6784</v>
      </c>
      <c r="C469" s="6" t="s">
        <v>6785</v>
      </c>
      <c r="D469" s="6" t="s">
        <v>3787</v>
      </c>
      <c r="E469" s="6" t="s">
        <v>3788</v>
      </c>
      <c r="F469" s="6" t="s">
        <v>13</v>
      </c>
      <c r="G469" s="6" t="s">
        <v>493</v>
      </c>
      <c r="H469" s="6"/>
      <c r="I469" s="6" t="s">
        <v>100</v>
      </c>
      <c r="J469" s="6"/>
      <c r="K469" s="6"/>
      <c r="L469" s="6" t="s">
        <v>3789</v>
      </c>
      <c r="M469" s="6"/>
      <c r="N469" s="6" t="s">
        <v>3790</v>
      </c>
      <c r="O469" s="6" t="str">
        <f>HYPERLINK("https://ceds.ed.gov/cedselementdetails.aspx?termid=5672")</f>
        <v>https://ceds.ed.gov/cedselementdetails.aspx?termid=5672</v>
      </c>
      <c r="P469" s="6" t="str">
        <f>HYPERLINK("https://ceds.ed.gov/elementComment.aspx?elementName=Learning Standard Document Version &amp;elementID=5672", "Click here to submit comment")</f>
        <v>Click here to submit comment</v>
      </c>
    </row>
    <row r="470" spans="1:16" ht="45">
      <c r="A470" s="6" t="s">
        <v>6715</v>
      </c>
      <c r="B470" s="6" t="s">
        <v>6784</v>
      </c>
      <c r="C470" s="6" t="s">
        <v>6785</v>
      </c>
      <c r="D470" s="6" t="s">
        <v>3731</v>
      </c>
      <c r="E470" s="6" t="s">
        <v>3732</v>
      </c>
      <c r="F470" s="6" t="s">
        <v>13</v>
      </c>
      <c r="G470" s="6"/>
      <c r="H470" s="6"/>
      <c r="I470" s="6" t="s">
        <v>1440</v>
      </c>
      <c r="J470" s="6"/>
      <c r="K470" s="6"/>
      <c r="L470" s="6" t="s">
        <v>3733</v>
      </c>
      <c r="M470" s="6"/>
      <c r="N470" s="6" t="s">
        <v>3734</v>
      </c>
      <c r="O470" s="6" t="str">
        <f>HYPERLINK("https://ceds.ed.gov/cedselementdetails.aspx?termid=5673")</f>
        <v>https://ceds.ed.gov/cedselementdetails.aspx?termid=5673</v>
      </c>
      <c r="P470" s="6" t="str">
        <f>HYPERLINK("https://ceds.ed.gov/elementComment.aspx?elementName=Learning Standard Document Creator &amp;elementID=5673", "Click here to submit comment")</f>
        <v>Click here to submit comment</v>
      </c>
    </row>
    <row r="471" spans="1:16" ht="45">
      <c r="A471" s="6" t="s">
        <v>6715</v>
      </c>
      <c r="B471" s="6" t="s">
        <v>6784</v>
      </c>
      <c r="C471" s="6" t="s">
        <v>6785</v>
      </c>
      <c r="D471" s="6" t="s">
        <v>3735</v>
      </c>
      <c r="E471" s="6" t="s">
        <v>3736</v>
      </c>
      <c r="F471" s="6" t="s">
        <v>13</v>
      </c>
      <c r="G471" s="6"/>
      <c r="H471" s="6"/>
      <c r="I471" s="6" t="s">
        <v>93</v>
      </c>
      <c r="J471" s="6"/>
      <c r="K471" s="6"/>
      <c r="L471" s="6" t="s">
        <v>3737</v>
      </c>
      <c r="M471" s="6"/>
      <c r="N471" s="6" t="s">
        <v>3738</v>
      </c>
      <c r="O471" s="6" t="str">
        <f>HYPERLINK("https://ceds.ed.gov/cedselementdetails.aspx?termid=5674")</f>
        <v>https://ceds.ed.gov/cedselementdetails.aspx?termid=5674</v>
      </c>
      <c r="P471" s="6" t="str">
        <f>HYPERLINK("https://ceds.ed.gov/elementComment.aspx?elementName=Learning Standard Document Description &amp;elementID=5674", "Click here to submit comment")</f>
        <v>Click here to submit comment</v>
      </c>
    </row>
    <row r="472" spans="1:16" ht="90">
      <c r="A472" s="6" t="s">
        <v>6715</v>
      </c>
      <c r="B472" s="6" t="s">
        <v>6784</v>
      </c>
      <c r="C472" s="6" t="s">
        <v>6785</v>
      </c>
      <c r="D472" s="6" t="s">
        <v>3755</v>
      </c>
      <c r="E472" s="6" t="s">
        <v>3756</v>
      </c>
      <c r="F472" s="6" t="s">
        <v>6242</v>
      </c>
      <c r="G472" s="6"/>
      <c r="H472" s="6"/>
      <c r="I472" s="6"/>
      <c r="J472" s="6"/>
      <c r="K472" s="6"/>
      <c r="L472" s="6" t="s">
        <v>3757</v>
      </c>
      <c r="M472" s="6"/>
      <c r="N472" s="6" t="s">
        <v>3758</v>
      </c>
      <c r="O472" s="6" t="str">
        <f>HYPERLINK("https://ceds.ed.gov/cedselementdetails.aspx?termid=5675")</f>
        <v>https://ceds.ed.gov/cedselementdetails.aspx?termid=5675</v>
      </c>
      <c r="P472" s="6" t="str">
        <f>HYPERLINK("https://ceds.ed.gov/elementComment.aspx?elementName=Learning Standard Document Publication Status &amp;elementID=5675", "Click here to submit comment")</f>
        <v>Click here to submit comment</v>
      </c>
    </row>
    <row r="473" spans="1:16" ht="60">
      <c r="A473" s="6" t="s">
        <v>6715</v>
      </c>
      <c r="B473" s="6" t="s">
        <v>6784</v>
      </c>
      <c r="C473" s="6" t="s">
        <v>6785</v>
      </c>
      <c r="D473" s="6" t="s">
        <v>3743</v>
      </c>
      <c r="E473" s="6" t="s">
        <v>3744</v>
      </c>
      <c r="F473" s="6" t="s">
        <v>13</v>
      </c>
      <c r="G473" s="6"/>
      <c r="H473" s="6"/>
      <c r="I473" s="6" t="s">
        <v>1440</v>
      </c>
      <c r="J473" s="6"/>
      <c r="K473" s="6"/>
      <c r="L473" s="6" t="s">
        <v>3745</v>
      </c>
      <c r="M473" s="6"/>
      <c r="N473" s="6" t="s">
        <v>3746</v>
      </c>
      <c r="O473" s="6" t="str">
        <f>HYPERLINK("https://ceds.ed.gov/cedselementdetails.aspx?termid=5676")</f>
        <v>https://ceds.ed.gov/cedselementdetails.aspx?termid=5676</v>
      </c>
      <c r="P473" s="6" t="str">
        <f>HYPERLINK("https://ceds.ed.gov/elementComment.aspx?elementName=Learning Standard Document Jurisdiction &amp;elementID=5676", "Click here to submit comment")</f>
        <v>Click here to submit comment</v>
      </c>
    </row>
    <row r="474" spans="1:16" ht="60">
      <c r="A474" s="6" t="s">
        <v>6715</v>
      </c>
      <c r="B474" s="6" t="s">
        <v>6784</v>
      </c>
      <c r="C474" s="6" t="s">
        <v>6785</v>
      </c>
      <c r="D474" s="6" t="s">
        <v>3783</v>
      </c>
      <c r="E474" s="6" t="s">
        <v>3784</v>
      </c>
      <c r="F474" s="6" t="s">
        <v>13</v>
      </c>
      <c r="G474" s="6"/>
      <c r="H474" s="6"/>
      <c r="I474" s="6" t="s">
        <v>73</v>
      </c>
      <c r="J474" s="6"/>
      <c r="K474" s="6"/>
      <c r="L474" s="6" t="s">
        <v>3785</v>
      </c>
      <c r="M474" s="6"/>
      <c r="N474" s="6" t="s">
        <v>3786</v>
      </c>
      <c r="O474" s="6" t="str">
        <f>HYPERLINK("https://ceds.ed.gov/cedselementdetails.aspx?termid=5677")</f>
        <v>https://ceds.ed.gov/cedselementdetails.aspx?termid=5677</v>
      </c>
      <c r="P474" s="6" t="str">
        <f>HYPERLINK("https://ceds.ed.gov/elementComment.aspx?elementName=Learning Standard Document Valid Start Date &amp;elementID=5677", "Click here to submit comment")</f>
        <v>Click here to submit comment</v>
      </c>
    </row>
    <row r="475" spans="1:16" ht="60">
      <c r="A475" s="6" t="s">
        <v>6715</v>
      </c>
      <c r="B475" s="6" t="s">
        <v>6784</v>
      </c>
      <c r="C475" s="6" t="s">
        <v>6785</v>
      </c>
      <c r="D475" s="6" t="s">
        <v>3779</v>
      </c>
      <c r="E475" s="6" t="s">
        <v>3780</v>
      </c>
      <c r="F475" s="6" t="s">
        <v>13</v>
      </c>
      <c r="G475" s="6"/>
      <c r="H475" s="6"/>
      <c r="I475" s="6" t="s">
        <v>73</v>
      </c>
      <c r="J475" s="6"/>
      <c r="K475" s="6"/>
      <c r="L475" s="6" t="s">
        <v>3781</v>
      </c>
      <c r="M475" s="6"/>
      <c r="N475" s="6" t="s">
        <v>3782</v>
      </c>
      <c r="O475" s="6" t="str">
        <f>HYPERLINK("https://ceds.ed.gov/cedselementdetails.aspx?termid=5678")</f>
        <v>https://ceds.ed.gov/cedselementdetails.aspx?termid=5678</v>
      </c>
      <c r="P475" s="6" t="str">
        <f>HYPERLINK("https://ceds.ed.gov/elementComment.aspx?elementName=Learning Standard Document Valid End Date &amp;elementID=5678", "Click here to submit comment")</f>
        <v>Click here to submit comment</v>
      </c>
    </row>
    <row r="476" spans="1:16" ht="30">
      <c r="A476" s="6" t="s">
        <v>6715</v>
      </c>
      <c r="B476" s="6" t="s">
        <v>6784</v>
      </c>
      <c r="C476" s="6" t="s">
        <v>6785</v>
      </c>
      <c r="D476" s="6" t="s">
        <v>3771</v>
      </c>
      <c r="E476" s="6" t="s">
        <v>3772</v>
      </c>
      <c r="F476" s="6" t="s">
        <v>13</v>
      </c>
      <c r="G476" s="6" t="s">
        <v>493</v>
      </c>
      <c r="H476" s="6"/>
      <c r="I476" s="6" t="s">
        <v>100</v>
      </c>
      <c r="J476" s="6"/>
      <c r="K476" s="6"/>
      <c r="L476" s="6" t="s">
        <v>3773</v>
      </c>
      <c r="M476" s="6"/>
      <c r="N476" s="6" t="s">
        <v>3774</v>
      </c>
      <c r="O476" s="6" t="str">
        <f>HYPERLINK("https://ceds.ed.gov/cedselementdetails.aspx?termid=5679")</f>
        <v>https://ceds.ed.gov/cedselementdetails.aspx?termid=5679</v>
      </c>
      <c r="P476" s="6" t="str">
        <f>HYPERLINK("https://ceds.ed.gov/elementComment.aspx?elementName=Learning Standard Document Subject &amp;elementID=5679", "Click here to submit comment")</f>
        <v>Click here to submit comment</v>
      </c>
    </row>
    <row r="477" spans="1:16" ht="120">
      <c r="A477" s="6" t="s">
        <v>6715</v>
      </c>
      <c r="B477" s="6" t="s">
        <v>6784</v>
      </c>
      <c r="C477" s="6" t="s">
        <v>6785</v>
      </c>
      <c r="D477" s="6" t="s">
        <v>3856</v>
      </c>
      <c r="E477" s="6" t="s">
        <v>3857</v>
      </c>
      <c r="F477" s="6" t="s">
        <v>13</v>
      </c>
      <c r="G477" s="6" t="s">
        <v>493</v>
      </c>
      <c r="H477" s="6"/>
      <c r="I477" s="6" t="s">
        <v>3858</v>
      </c>
      <c r="J477" s="6"/>
      <c r="K477" s="6"/>
      <c r="L477" s="6" t="s">
        <v>3859</v>
      </c>
      <c r="M477" s="6" t="s">
        <v>3860</v>
      </c>
      <c r="N477" s="6" t="s">
        <v>3861</v>
      </c>
      <c r="O477" s="6" t="str">
        <f>HYPERLINK("https://ceds.ed.gov/cedselementdetails.aspx?termid=5666")</f>
        <v>https://ceds.ed.gov/cedselementdetails.aspx?termid=5666</v>
      </c>
      <c r="P477" s="6" t="str">
        <f>HYPERLINK("https://ceds.ed.gov/elementComment.aspx?elementName=Learning Standard Item Identifier &amp;elementID=5666", "Click here to submit comment")</f>
        <v>Click here to submit comment</v>
      </c>
    </row>
    <row r="478" spans="1:16" ht="240">
      <c r="A478" s="6" t="s">
        <v>6715</v>
      </c>
      <c r="B478" s="6" t="s">
        <v>6784</v>
      </c>
      <c r="C478" s="6" t="s">
        <v>6785</v>
      </c>
      <c r="D478" s="6" t="s">
        <v>3904</v>
      </c>
      <c r="E478" s="6" t="s">
        <v>3905</v>
      </c>
      <c r="F478" s="6" t="s">
        <v>13</v>
      </c>
      <c r="G478" s="6"/>
      <c r="H478" s="6" t="s">
        <v>54</v>
      </c>
      <c r="I478" s="6" t="s">
        <v>3906</v>
      </c>
      <c r="J478" s="6"/>
      <c r="K478" s="6" t="s">
        <v>3848</v>
      </c>
      <c r="L478" s="6" t="s">
        <v>3907</v>
      </c>
      <c r="M478" s="6"/>
      <c r="N478" s="6" t="s">
        <v>3908</v>
      </c>
      <c r="O478" s="6" t="str">
        <f>HYPERLINK("https://ceds.ed.gov/cedselementdetails.aspx?termid=6498")</f>
        <v>https://ceds.ed.gov/cedselementdetails.aspx?termid=6498</v>
      </c>
      <c r="P478" s="6" t="str">
        <f>HYPERLINK("https://ceds.ed.gov/elementComment.aspx?elementName=Learning Standard Item Previous Version Identifier &amp;elementID=6498", "Click here to submit comment")</f>
        <v>Click here to submit comment</v>
      </c>
    </row>
    <row r="479" spans="1:16" ht="90">
      <c r="A479" s="6" t="s">
        <v>6715</v>
      </c>
      <c r="B479" s="6" t="s">
        <v>6784</v>
      </c>
      <c r="C479" s="6" t="s">
        <v>6785</v>
      </c>
      <c r="D479" s="6" t="s">
        <v>3832</v>
      </c>
      <c r="E479" s="6" t="s">
        <v>3833</v>
      </c>
      <c r="F479" s="6" t="s">
        <v>13</v>
      </c>
      <c r="G479" s="6"/>
      <c r="H479" s="6"/>
      <c r="I479" s="6" t="s">
        <v>100</v>
      </c>
      <c r="J479" s="6"/>
      <c r="K479" s="6" t="s">
        <v>3834</v>
      </c>
      <c r="L479" s="6" t="s">
        <v>3835</v>
      </c>
      <c r="M479" s="6" t="s">
        <v>3836</v>
      </c>
      <c r="N479" s="6" t="s">
        <v>3837</v>
      </c>
      <c r="O479" s="6" t="str">
        <f>HYPERLINK("https://ceds.ed.gov/cedselementdetails.aspx?termid=5669")</f>
        <v>https://ceds.ed.gov/cedselementdetails.aspx?termid=5669</v>
      </c>
      <c r="P479" s="6" t="str">
        <f>HYPERLINK("https://ceds.ed.gov/elementComment.aspx?elementName=Learning Standard Item Code &amp;elementID=5669", "Click here to submit comment")</f>
        <v>Click here to submit comment</v>
      </c>
    </row>
    <row r="480" spans="1:16" ht="150">
      <c r="A480" s="6" t="s">
        <v>6715</v>
      </c>
      <c r="B480" s="6" t="s">
        <v>6784</v>
      </c>
      <c r="C480" s="6" t="s">
        <v>6785</v>
      </c>
      <c r="D480" s="6" t="s">
        <v>3899</v>
      </c>
      <c r="E480" s="6" t="s">
        <v>3900</v>
      </c>
      <c r="F480" s="6" t="s">
        <v>13</v>
      </c>
      <c r="G480" s="6" t="s">
        <v>493</v>
      </c>
      <c r="H480" s="6"/>
      <c r="I480" s="6" t="s">
        <v>3858</v>
      </c>
      <c r="J480" s="6"/>
      <c r="K480" s="6" t="s">
        <v>3901</v>
      </c>
      <c r="L480" s="6" t="s">
        <v>3902</v>
      </c>
      <c r="M480" s="6"/>
      <c r="N480" s="6" t="s">
        <v>3903</v>
      </c>
      <c r="O480" s="6" t="str">
        <f>HYPERLINK("https://ceds.ed.gov/cedselementdetails.aspx?termid=5691")</f>
        <v>https://ceds.ed.gov/cedselementdetails.aspx?termid=5691</v>
      </c>
      <c r="P480" s="6" t="str">
        <f>HYPERLINK("https://ceds.ed.gov/elementComment.aspx?elementName=Learning Standard Item Prerequisite Identifier &amp;elementID=5691", "Click here to submit comment")</f>
        <v>Click here to submit comment</v>
      </c>
    </row>
    <row r="481" spans="1:16" ht="225">
      <c r="A481" s="6" t="s">
        <v>6715</v>
      </c>
      <c r="B481" s="6" t="s">
        <v>6784</v>
      </c>
      <c r="C481" s="6" t="s">
        <v>6785</v>
      </c>
      <c r="D481" s="6" t="s">
        <v>3909</v>
      </c>
      <c r="E481" s="6" t="s">
        <v>3910</v>
      </c>
      <c r="F481" s="6" t="s">
        <v>13</v>
      </c>
      <c r="G481" s="6" t="s">
        <v>493</v>
      </c>
      <c r="H481" s="6"/>
      <c r="I481" s="6" t="s">
        <v>319</v>
      </c>
      <c r="J481" s="6"/>
      <c r="K481" s="6" t="s">
        <v>3911</v>
      </c>
      <c r="L481" s="6" t="s">
        <v>3912</v>
      </c>
      <c r="M481" s="6" t="s">
        <v>3913</v>
      </c>
      <c r="N481" s="6" t="s">
        <v>3914</v>
      </c>
      <c r="O481" s="6" t="str">
        <f>HYPERLINK("https://ceds.ed.gov/cedselementdetails.aspx?termid=5667")</f>
        <v>https://ceds.ed.gov/cedselementdetails.aspx?termid=5667</v>
      </c>
      <c r="P481" s="6" t="str">
        <f>HYPERLINK("https://ceds.ed.gov/elementComment.aspx?elementName=Learning Standard Item Statement &amp;elementID=5667", "Click here to submit comment")</f>
        <v>Click here to submit comment</v>
      </c>
    </row>
    <row r="482" spans="1:16" ht="75">
      <c r="A482" s="6" t="s">
        <v>6715</v>
      </c>
      <c r="B482" s="6" t="s">
        <v>6784</v>
      </c>
      <c r="C482" s="6" t="s">
        <v>6785</v>
      </c>
      <c r="D482" s="6" t="s">
        <v>3931</v>
      </c>
      <c r="E482" s="6" t="s">
        <v>3932</v>
      </c>
      <c r="F482" s="6" t="s">
        <v>13</v>
      </c>
      <c r="G482" s="6" t="s">
        <v>493</v>
      </c>
      <c r="H482" s="6"/>
      <c r="I482" s="6" t="s">
        <v>106</v>
      </c>
      <c r="J482" s="6"/>
      <c r="K482" s="6"/>
      <c r="L482" s="6" t="s">
        <v>3933</v>
      </c>
      <c r="M482" s="6" t="s">
        <v>3934</v>
      </c>
      <c r="N482" s="6" t="s">
        <v>3935</v>
      </c>
      <c r="O482" s="6" t="str">
        <f>HYPERLINK("https://ceds.ed.gov/cedselementdetails.aspx?termid=5668")</f>
        <v>https://ceds.ed.gov/cedselementdetails.aspx?termid=5668</v>
      </c>
      <c r="P482" s="6" t="str">
        <f>HYPERLINK("https://ceds.ed.gov/elementComment.aspx?elementName=Learning Standard Item Type &amp;elementID=5668", "Click here to submit comment")</f>
        <v>Click here to submit comment</v>
      </c>
    </row>
    <row r="483" spans="1:16" ht="75">
      <c r="A483" s="6" t="s">
        <v>6715</v>
      </c>
      <c r="B483" s="6" t="s">
        <v>6784</v>
      </c>
      <c r="C483" s="6" t="s">
        <v>6785</v>
      </c>
      <c r="D483" s="6" t="s">
        <v>1238</v>
      </c>
      <c r="E483" s="6" t="s">
        <v>1239</v>
      </c>
      <c r="F483" s="6" t="s">
        <v>13</v>
      </c>
      <c r="G483" s="6" t="s">
        <v>5992</v>
      </c>
      <c r="H483" s="6"/>
      <c r="I483" s="6" t="s">
        <v>1240</v>
      </c>
      <c r="J483" s="6"/>
      <c r="K483" s="6"/>
      <c r="L483" s="6" t="s">
        <v>1241</v>
      </c>
      <c r="M483" s="6"/>
      <c r="N483" s="6" t="s">
        <v>1242</v>
      </c>
      <c r="O483" s="6" t="str">
        <f>HYPERLINK("https://ceds.ed.gov/cedselementdetails.aspx?termid=5400")</f>
        <v>https://ceds.ed.gov/cedselementdetails.aspx?termid=5400</v>
      </c>
      <c r="P483" s="6" t="str">
        <f>HYPERLINK("https://ceds.ed.gov/elementComment.aspx?elementName=Assessment Session Administrator Identifier &amp;elementID=5400", "Click here to submit comment")</f>
        <v>Click here to submit comment</v>
      </c>
    </row>
    <row r="484" spans="1:16" ht="45">
      <c r="A484" s="6" t="s">
        <v>6715</v>
      </c>
      <c r="B484" s="6" t="s">
        <v>6784</v>
      </c>
      <c r="C484" s="6" t="s">
        <v>6785</v>
      </c>
      <c r="D484" s="6" t="s">
        <v>1252</v>
      </c>
      <c r="E484" s="6" t="s">
        <v>1253</v>
      </c>
      <c r="F484" s="6" t="s">
        <v>13</v>
      </c>
      <c r="G484" s="6" t="s">
        <v>5992</v>
      </c>
      <c r="H484" s="6"/>
      <c r="I484" s="6" t="s">
        <v>1240</v>
      </c>
      <c r="J484" s="6"/>
      <c r="K484" s="6" t="s">
        <v>1254</v>
      </c>
      <c r="L484" s="6" t="s">
        <v>1255</v>
      </c>
      <c r="M484" s="6"/>
      <c r="N484" s="6" t="s">
        <v>1256</v>
      </c>
      <c r="O484" s="6" t="str">
        <f>HYPERLINK("https://ceds.ed.gov/cedselementdetails.aspx?termid=5401")</f>
        <v>https://ceds.ed.gov/cedselementdetails.aspx?termid=5401</v>
      </c>
      <c r="P484" s="6" t="str">
        <f>HYPERLINK("https://ceds.ed.gov/elementComment.aspx?elementName=Assessment Session Proctor Identifier &amp;elementID=5401", "Click here to submit comment")</f>
        <v>Click here to submit comment</v>
      </c>
    </row>
    <row r="485" spans="1:16" ht="45">
      <c r="A485" s="6" t="s">
        <v>6715</v>
      </c>
      <c r="B485" s="6" t="s">
        <v>6784</v>
      </c>
      <c r="C485" s="6" t="s">
        <v>6785</v>
      </c>
      <c r="D485" s="6" t="s">
        <v>937</v>
      </c>
      <c r="E485" s="6" t="s">
        <v>938</v>
      </c>
      <c r="F485" s="5" t="s">
        <v>939</v>
      </c>
      <c r="G485" s="6"/>
      <c r="H485" s="6"/>
      <c r="I485" s="6"/>
      <c r="J485" s="6"/>
      <c r="K485" s="6"/>
      <c r="L485" s="6" t="s">
        <v>940</v>
      </c>
      <c r="M485" s="6"/>
      <c r="N485" s="6" t="s">
        <v>941</v>
      </c>
      <c r="O485" s="6" t="str">
        <f>HYPERLINK("https://ceds.ed.gov/cedselementdetails.aspx?termid=6073")</f>
        <v>https://ceds.ed.gov/cedselementdetails.aspx?termid=6073</v>
      </c>
      <c r="P485" s="6" t="str">
        <f>HYPERLINK("https://ceds.ed.gov/elementComment.aspx?elementName=Assessment Language &amp;elementID=6073", "Click here to submit comment")</f>
        <v>Click here to submit comment</v>
      </c>
    </row>
    <row r="486" spans="1:16" ht="45">
      <c r="A486" s="6" t="s">
        <v>6715</v>
      </c>
      <c r="B486" s="6" t="s">
        <v>6784</v>
      </c>
      <c r="C486" s="6" t="s">
        <v>6785</v>
      </c>
      <c r="D486" s="6" t="s">
        <v>1247</v>
      </c>
      <c r="E486" s="6" t="s">
        <v>1248</v>
      </c>
      <c r="F486" s="6" t="s">
        <v>13</v>
      </c>
      <c r="G486" s="6" t="s">
        <v>5992</v>
      </c>
      <c r="H486" s="6"/>
      <c r="I486" s="6" t="s">
        <v>1249</v>
      </c>
      <c r="J486" s="6"/>
      <c r="K486" s="6"/>
      <c r="L486" s="6" t="s">
        <v>1250</v>
      </c>
      <c r="M486" s="6"/>
      <c r="N486" s="6" t="s">
        <v>1251</v>
      </c>
      <c r="O486" s="6" t="str">
        <f>HYPERLINK("https://ceds.ed.gov/cedselementdetails.aspx?termid=5590")</f>
        <v>https://ceds.ed.gov/cedselementdetails.aspx?termid=5590</v>
      </c>
      <c r="P486" s="6" t="str">
        <f>HYPERLINK("https://ceds.ed.gov/elementComment.aspx?elementName=Assessment Session Location &amp;elementID=5590", "Click here to submit comment")</f>
        <v>Click here to submit comment</v>
      </c>
    </row>
    <row r="487" spans="1:16" ht="45">
      <c r="A487" s="6" t="s">
        <v>6715</v>
      </c>
      <c r="B487" s="6" t="s">
        <v>6784</v>
      </c>
      <c r="C487" s="6" t="s">
        <v>6785</v>
      </c>
      <c r="D487" s="6" t="s">
        <v>522</v>
      </c>
      <c r="E487" s="6" t="s">
        <v>523</v>
      </c>
      <c r="F487" s="6" t="s">
        <v>13</v>
      </c>
      <c r="G487" s="6"/>
      <c r="H487" s="6"/>
      <c r="I487" s="6" t="s">
        <v>319</v>
      </c>
      <c r="J487" s="6"/>
      <c r="K487" s="6"/>
      <c r="L487" s="6" t="s">
        <v>524</v>
      </c>
      <c r="M487" s="6"/>
      <c r="N487" s="6" t="s">
        <v>525</v>
      </c>
      <c r="O487" s="6" t="str">
        <f>HYPERLINK("https://ceds.ed.gov/cedselementdetails.aspx?termid=6139")</f>
        <v>https://ceds.ed.gov/cedselementdetails.aspx?termid=6139</v>
      </c>
      <c r="P487" s="6" t="str">
        <f>HYPERLINK("https://ceds.ed.gov/elementComment.aspx?elementName=Assessment Form Platforms Supported &amp;elementID=6139", "Click here to submit comment")</f>
        <v>Click here to submit comment</v>
      </c>
    </row>
    <row r="488" spans="1:16" ht="45">
      <c r="A488" s="6" t="s">
        <v>6715</v>
      </c>
      <c r="B488" s="6" t="s">
        <v>6784</v>
      </c>
      <c r="C488" s="6" t="s">
        <v>6785</v>
      </c>
      <c r="D488" s="6" t="s">
        <v>441</v>
      </c>
      <c r="E488" s="6" t="s">
        <v>442</v>
      </c>
      <c r="F488" s="6" t="s">
        <v>13</v>
      </c>
      <c r="G488" s="6"/>
      <c r="H488" s="6"/>
      <c r="I488" s="6" t="s">
        <v>426</v>
      </c>
      <c r="J488" s="6"/>
      <c r="K488" s="6"/>
      <c r="L488" s="6" t="s">
        <v>443</v>
      </c>
      <c r="M488" s="6"/>
      <c r="N488" s="6" t="s">
        <v>444</v>
      </c>
      <c r="O488" s="6" t="str">
        <f>HYPERLINK("https://ceds.ed.gov/cedselementdetails.aspx?termid=5964")</f>
        <v>https://ceds.ed.gov/cedselementdetails.aspx?termid=5964</v>
      </c>
      <c r="P488" s="6" t="str">
        <f>HYPERLINK("https://ceds.ed.gov/elementComment.aspx?elementName=Assessment Administration Start Time &amp;elementID=5964", "Click here to submit comment")</f>
        <v>Click here to submit comment</v>
      </c>
    </row>
    <row r="489" spans="1:16" ht="45">
      <c r="A489" s="6" t="s">
        <v>6715</v>
      </c>
      <c r="B489" s="6" t="s">
        <v>6784</v>
      </c>
      <c r="C489" s="6" t="s">
        <v>6785</v>
      </c>
      <c r="D489" s="6" t="s">
        <v>424</v>
      </c>
      <c r="E489" s="6" t="s">
        <v>425</v>
      </c>
      <c r="F489" s="6" t="s">
        <v>13</v>
      </c>
      <c r="G489" s="6"/>
      <c r="H489" s="6"/>
      <c r="I489" s="6" t="s">
        <v>426</v>
      </c>
      <c r="J489" s="6"/>
      <c r="K489" s="6"/>
      <c r="L489" s="6" t="s">
        <v>427</v>
      </c>
      <c r="M489" s="6"/>
      <c r="N489" s="6" t="s">
        <v>428</v>
      </c>
      <c r="O489" s="6" t="str">
        <f>HYPERLINK("https://ceds.ed.gov/cedselementdetails.aspx?termid=5966")</f>
        <v>https://ceds.ed.gov/cedselementdetails.aspx?termid=5966</v>
      </c>
      <c r="P489" s="6" t="str">
        <f>HYPERLINK("https://ceds.ed.gov/elementComment.aspx?elementName=Assessment Administration Finish Time &amp;elementID=5966", "Click here to submit comment")</f>
        <v>Click here to submit comment</v>
      </c>
    </row>
    <row r="490" spans="1:16" ht="45">
      <c r="A490" s="6" t="s">
        <v>6715</v>
      </c>
      <c r="B490" s="6" t="s">
        <v>6784</v>
      </c>
      <c r="C490" s="6" t="s">
        <v>6785</v>
      </c>
      <c r="D490" s="6" t="s">
        <v>1261</v>
      </c>
      <c r="E490" s="6" t="s">
        <v>1262</v>
      </c>
      <c r="F490" s="6" t="s">
        <v>13</v>
      </c>
      <c r="G490" s="6"/>
      <c r="H490" s="6"/>
      <c r="I490" s="6" t="s">
        <v>1168</v>
      </c>
      <c r="J490" s="6"/>
      <c r="K490" s="6"/>
      <c r="L490" s="6" t="s">
        <v>1263</v>
      </c>
      <c r="M490" s="6"/>
      <c r="N490" s="6" t="s">
        <v>1264</v>
      </c>
      <c r="O490" s="6" t="str">
        <f>HYPERLINK("https://ceds.ed.gov/cedselementdetails.aspx?termid=6021")</f>
        <v>https://ceds.ed.gov/cedselementdetails.aspx?termid=6021</v>
      </c>
      <c r="P490" s="6" t="str">
        <f>HYPERLINK("https://ceds.ed.gov/elementComment.aspx?elementName=Assessment Session Scheduled Start Date Time &amp;elementID=6021", "Click here to submit comment")</f>
        <v>Click here to submit comment</v>
      </c>
    </row>
    <row r="491" spans="1:16" ht="45">
      <c r="A491" s="6" t="s">
        <v>6715</v>
      </c>
      <c r="B491" s="6" t="s">
        <v>6784</v>
      </c>
      <c r="C491" s="6" t="s">
        <v>6785</v>
      </c>
      <c r="D491" s="6" t="s">
        <v>1257</v>
      </c>
      <c r="E491" s="6" t="s">
        <v>1258</v>
      </c>
      <c r="F491" s="6" t="s">
        <v>13</v>
      </c>
      <c r="G491" s="6"/>
      <c r="H491" s="6"/>
      <c r="I491" s="6" t="s">
        <v>1168</v>
      </c>
      <c r="J491" s="6"/>
      <c r="K491" s="6"/>
      <c r="L491" s="6" t="s">
        <v>1259</v>
      </c>
      <c r="M491" s="6"/>
      <c r="N491" s="6" t="s">
        <v>1260</v>
      </c>
      <c r="O491" s="6" t="str">
        <f>HYPERLINK("https://ceds.ed.gov/cedselementdetails.aspx?termid=6022")</f>
        <v>https://ceds.ed.gov/cedselementdetails.aspx?termid=6022</v>
      </c>
      <c r="P491" s="6" t="str">
        <f>HYPERLINK("https://ceds.ed.gov/elementComment.aspx?elementName=Assessment Session Scheduled End Date Time &amp;elementID=6022", "Click here to submit comment")</f>
        <v>Click here to submit comment</v>
      </c>
    </row>
    <row r="492" spans="1:16" ht="90">
      <c r="A492" s="6" t="s">
        <v>6715</v>
      </c>
      <c r="B492" s="6" t="s">
        <v>6784</v>
      </c>
      <c r="C492" s="6" t="s">
        <v>6785</v>
      </c>
      <c r="D492" s="6" t="s">
        <v>1233</v>
      </c>
      <c r="E492" s="6" t="s">
        <v>1234</v>
      </c>
      <c r="F492" s="6" t="s">
        <v>13</v>
      </c>
      <c r="G492" s="6"/>
      <c r="H492" s="6"/>
      <c r="I492" s="6" t="s">
        <v>1168</v>
      </c>
      <c r="J492" s="6"/>
      <c r="K492" s="6" t="s">
        <v>1235</v>
      </c>
      <c r="L492" s="6" t="s">
        <v>1236</v>
      </c>
      <c r="M492" s="6"/>
      <c r="N492" s="6" t="s">
        <v>1237</v>
      </c>
      <c r="O492" s="6" t="str">
        <f>HYPERLINK("https://ceds.ed.gov/cedselementdetails.aspx?termid=6023")</f>
        <v>https://ceds.ed.gov/cedselementdetails.aspx?termid=6023</v>
      </c>
      <c r="P492" s="6" t="str">
        <f>HYPERLINK("https://ceds.ed.gov/elementComment.aspx?elementName=Assessment Session Actual Start Date Time &amp;elementID=6023", "Click here to submit comment")</f>
        <v>Click here to submit comment</v>
      </c>
    </row>
    <row r="493" spans="1:16" ht="90">
      <c r="A493" s="6" t="s">
        <v>6715</v>
      </c>
      <c r="B493" s="6" t="s">
        <v>6784</v>
      </c>
      <c r="C493" s="6" t="s">
        <v>6785</v>
      </c>
      <c r="D493" s="6" t="s">
        <v>1228</v>
      </c>
      <c r="E493" s="6" t="s">
        <v>1229</v>
      </c>
      <c r="F493" s="6" t="s">
        <v>13</v>
      </c>
      <c r="G493" s="6"/>
      <c r="H493" s="6"/>
      <c r="I493" s="6" t="s">
        <v>1168</v>
      </c>
      <c r="J493" s="6"/>
      <c r="K493" s="6" t="s">
        <v>1230</v>
      </c>
      <c r="L493" s="6" t="s">
        <v>1231</v>
      </c>
      <c r="M493" s="6"/>
      <c r="N493" s="6" t="s">
        <v>1232</v>
      </c>
      <c r="O493" s="6" t="str">
        <f>HYPERLINK("https://ceds.ed.gov/cedselementdetails.aspx?termid=6024")</f>
        <v>https://ceds.ed.gov/cedselementdetails.aspx?termid=6024</v>
      </c>
      <c r="P493" s="6" t="str">
        <f>HYPERLINK("https://ceds.ed.gov/elementComment.aspx?elementName=Assessment Session Actual End Date Time &amp;elementID=6024", "Click here to submit comment")</f>
        <v>Click here to submit comment</v>
      </c>
    </row>
    <row r="494" spans="1:16" ht="409.5">
      <c r="A494" s="6" t="s">
        <v>6715</v>
      </c>
      <c r="B494" s="6" t="s">
        <v>6784</v>
      </c>
      <c r="C494" s="6" t="s">
        <v>6785</v>
      </c>
      <c r="D494" s="6" t="s">
        <v>1966</v>
      </c>
      <c r="E494" s="6" t="s">
        <v>1967</v>
      </c>
      <c r="F494" s="7" t="s">
        <v>6398</v>
      </c>
      <c r="G494" s="6" t="s">
        <v>6121</v>
      </c>
      <c r="H494" s="6" t="s">
        <v>66</v>
      </c>
      <c r="I494" s="6"/>
      <c r="J494" s="6" t="s">
        <v>1968</v>
      </c>
      <c r="K494" s="6"/>
      <c r="L494" s="6" t="s">
        <v>1969</v>
      </c>
      <c r="M494" s="6"/>
      <c r="N494" s="6" t="s">
        <v>1970</v>
      </c>
      <c r="O494" s="6" t="str">
        <f>HYPERLINK("https://ceds.ed.gov/cedselementdetails.aspx?termid=5027")</f>
        <v>https://ceds.ed.gov/cedselementdetails.aspx?termid=5027</v>
      </c>
      <c r="P494" s="6" t="str">
        <f>HYPERLINK("https://ceds.ed.gov/elementComment.aspx?elementName=Course Section Assessment Reporting Method &amp;elementID=5027", "Click here to submit comment")</f>
        <v>Click here to submit comment</v>
      </c>
    </row>
    <row r="495" spans="1:16" ht="409.5">
      <c r="A495" s="6" t="s">
        <v>6715</v>
      </c>
      <c r="B495" s="6" t="s">
        <v>6784</v>
      </c>
      <c r="C495" s="6" t="s">
        <v>6785</v>
      </c>
      <c r="D495" s="6" t="s">
        <v>1269</v>
      </c>
      <c r="E495" s="6" t="s">
        <v>1270</v>
      </c>
      <c r="F495" s="7" t="s">
        <v>6403</v>
      </c>
      <c r="G495" s="6" t="s">
        <v>5992</v>
      </c>
      <c r="H495" s="6"/>
      <c r="I495" s="6"/>
      <c r="J495" s="6"/>
      <c r="K495" s="6"/>
      <c r="L495" s="6" t="s">
        <v>1271</v>
      </c>
      <c r="M495" s="6"/>
      <c r="N495" s="6" t="s">
        <v>1272</v>
      </c>
      <c r="O495" s="6" t="str">
        <f>HYPERLINK("https://ceds.ed.gov/cedselementdetails.aspx?termid=5380")</f>
        <v>https://ceds.ed.gov/cedselementdetails.aspx?termid=5380</v>
      </c>
      <c r="P495" s="6" t="str">
        <f>HYPERLINK("https://ceds.ed.gov/elementComment.aspx?elementName=Assessment Session Special Circumstance Type &amp;elementID=5380", "Click here to submit comment")</f>
        <v>Click here to submit comment</v>
      </c>
    </row>
    <row r="496" spans="1:16" ht="75">
      <c r="A496" s="6" t="s">
        <v>6715</v>
      </c>
      <c r="B496" s="6" t="s">
        <v>6784</v>
      </c>
      <c r="C496" s="6" t="s">
        <v>6785</v>
      </c>
      <c r="D496" s="6" t="s">
        <v>1182</v>
      </c>
      <c r="E496" s="6" t="s">
        <v>1183</v>
      </c>
      <c r="F496" s="7" t="s">
        <v>6401</v>
      </c>
      <c r="G496" s="6" t="s">
        <v>6051</v>
      </c>
      <c r="H496" s="6"/>
      <c r="I496" s="6"/>
      <c r="J496" s="6"/>
      <c r="K496" s="6"/>
      <c r="L496" s="6" t="s">
        <v>1184</v>
      </c>
      <c r="M496" s="6"/>
      <c r="N496" s="6" t="s">
        <v>1185</v>
      </c>
      <c r="O496" s="6" t="str">
        <f>HYPERLINK("https://ceds.ed.gov/cedselementdetails.aspx?termid=5025")</f>
        <v>https://ceds.ed.gov/cedselementdetails.aspx?termid=5025</v>
      </c>
      <c r="P496" s="6" t="str">
        <f>HYPERLINK("https://ceds.ed.gov/elementComment.aspx?elementName=Assessment Registration Participation Indicator &amp;elementID=5025", "Click here to submit comment")</f>
        <v>Click here to submit comment</v>
      </c>
    </row>
    <row r="497" spans="1:16" ht="240">
      <c r="A497" s="6" t="s">
        <v>6715</v>
      </c>
      <c r="B497" s="6" t="s">
        <v>6784</v>
      </c>
      <c r="C497" s="6" t="s">
        <v>6785</v>
      </c>
      <c r="D497" s="6" t="s">
        <v>3846</v>
      </c>
      <c r="E497" s="6" t="s">
        <v>3847</v>
      </c>
      <c r="F497" s="6" t="s">
        <v>5963</v>
      </c>
      <c r="G497" s="6"/>
      <c r="H497" s="6" t="s">
        <v>54</v>
      </c>
      <c r="I497" s="6"/>
      <c r="J497" s="6"/>
      <c r="K497" s="6" t="s">
        <v>3848</v>
      </c>
      <c r="L497" s="6" t="s">
        <v>3849</v>
      </c>
      <c r="M497" s="6"/>
      <c r="N497" s="6" t="s">
        <v>3850</v>
      </c>
      <c r="O497" s="6" t="str">
        <f>HYPERLINK("https://ceds.ed.gov/cedselementdetails.aspx?termid=6499")</f>
        <v>https://ceds.ed.gov/cedselementdetails.aspx?termid=6499</v>
      </c>
      <c r="P497" s="6" t="str">
        <f>HYPERLINK("https://ceds.ed.gov/elementComment.aspx?elementName=Learning Standard Item Current Version Indicator &amp;elementID=6499", "Click here to submit comment")</f>
        <v>Click here to submit comment</v>
      </c>
    </row>
    <row r="498" spans="1:16" ht="60">
      <c r="A498" s="6" t="s">
        <v>6715</v>
      </c>
      <c r="B498" s="6" t="s">
        <v>6784</v>
      </c>
      <c r="C498" s="6" t="s">
        <v>6785</v>
      </c>
      <c r="D498" s="6" t="s">
        <v>3945</v>
      </c>
      <c r="E498" s="6" t="s">
        <v>3946</v>
      </c>
      <c r="F498" s="6" t="s">
        <v>13</v>
      </c>
      <c r="G498" s="6"/>
      <c r="H498" s="6" t="s">
        <v>54</v>
      </c>
      <c r="I498" s="6" t="s">
        <v>73</v>
      </c>
      <c r="J498" s="6"/>
      <c r="K498" s="6" t="s">
        <v>3947</v>
      </c>
      <c r="L498" s="6" t="s">
        <v>3948</v>
      </c>
      <c r="M498" s="6"/>
      <c r="N498" s="6" t="s">
        <v>3949</v>
      </c>
      <c r="O498" s="6" t="str">
        <f>HYPERLINK("https://ceds.ed.gov/cedselementdetails.aspx?termid=6483")</f>
        <v>https://ceds.ed.gov/cedselementdetails.aspx?termid=6483</v>
      </c>
      <c r="P498" s="6" t="str">
        <f>HYPERLINK("https://ceds.ed.gov/elementComment.aspx?elementName=Learning Standard Item Valid End Date &amp;elementID=6483", "Click here to submit comment")</f>
        <v>Click here to submit comment</v>
      </c>
    </row>
    <row r="499" spans="1:16" ht="45">
      <c r="A499" s="6" t="s">
        <v>6715</v>
      </c>
      <c r="B499" s="6" t="s">
        <v>6784</v>
      </c>
      <c r="C499" s="6" t="s">
        <v>6785</v>
      </c>
      <c r="D499" s="6" t="s">
        <v>3950</v>
      </c>
      <c r="E499" s="6" t="s">
        <v>3951</v>
      </c>
      <c r="F499" s="6" t="s">
        <v>13</v>
      </c>
      <c r="G499" s="6"/>
      <c r="H499" s="6" t="s">
        <v>54</v>
      </c>
      <c r="I499" s="6" t="s">
        <v>73</v>
      </c>
      <c r="J499" s="6"/>
      <c r="K499" s="6"/>
      <c r="L499" s="6" t="s">
        <v>3952</v>
      </c>
      <c r="M499" s="6"/>
      <c r="N499" s="6" t="s">
        <v>3953</v>
      </c>
      <c r="O499" s="6" t="str">
        <f>HYPERLINK("https://ceds.ed.gov/cedselementdetails.aspx?termid=6484")</f>
        <v>https://ceds.ed.gov/cedselementdetails.aspx?termid=6484</v>
      </c>
      <c r="P499" s="6" t="str">
        <f>HYPERLINK("https://ceds.ed.gov/elementComment.aspx?elementName=Learning Standard Item Valid Start Date &amp;elementID=6484", "Click here to submit comment")</f>
        <v>Click here to submit comment</v>
      </c>
    </row>
    <row r="500" spans="1:16" ht="45">
      <c r="A500" s="6" t="s">
        <v>6715</v>
      </c>
      <c r="B500" s="6" t="s">
        <v>6784</v>
      </c>
      <c r="C500" s="6" t="s">
        <v>6786</v>
      </c>
      <c r="D500" s="6" t="s">
        <v>437</v>
      </c>
      <c r="E500" s="6" t="s">
        <v>438</v>
      </c>
      <c r="F500" s="6" t="s">
        <v>13</v>
      </c>
      <c r="G500" s="6"/>
      <c r="H500" s="6"/>
      <c r="I500" s="6" t="s">
        <v>73</v>
      </c>
      <c r="J500" s="6"/>
      <c r="K500" s="6"/>
      <c r="L500" s="6" t="s">
        <v>439</v>
      </c>
      <c r="M500" s="6"/>
      <c r="N500" s="6" t="s">
        <v>440</v>
      </c>
      <c r="O500" s="6" t="str">
        <f>HYPERLINK("https://ceds.ed.gov/cedselementdetails.aspx?termid=5963")</f>
        <v>https://ceds.ed.gov/cedselementdetails.aspx?termid=5963</v>
      </c>
      <c r="P500" s="6" t="str">
        <f>HYPERLINK("https://ceds.ed.gov/elementComment.aspx?elementName=Assessment Administration Start Date &amp;elementID=5963", "Click here to submit comment")</f>
        <v>Click here to submit comment</v>
      </c>
    </row>
    <row r="501" spans="1:16" ht="45">
      <c r="A501" s="6" t="s">
        <v>6715</v>
      </c>
      <c r="B501" s="6" t="s">
        <v>6784</v>
      </c>
      <c r="C501" s="6" t="s">
        <v>6786</v>
      </c>
      <c r="D501" s="6" t="s">
        <v>441</v>
      </c>
      <c r="E501" s="6" t="s">
        <v>442</v>
      </c>
      <c r="F501" s="6" t="s">
        <v>13</v>
      </c>
      <c r="G501" s="6"/>
      <c r="H501" s="6"/>
      <c r="I501" s="6" t="s">
        <v>426</v>
      </c>
      <c r="J501" s="6"/>
      <c r="K501" s="6"/>
      <c r="L501" s="6" t="s">
        <v>443</v>
      </c>
      <c r="M501" s="6"/>
      <c r="N501" s="6" t="s">
        <v>444</v>
      </c>
      <c r="O501" s="6" t="str">
        <f>HYPERLINK("https://ceds.ed.gov/cedselementdetails.aspx?termid=5964")</f>
        <v>https://ceds.ed.gov/cedselementdetails.aspx?termid=5964</v>
      </c>
      <c r="P501" s="6" t="str">
        <f>HYPERLINK("https://ceds.ed.gov/elementComment.aspx?elementName=Assessment Administration Start Time &amp;elementID=5964", "Click here to submit comment")</f>
        <v>Click here to submit comment</v>
      </c>
    </row>
    <row r="502" spans="1:16" ht="45">
      <c r="A502" s="6" t="s">
        <v>6715</v>
      </c>
      <c r="B502" s="6" t="s">
        <v>6784</v>
      </c>
      <c r="C502" s="6" t="s">
        <v>6786</v>
      </c>
      <c r="D502" s="6" t="s">
        <v>420</v>
      </c>
      <c r="E502" s="6" t="s">
        <v>421</v>
      </c>
      <c r="F502" s="6" t="s">
        <v>13</v>
      </c>
      <c r="G502" s="6"/>
      <c r="H502" s="6"/>
      <c r="I502" s="6" t="s">
        <v>73</v>
      </c>
      <c r="J502" s="6"/>
      <c r="K502" s="6"/>
      <c r="L502" s="6" t="s">
        <v>422</v>
      </c>
      <c r="M502" s="6"/>
      <c r="N502" s="6" t="s">
        <v>423</v>
      </c>
      <c r="O502" s="6" t="str">
        <f>HYPERLINK("https://ceds.ed.gov/cedselementdetails.aspx?termid=5965")</f>
        <v>https://ceds.ed.gov/cedselementdetails.aspx?termid=5965</v>
      </c>
      <c r="P502" s="6" t="str">
        <f>HYPERLINK("https://ceds.ed.gov/elementComment.aspx?elementName=Assessment Administration Finish Date &amp;elementID=5965", "Click here to submit comment")</f>
        <v>Click here to submit comment</v>
      </c>
    </row>
    <row r="503" spans="1:16" ht="45">
      <c r="A503" s="6" t="s">
        <v>6715</v>
      </c>
      <c r="B503" s="6" t="s">
        <v>6784</v>
      </c>
      <c r="C503" s="6" t="s">
        <v>6786</v>
      </c>
      <c r="D503" s="6" t="s">
        <v>424</v>
      </c>
      <c r="E503" s="6" t="s">
        <v>425</v>
      </c>
      <c r="F503" s="6" t="s">
        <v>13</v>
      </c>
      <c r="G503" s="6"/>
      <c r="H503" s="6"/>
      <c r="I503" s="6" t="s">
        <v>426</v>
      </c>
      <c r="J503" s="6"/>
      <c r="K503" s="6"/>
      <c r="L503" s="6" t="s">
        <v>427</v>
      </c>
      <c r="M503" s="6"/>
      <c r="N503" s="6" t="s">
        <v>428</v>
      </c>
      <c r="O503" s="6" t="str">
        <f>HYPERLINK("https://ceds.ed.gov/cedselementdetails.aspx?termid=5966")</f>
        <v>https://ceds.ed.gov/cedselementdetails.aspx?termid=5966</v>
      </c>
      <c r="P503" s="6" t="str">
        <f>HYPERLINK("https://ceds.ed.gov/elementComment.aspx?elementName=Assessment Administration Finish Time &amp;elementID=5966", "Click here to submit comment")</f>
        <v>Click here to submit comment</v>
      </c>
    </row>
    <row r="504" spans="1:16" ht="45">
      <c r="A504" s="6" t="s">
        <v>6715</v>
      </c>
      <c r="B504" s="6" t="s">
        <v>6784</v>
      </c>
      <c r="C504" s="6" t="s">
        <v>6786</v>
      </c>
      <c r="D504" s="6" t="s">
        <v>937</v>
      </c>
      <c r="E504" s="6" t="s">
        <v>938</v>
      </c>
      <c r="F504" s="5" t="s">
        <v>939</v>
      </c>
      <c r="G504" s="6"/>
      <c r="H504" s="6"/>
      <c r="I504" s="6"/>
      <c r="J504" s="6"/>
      <c r="K504" s="6"/>
      <c r="L504" s="6" t="s">
        <v>940</v>
      </c>
      <c r="M504" s="6"/>
      <c r="N504" s="6" t="s">
        <v>941</v>
      </c>
      <c r="O504" s="6" t="str">
        <f>HYPERLINK("https://ceds.ed.gov/cedselementdetails.aspx?termid=6073")</f>
        <v>https://ceds.ed.gov/cedselementdetails.aspx?termid=6073</v>
      </c>
      <c r="P504" s="6" t="str">
        <f>HYPERLINK("https://ceds.ed.gov/elementComment.aspx?elementName=Assessment Language &amp;elementID=6073", "Click here to submit comment")</f>
        <v>Click here to submit comment</v>
      </c>
    </row>
    <row r="505" spans="1:16" ht="45">
      <c r="A505" s="6" t="s">
        <v>6715</v>
      </c>
      <c r="B505" s="6" t="s">
        <v>6784</v>
      </c>
      <c r="C505" s="6" t="s">
        <v>6786</v>
      </c>
      <c r="D505" s="6" t="s">
        <v>522</v>
      </c>
      <c r="E505" s="6" t="s">
        <v>523</v>
      </c>
      <c r="F505" s="6" t="s">
        <v>13</v>
      </c>
      <c r="G505" s="6"/>
      <c r="H505" s="6"/>
      <c r="I505" s="6" t="s">
        <v>319</v>
      </c>
      <c r="J505" s="6"/>
      <c r="K505" s="6"/>
      <c r="L505" s="6" t="s">
        <v>524</v>
      </c>
      <c r="M505" s="6"/>
      <c r="N505" s="6" t="s">
        <v>525</v>
      </c>
      <c r="O505" s="6" t="str">
        <f>HYPERLINK("https://ceds.ed.gov/cedselementdetails.aspx?termid=6139")</f>
        <v>https://ceds.ed.gov/cedselementdetails.aspx?termid=6139</v>
      </c>
      <c r="P505" s="6" t="str">
        <f>HYPERLINK("https://ceds.ed.gov/elementComment.aspx?elementName=Assessment Form Platforms Supported &amp;elementID=6139", "Click here to submit comment")</f>
        <v>Click here to submit comment</v>
      </c>
    </row>
    <row r="506" spans="1:16" ht="120">
      <c r="A506" s="6" t="s">
        <v>6715</v>
      </c>
      <c r="B506" s="6" t="s">
        <v>6784</v>
      </c>
      <c r="C506" s="6" t="s">
        <v>6786</v>
      </c>
      <c r="D506" s="6" t="s">
        <v>1099</v>
      </c>
      <c r="E506" s="6" t="s">
        <v>1100</v>
      </c>
      <c r="F506" s="6" t="s">
        <v>6044</v>
      </c>
      <c r="G506" s="6" t="s">
        <v>6018</v>
      </c>
      <c r="H506" s="6"/>
      <c r="I506" s="6"/>
      <c r="J506" s="6"/>
      <c r="K506" s="6"/>
      <c r="L506" s="6" t="s">
        <v>1101</v>
      </c>
      <c r="M506" s="6"/>
      <c r="N506" s="6" t="s">
        <v>1102</v>
      </c>
      <c r="O506" s="6" t="str">
        <f>HYPERLINK("https://ceds.ed.gov/cedselementdetails.aspx?termid=5377")</f>
        <v>https://ceds.ed.gov/cedselementdetails.aspx?termid=5377</v>
      </c>
      <c r="P506" s="6" t="str">
        <f>HYPERLINK("https://ceds.ed.gov/elementComment.aspx?elementName=Assessment Participant Session Platform Type &amp;elementID=5377", "Click here to submit comment")</f>
        <v>Click here to submit comment</v>
      </c>
    </row>
    <row r="507" spans="1:16" ht="135">
      <c r="A507" s="6" t="s">
        <v>6715</v>
      </c>
      <c r="B507" s="6" t="s">
        <v>6784</v>
      </c>
      <c r="C507" s="6" t="s">
        <v>6786</v>
      </c>
      <c r="D507" s="6" t="s">
        <v>1103</v>
      </c>
      <c r="E507" s="6" t="s">
        <v>1104</v>
      </c>
      <c r="F507" s="6" t="s">
        <v>13</v>
      </c>
      <c r="G507" s="6"/>
      <c r="H507" s="6"/>
      <c r="I507" s="6" t="s">
        <v>1105</v>
      </c>
      <c r="J507" s="6"/>
      <c r="K507" s="6" t="s">
        <v>1106</v>
      </c>
      <c r="L507" s="6" t="s">
        <v>1107</v>
      </c>
      <c r="M507" s="6"/>
      <c r="N507" s="6" t="s">
        <v>1108</v>
      </c>
      <c r="O507" s="6" t="str">
        <f>HYPERLINK("https://ceds.ed.gov/cedselementdetails.aspx?termid=6112")</f>
        <v>https://ceds.ed.gov/cedselementdetails.aspx?termid=6112</v>
      </c>
      <c r="P507" s="6" t="str">
        <f>HYPERLINK("https://ceds.ed.gov/elementComment.aspx?elementName=Assessment Participant Session Platform User Agent &amp;elementID=6112", "Click here to submit comment")</f>
        <v>Click here to submit comment</v>
      </c>
    </row>
    <row r="508" spans="1:16" ht="409.5">
      <c r="A508" s="6" t="s">
        <v>6715</v>
      </c>
      <c r="B508" s="6" t="s">
        <v>6784</v>
      </c>
      <c r="C508" s="6" t="s">
        <v>6786</v>
      </c>
      <c r="D508" s="6" t="s">
        <v>1269</v>
      </c>
      <c r="E508" s="6" t="s">
        <v>1270</v>
      </c>
      <c r="F508" s="7" t="s">
        <v>6403</v>
      </c>
      <c r="G508" s="6" t="s">
        <v>5992</v>
      </c>
      <c r="H508" s="6"/>
      <c r="I508" s="6"/>
      <c r="J508" s="6"/>
      <c r="K508" s="6"/>
      <c r="L508" s="6" t="s">
        <v>1271</v>
      </c>
      <c r="M508" s="6"/>
      <c r="N508" s="6" t="s">
        <v>1272</v>
      </c>
      <c r="O508" s="6" t="str">
        <f>HYPERLINK("https://ceds.ed.gov/cedselementdetails.aspx?termid=5380")</f>
        <v>https://ceds.ed.gov/cedselementdetails.aspx?termid=5380</v>
      </c>
      <c r="P508" s="6" t="str">
        <f>HYPERLINK("https://ceds.ed.gov/elementComment.aspx?elementName=Assessment Session Special Circumstance Type &amp;elementID=5380", "Click here to submit comment")</f>
        <v>Click here to submit comment</v>
      </c>
    </row>
    <row r="509" spans="1:16" ht="75">
      <c r="A509" s="6" t="s">
        <v>6715</v>
      </c>
      <c r="B509" s="6" t="s">
        <v>6784</v>
      </c>
      <c r="C509" s="6" t="s">
        <v>6786</v>
      </c>
      <c r="D509" s="6" t="s">
        <v>1238</v>
      </c>
      <c r="E509" s="6" t="s">
        <v>1239</v>
      </c>
      <c r="F509" s="6" t="s">
        <v>13</v>
      </c>
      <c r="G509" s="6" t="s">
        <v>5992</v>
      </c>
      <c r="H509" s="6"/>
      <c r="I509" s="6" t="s">
        <v>1240</v>
      </c>
      <c r="J509" s="6"/>
      <c r="K509" s="6"/>
      <c r="L509" s="6" t="s">
        <v>1241</v>
      </c>
      <c r="M509" s="6"/>
      <c r="N509" s="6" t="s">
        <v>1242</v>
      </c>
      <c r="O509" s="6" t="str">
        <f>HYPERLINK("https://ceds.ed.gov/cedselementdetails.aspx?termid=5400")</f>
        <v>https://ceds.ed.gov/cedselementdetails.aspx?termid=5400</v>
      </c>
      <c r="P509" s="6" t="str">
        <f>HYPERLINK("https://ceds.ed.gov/elementComment.aspx?elementName=Assessment Session Administrator Identifier &amp;elementID=5400", "Click here to submit comment")</f>
        <v>Click here to submit comment</v>
      </c>
    </row>
    <row r="510" spans="1:16" ht="45">
      <c r="A510" s="6" t="s">
        <v>6715</v>
      </c>
      <c r="B510" s="6" t="s">
        <v>6784</v>
      </c>
      <c r="C510" s="6" t="s">
        <v>6786</v>
      </c>
      <c r="D510" s="6" t="s">
        <v>1252</v>
      </c>
      <c r="E510" s="6" t="s">
        <v>1253</v>
      </c>
      <c r="F510" s="6" t="s">
        <v>13</v>
      </c>
      <c r="G510" s="6" t="s">
        <v>5992</v>
      </c>
      <c r="H510" s="6"/>
      <c r="I510" s="6" t="s">
        <v>1240</v>
      </c>
      <c r="J510" s="6"/>
      <c r="K510" s="6" t="s">
        <v>1254</v>
      </c>
      <c r="L510" s="6" t="s">
        <v>1255</v>
      </c>
      <c r="M510" s="6"/>
      <c r="N510" s="6" t="s">
        <v>1256</v>
      </c>
      <c r="O510" s="6" t="str">
        <f>HYPERLINK("https://ceds.ed.gov/cedselementdetails.aspx?termid=5401")</f>
        <v>https://ceds.ed.gov/cedselementdetails.aspx?termid=5401</v>
      </c>
      <c r="P510" s="6" t="str">
        <f>HYPERLINK("https://ceds.ed.gov/elementComment.aspx?elementName=Assessment Session Proctor Identifier &amp;elementID=5401", "Click here to submit comment")</f>
        <v>Click here to submit comment</v>
      </c>
    </row>
    <row r="511" spans="1:16" ht="45">
      <c r="A511" s="6" t="s">
        <v>6715</v>
      </c>
      <c r="B511" s="6" t="s">
        <v>6784</v>
      </c>
      <c r="C511" s="6" t="s">
        <v>6786</v>
      </c>
      <c r="D511" s="6" t="s">
        <v>1247</v>
      </c>
      <c r="E511" s="6" t="s">
        <v>1248</v>
      </c>
      <c r="F511" s="6" t="s">
        <v>13</v>
      </c>
      <c r="G511" s="6" t="s">
        <v>5992</v>
      </c>
      <c r="H511" s="6"/>
      <c r="I511" s="6" t="s">
        <v>1249</v>
      </c>
      <c r="J511" s="6"/>
      <c r="K511" s="6"/>
      <c r="L511" s="6" t="s">
        <v>1250</v>
      </c>
      <c r="M511" s="6"/>
      <c r="N511" s="6" t="s">
        <v>1251</v>
      </c>
      <c r="O511" s="6" t="str">
        <f>HYPERLINK("https://ceds.ed.gov/cedselementdetails.aspx?termid=5590")</f>
        <v>https://ceds.ed.gov/cedselementdetails.aspx?termid=5590</v>
      </c>
      <c r="P511" s="6" t="str">
        <f>HYPERLINK("https://ceds.ed.gov/elementComment.aspx?elementName=Assessment Session Location &amp;elementID=5590", "Click here to submit comment")</f>
        <v>Click here to submit comment</v>
      </c>
    </row>
    <row r="512" spans="1:16" ht="285">
      <c r="A512" s="6" t="s">
        <v>6715</v>
      </c>
      <c r="B512" s="6" t="s">
        <v>6784</v>
      </c>
      <c r="C512" s="6" t="s">
        <v>6786</v>
      </c>
      <c r="D512" s="6" t="s">
        <v>399</v>
      </c>
      <c r="E512" s="6" t="s">
        <v>400</v>
      </c>
      <c r="F512" s="7" t="s">
        <v>6376</v>
      </c>
      <c r="G512" s="6" t="s">
        <v>5992</v>
      </c>
      <c r="H512" s="6" t="s">
        <v>3</v>
      </c>
      <c r="I512" s="6"/>
      <c r="J512" s="6"/>
      <c r="K512" s="6"/>
      <c r="L512" s="6" t="s">
        <v>401</v>
      </c>
      <c r="M512" s="6"/>
      <c r="N512" s="6" t="s">
        <v>402</v>
      </c>
      <c r="O512" s="6" t="str">
        <f>HYPERLINK("https://ceds.ed.gov/cedselementdetails.aspx?termid=5374")</f>
        <v>https://ceds.ed.gov/cedselementdetails.aspx?termid=5374</v>
      </c>
      <c r="P512" s="6" t="str">
        <f>HYPERLINK("https://ceds.ed.gov/elementComment.aspx?elementName=Assessment Accommodation Category &amp;elementID=5374", "Click here to submit comment")</f>
        <v>Click here to submit comment</v>
      </c>
    </row>
    <row r="513" spans="1:16" ht="45">
      <c r="A513" s="6" t="s">
        <v>6715</v>
      </c>
      <c r="B513" s="6" t="s">
        <v>6784</v>
      </c>
      <c r="C513" s="6" t="s">
        <v>6786</v>
      </c>
      <c r="D513" s="6" t="s">
        <v>838</v>
      </c>
      <c r="E513" s="6" t="s">
        <v>839</v>
      </c>
      <c r="F513" s="6" t="s">
        <v>13</v>
      </c>
      <c r="G513" s="6"/>
      <c r="H513" s="6"/>
      <c r="I513" s="6" t="s">
        <v>73</v>
      </c>
      <c r="J513" s="6"/>
      <c r="K513" s="6"/>
      <c r="L513" s="6" t="s">
        <v>840</v>
      </c>
      <c r="M513" s="6"/>
      <c r="N513" s="6" t="s">
        <v>841</v>
      </c>
      <c r="O513" s="6" t="str">
        <f>HYPERLINK("https://ceds.ed.gov/cedselementdetails.aspx?termid=5960")</f>
        <v>https://ceds.ed.gov/cedselementdetails.aspx?termid=5960</v>
      </c>
      <c r="P513" s="6" t="str">
        <f>HYPERLINK("https://ceds.ed.gov/elementComment.aspx?elementName=Assessment Item Response Start Date &amp;elementID=5960", "Click here to submit comment")</f>
        <v>Click here to submit comment</v>
      </c>
    </row>
    <row r="514" spans="1:16" ht="45">
      <c r="A514" s="6" t="s">
        <v>6715</v>
      </c>
      <c r="B514" s="6" t="s">
        <v>6784</v>
      </c>
      <c r="C514" s="6" t="s">
        <v>6786</v>
      </c>
      <c r="D514" s="6" t="s">
        <v>842</v>
      </c>
      <c r="E514" s="6" t="s">
        <v>843</v>
      </c>
      <c r="F514" s="6" t="s">
        <v>13</v>
      </c>
      <c r="G514" s="6"/>
      <c r="H514" s="6"/>
      <c r="I514" s="6" t="s">
        <v>808</v>
      </c>
      <c r="J514" s="6"/>
      <c r="K514" s="6"/>
      <c r="L514" s="6" t="s">
        <v>844</v>
      </c>
      <c r="M514" s="6"/>
      <c r="N514" s="6" t="s">
        <v>845</v>
      </c>
      <c r="O514" s="6" t="str">
        <f>HYPERLINK("https://ceds.ed.gov/cedselementdetails.aspx?termid=5959")</f>
        <v>https://ceds.ed.gov/cedselementdetails.aspx?termid=5959</v>
      </c>
      <c r="P514" s="6" t="str">
        <f>HYPERLINK("https://ceds.ed.gov/elementComment.aspx?elementName=Assessment Item Response Start Time &amp;elementID=5959", "Click here to submit comment")</f>
        <v>Click here to submit comment</v>
      </c>
    </row>
    <row r="515" spans="1:16" ht="60">
      <c r="A515" s="6" t="s">
        <v>6715</v>
      </c>
      <c r="B515" s="6" t="s">
        <v>6784</v>
      </c>
      <c r="C515" s="6" t="s">
        <v>6786</v>
      </c>
      <c r="D515" s="6" t="s">
        <v>806</v>
      </c>
      <c r="E515" s="6" t="s">
        <v>807</v>
      </c>
      <c r="F515" s="6" t="s">
        <v>13</v>
      </c>
      <c r="G515" s="6" t="s">
        <v>6018</v>
      </c>
      <c r="H515" s="6"/>
      <c r="I515" s="6" t="s">
        <v>808</v>
      </c>
      <c r="J515" s="6"/>
      <c r="K515" s="6"/>
      <c r="L515" s="6" t="s">
        <v>809</v>
      </c>
      <c r="M515" s="6"/>
      <c r="N515" s="6" t="s">
        <v>810</v>
      </c>
      <c r="O515" s="6" t="str">
        <f>HYPERLINK("https://ceds.ed.gov/cedselementdetails.aspx?termid=5394")</f>
        <v>https://ceds.ed.gov/cedselementdetails.aspx?termid=5394</v>
      </c>
      <c r="P515" s="6" t="str">
        <f>HYPERLINK("https://ceds.ed.gov/elementComment.aspx?elementName=Assessment Item Response Duration &amp;elementID=5394", "Click here to submit comment")</f>
        <v>Click here to submit comment</v>
      </c>
    </row>
    <row r="516" spans="1:16" ht="60">
      <c r="A516" s="6" t="s">
        <v>6715</v>
      </c>
      <c r="B516" s="6" t="s">
        <v>6784</v>
      </c>
      <c r="C516" s="6" t="s">
        <v>6786</v>
      </c>
      <c r="D516" s="6" t="s">
        <v>793</v>
      </c>
      <c r="E516" s="6" t="s">
        <v>794</v>
      </c>
      <c r="F516" s="6" t="s">
        <v>13</v>
      </c>
      <c r="G516" s="6" t="s">
        <v>6018</v>
      </c>
      <c r="H516" s="6"/>
      <c r="I516" s="6" t="s">
        <v>100</v>
      </c>
      <c r="J516" s="6"/>
      <c r="K516" s="6" t="s">
        <v>795</v>
      </c>
      <c r="L516" s="6" t="s">
        <v>796</v>
      </c>
      <c r="M516" s="6"/>
      <c r="N516" s="6" t="s">
        <v>797</v>
      </c>
      <c r="O516" s="6" t="str">
        <f>HYPERLINK("https://ceds.ed.gov/cedselementdetails.aspx?termid=5397")</f>
        <v>https://ceds.ed.gov/cedselementdetails.aspx?termid=5397</v>
      </c>
      <c r="P516" s="6" t="str">
        <f>HYPERLINK("https://ceds.ed.gov/elementComment.aspx?elementName=Assessment Item Response Aid Set Used &amp;elementID=5397", "Click here to submit comment")</f>
        <v>Click here to submit comment</v>
      </c>
    </row>
    <row r="517" spans="1:16" ht="90">
      <c r="A517" s="6" t="s">
        <v>6715</v>
      </c>
      <c r="B517" s="6" t="s">
        <v>6784</v>
      </c>
      <c r="C517" s="6" t="s">
        <v>6786</v>
      </c>
      <c r="D517" s="6" t="s">
        <v>1757</v>
      </c>
      <c r="E517" s="6" t="s">
        <v>1758</v>
      </c>
      <c r="F517" s="6" t="s">
        <v>5963</v>
      </c>
      <c r="G517" s="6"/>
      <c r="H517" s="6" t="s">
        <v>54</v>
      </c>
      <c r="I517" s="6"/>
      <c r="J517" s="6"/>
      <c r="K517" s="6"/>
      <c r="L517" s="6" t="s">
        <v>1760</v>
      </c>
      <c r="M517" s="6"/>
      <c r="N517" s="6" t="s">
        <v>1761</v>
      </c>
      <c r="O517" s="6" t="str">
        <f>HYPERLINK("https://ceds.ed.gov/cedselementdetails.aspx?termid=6261")</f>
        <v>https://ceds.ed.gov/cedselementdetails.aspx?termid=6261</v>
      </c>
      <c r="P517" s="6" t="str">
        <f>HYPERLINK("https://ceds.ed.gov/elementComment.aspx?elementName=Consent to Share Data &amp;elementID=6261", "Click here to submit comment")</f>
        <v>Click here to submit comment</v>
      </c>
    </row>
    <row r="518" spans="1:16" ht="210">
      <c r="A518" s="6" t="s">
        <v>6715</v>
      </c>
      <c r="B518" s="6" t="s">
        <v>6784</v>
      </c>
      <c r="C518" s="6" t="s">
        <v>6787</v>
      </c>
      <c r="D518" s="6" t="s">
        <v>846</v>
      </c>
      <c r="E518" s="6" t="s">
        <v>847</v>
      </c>
      <c r="F518" s="7" t="s">
        <v>6385</v>
      </c>
      <c r="G518" s="6" t="s">
        <v>6018</v>
      </c>
      <c r="H518" s="6" t="s">
        <v>66</v>
      </c>
      <c r="I518" s="6"/>
      <c r="J518" s="6" t="s">
        <v>848</v>
      </c>
      <c r="K518" s="6"/>
      <c r="L518" s="6" t="s">
        <v>849</v>
      </c>
      <c r="M518" s="6"/>
      <c r="N518" s="6" t="s">
        <v>850</v>
      </c>
      <c r="O518" s="6" t="str">
        <f>HYPERLINK("https://ceds.ed.gov/cedselementdetails.aspx?termid=5396")</f>
        <v>https://ceds.ed.gov/cedselementdetails.aspx?termid=5396</v>
      </c>
      <c r="P518" s="6" t="str">
        <f>HYPERLINK("https://ceds.ed.gov/elementComment.aspx?elementName=Assessment Item Response Status &amp;elementID=5396", "Click here to submit comment")</f>
        <v>Click here to submit comment</v>
      </c>
    </row>
    <row r="519" spans="1:16" ht="90">
      <c r="A519" s="6" t="s">
        <v>6715</v>
      </c>
      <c r="B519" s="6" t="s">
        <v>6784</v>
      </c>
      <c r="C519" s="6" t="s">
        <v>6787</v>
      </c>
      <c r="D519" s="6" t="s">
        <v>1362</v>
      </c>
      <c r="E519" s="6" t="s">
        <v>1363</v>
      </c>
      <c r="F519" s="7" t="s">
        <v>6404</v>
      </c>
      <c r="G519" s="6" t="s">
        <v>6069</v>
      </c>
      <c r="H519" s="6"/>
      <c r="I519" s="6"/>
      <c r="J519" s="6"/>
      <c r="K519" s="6"/>
      <c r="L519" s="6" t="s">
        <v>1364</v>
      </c>
      <c r="M519" s="6"/>
      <c r="N519" s="6" t="s">
        <v>1365</v>
      </c>
      <c r="O519" s="6" t="str">
        <f>HYPERLINK("https://ceds.ed.gov/cedselementdetails.aspx?termid=5564")</f>
        <v>https://ceds.ed.gov/cedselementdetails.aspx?termid=5564</v>
      </c>
      <c r="P519" s="6" t="str">
        <f>HYPERLINK("https://ceds.ed.gov/elementComment.aspx?elementName=Assessment Subtest Result Pretest Outcome &amp;elementID=5564", "Click here to submit comment")</f>
        <v>Click here to submit comment</v>
      </c>
    </row>
    <row r="520" spans="1:16" ht="60">
      <c r="A520" s="6" t="s">
        <v>6715</v>
      </c>
      <c r="B520" s="6" t="s">
        <v>6784</v>
      </c>
      <c r="C520" s="6" t="s">
        <v>6787</v>
      </c>
      <c r="D520" s="6" t="s">
        <v>4767</v>
      </c>
      <c r="E520" s="6" t="s">
        <v>4768</v>
      </c>
      <c r="F520" s="7" t="s">
        <v>6621</v>
      </c>
      <c r="G520" s="6" t="s">
        <v>218</v>
      </c>
      <c r="H520" s="6"/>
      <c r="I520" s="6"/>
      <c r="J520" s="6"/>
      <c r="K520" s="6"/>
      <c r="L520" s="6" t="s">
        <v>4769</v>
      </c>
      <c r="M520" s="6"/>
      <c r="N520" s="6" t="s">
        <v>4770</v>
      </c>
      <c r="O520" s="6" t="str">
        <f>HYPERLINK("https://ceds.ed.gov/cedselementdetails.aspx?termid=5565")</f>
        <v>https://ceds.ed.gov/cedselementdetails.aspx?termid=5565</v>
      </c>
      <c r="P520" s="6" t="str">
        <f>HYPERLINK("https://ceds.ed.gov/elementComment.aspx?elementName=Proficiency Status &amp;elementID=5565", "Click here to submit comment")</f>
        <v>Click here to submit comment</v>
      </c>
    </row>
    <row r="521" spans="1:16" ht="60">
      <c r="A521" s="6" t="s">
        <v>6715</v>
      </c>
      <c r="B521" s="6" t="s">
        <v>6784</v>
      </c>
      <c r="C521" s="6" t="s">
        <v>6787</v>
      </c>
      <c r="D521" s="6" t="s">
        <v>802</v>
      </c>
      <c r="E521" s="6" t="s">
        <v>803</v>
      </c>
      <c r="F521" s="6" t="s">
        <v>13</v>
      </c>
      <c r="G521" s="6" t="s">
        <v>493</v>
      </c>
      <c r="H521" s="6"/>
      <c r="I521" s="6" t="s">
        <v>93</v>
      </c>
      <c r="J521" s="6"/>
      <c r="K521" s="6"/>
      <c r="L521" s="6" t="s">
        <v>804</v>
      </c>
      <c r="M521" s="6"/>
      <c r="N521" s="6" t="s">
        <v>805</v>
      </c>
      <c r="O521" s="6" t="str">
        <f>HYPERLINK("https://ceds.ed.gov/cedselementdetails.aspx?termid=5891")</f>
        <v>https://ceds.ed.gov/cedselementdetails.aspx?termid=5891</v>
      </c>
      <c r="P521" s="6" t="str">
        <f>HYPERLINK("https://ceds.ed.gov/elementComment.aspx?elementName=Assessment Item Response Descriptive Feedback &amp;elementID=5891", "Click here to submit comment")</f>
        <v>Click here to submit comment</v>
      </c>
    </row>
    <row r="522" spans="1:16" ht="75">
      <c r="A522" s="6" t="s">
        <v>6715</v>
      </c>
      <c r="B522" s="6" t="s">
        <v>6784</v>
      </c>
      <c r="C522" s="6" t="s">
        <v>6787</v>
      </c>
      <c r="D522" s="6" t="s">
        <v>1336</v>
      </c>
      <c r="E522" s="6" t="s">
        <v>1337</v>
      </c>
      <c r="F522" s="6" t="s">
        <v>13</v>
      </c>
      <c r="G522" s="6" t="s">
        <v>493</v>
      </c>
      <c r="H522" s="6"/>
      <c r="I522" s="6" t="s">
        <v>93</v>
      </c>
      <c r="J522" s="6"/>
      <c r="K522" s="6"/>
      <c r="L522" s="6" t="s">
        <v>1338</v>
      </c>
      <c r="M522" s="6"/>
      <c r="N522" s="6" t="s">
        <v>1339</v>
      </c>
      <c r="O522" s="6" t="str">
        <f>HYPERLINK("https://ceds.ed.gov/cedselementdetails.aspx?termid=5890")</f>
        <v>https://ceds.ed.gov/cedselementdetails.aspx?termid=5890</v>
      </c>
      <c r="P522" s="6" t="str">
        <f>HYPERLINK("https://ceds.ed.gov/elementComment.aspx?elementName=Assessment Subtest Result Descriptive Feedback &amp;elementID=5890", "Click here to submit comment")</f>
        <v>Click here to submit comment</v>
      </c>
    </row>
    <row r="523" spans="1:16" ht="195">
      <c r="A523" s="6" t="s">
        <v>6715</v>
      </c>
      <c r="B523" s="6" t="s">
        <v>6784</v>
      </c>
      <c r="C523" s="6" t="s">
        <v>6787</v>
      </c>
      <c r="D523" s="6" t="s">
        <v>1366</v>
      </c>
      <c r="E523" s="6" t="s">
        <v>1367</v>
      </c>
      <c r="F523" s="6" t="s">
        <v>13</v>
      </c>
      <c r="G523" s="6" t="s">
        <v>6071</v>
      </c>
      <c r="H523" s="6"/>
      <c r="I523" s="6" t="s">
        <v>1368</v>
      </c>
      <c r="J523" s="6"/>
      <c r="K523" s="6"/>
      <c r="L523" s="6" t="s">
        <v>1369</v>
      </c>
      <c r="M523" s="6"/>
      <c r="N523" s="6" t="s">
        <v>1370</v>
      </c>
      <c r="O523" s="6" t="str">
        <f>HYPERLINK("https://ceds.ed.gov/cedselementdetails.aspx?termid=5245")</f>
        <v>https://ceds.ed.gov/cedselementdetails.aspx?termid=5245</v>
      </c>
      <c r="P523" s="6" t="str">
        <f>HYPERLINK("https://ceds.ed.gov/elementComment.aspx?elementName=Assessment Subtest Result Score Value &amp;elementID=5245", "Click here to submit comment")</f>
        <v>Click here to submit comment</v>
      </c>
    </row>
    <row r="524" spans="1:16" ht="45">
      <c r="A524" s="6" t="s">
        <v>6715</v>
      </c>
      <c r="B524" s="6" t="s">
        <v>6784</v>
      </c>
      <c r="C524" s="6" t="s">
        <v>6787</v>
      </c>
      <c r="D524" s="6" t="s">
        <v>1125</v>
      </c>
      <c r="E524" s="6" t="s">
        <v>1126</v>
      </c>
      <c r="F524" s="6" t="s">
        <v>13</v>
      </c>
      <c r="G524" s="6" t="s">
        <v>493</v>
      </c>
      <c r="H524" s="6"/>
      <c r="I524" s="6" t="s">
        <v>1127</v>
      </c>
      <c r="J524" s="6"/>
      <c r="K524" s="6"/>
      <c r="L524" s="6" t="s">
        <v>1128</v>
      </c>
      <c r="M524" s="6"/>
      <c r="N524" s="6" t="s">
        <v>1129</v>
      </c>
      <c r="O524" s="6" t="str">
        <f>HYPERLINK("https://ceds.ed.gov/cedselementdetails.aspx?termid=5694")</f>
        <v>https://ceds.ed.gov/cedselementdetails.aspx?termid=5694</v>
      </c>
      <c r="P524" s="6" t="str">
        <f>HYPERLINK("https://ceds.ed.gov/elementComment.aspx?elementName=Assessment Performance Level Label &amp;elementID=5694", "Click here to submit comment")</f>
        <v>Click here to submit comment</v>
      </c>
    </row>
    <row r="525" spans="1:16" ht="409.5">
      <c r="A525" s="6" t="s">
        <v>6715</v>
      </c>
      <c r="B525" s="6" t="s">
        <v>6784</v>
      </c>
      <c r="C525" s="6" t="s">
        <v>6787</v>
      </c>
      <c r="D525" s="6" t="s">
        <v>1134</v>
      </c>
      <c r="E525" s="6" t="s">
        <v>1135</v>
      </c>
      <c r="F525" s="7" t="s">
        <v>6398</v>
      </c>
      <c r="G525" s="6" t="s">
        <v>5992</v>
      </c>
      <c r="H525" s="6"/>
      <c r="I525" s="6" t="s">
        <v>100</v>
      </c>
      <c r="J525" s="6"/>
      <c r="K525" s="6"/>
      <c r="L525" s="6" t="s">
        <v>1136</v>
      </c>
      <c r="M525" s="6"/>
      <c r="N525" s="6" t="s">
        <v>1137</v>
      </c>
      <c r="O525" s="6" t="str">
        <f>HYPERLINK("https://ceds.ed.gov/cedselementdetails.aspx?termid=5407")</f>
        <v>https://ceds.ed.gov/cedselementdetails.aspx?termid=5407</v>
      </c>
      <c r="P525" s="6" t="str">
        <f>HYPERLINK("https://ceds.ed.gov/elementComment.aspx?elementName=Assessment Performance Level Score Metric &amp;elementID=5407", "Click here to submit comment")</f>
        <v>Click here to submit comment</v>
      </c>
    </row>
    <row r="526" spans="1:16" ht="45">
      <c r="A526" s="6" t="s">
        <v>6715</v>
      </c>
      <c r="B526" s="6" t="s">
        <v>6784</v>
      </c>
      <c r="C526" s="6" t="s">
        <v>6787</v>
      </c>
      <c r="D526" s="6" t="s">
        <v>1130</v>
      </c>
      <c r="E526" s="6" t="s">
        <v>1131</v>
      </c>
      <c r="F526" s="6" t="s">
        <v>13</v>
      </c>
      <c r="G526" s="6" t="s">
        <v>5992</v>
      </c>
      <c r="H526" s="6"/>
      <c r="I526" s="6" t="s">
        <v>100</v>
      </c>
      <c r="J526" s="6"/>
      <c r="K526" s="6"/>
      <c r="L526" s="6" t="s">
        <v>1132</v>
      </c>
      <c r="M526" s="6"/>
      <c r="N526" s="6" t="s">
        <v>1133</v>
      </c>
      <c r="O526" s="6" t="str">
        <f>HYPERLINK("https://ceds.ed.gov/cedselementdetails.aspx?termid=5408")</f>
        <v>https://ceds.ed.gov/cedselementdetails.aspx?termid=5408</v>
      </c>
      <c r="P526" s="6" t="str">
        <f>HYPERLINK("https://ceds.ed.gov/elementComment.aspx?elementName=Assessment Performance Level Lower Cut Score &amp;elementID=5408", "Click here to submit comment")</f>
        <v>Click here to submit comment</v>
      </c>
    </row>
    <row r="527" spans="1:16" ht="45">
      <c r="A527" s="6" t="s">
        <v>6715</v>
      </c>
      <c r="B527" s="6" t="s">
        <v>6784</v>
      </c>
      <c r="C527" s="6" t="s">
        <v>6787</v>
      </c>
      <c r="D527" s="6" t="s">
        <v>1138</v>
      </c>
      <c r="E527" s="6" t="s">
        <v>1139</v>
      </c>
      <c r="F527" s="6" t="s">
        <v>13</v>
      </c>
      <c r="G527" s="6" t="s">
        <v>5992</v>
      </c>
      <c r="H527" s="6"/>
      <c r="I527" s="6" t="s">
        <v>100</v>
      </c>
      <c r="J527" s="6"/>
      <c r="K527" s="6"/>
      <c r="L527" s="6" t="s">
        <v>1140</v>
      </c>
      <c r="M527" s="6"/>
      <c r="N527" s="6" t="s">
        <v>1141</v>
      </c>
      <c r="O527" s="6" t="str">
        <f>HYPERLINK("https://ceds.ed.gov/cedselementdetails.aspx?termid=5409")</f>
        <v>https://ceds.ed.gov/cedselementdetails.aspx?termid=5409</v>
      </c>
      <c r="P527" s="6" t="str">
        <f>HYPERLINK("https://ceds.ed.gov/elementComment.aspx?elementName=Assessment Performance Level Upper Cut Score &amp;elementID=5409", "Click here to submit comment")</f>
        <v>Click here to submit comment</v>
      </c>
    </row>
    <row r="528" spans="1:16" ht="45">
      <c r="A528" s="6" t="s">
        <v>6715</v>
      </c>
      <c r="B528" s="6" t="s">
        <v>6784</v>
      </c>
      <c r="C528" s="6" t="s">
        <v>6787</v>
      </c>
      <c r="D528" s="6" t="s">
        <v>1121</v>
      </c>
      <c r="E528" s="6" t="s">
        <v>1122</v>
      </c>
      <c r="F528" s="6" t="s">
        <v>13</v>
      </c>
      <c r="G528" s="6" t="s">
        <v>493</v>
      </c>
      <c r="H528" s="6"/>
      <c r="I528" s="6" t="s">
        <v>100</v>
      </c>
      <c r="J528" s="6"/>
      <c r="K528" s="6"/>
      <c r="L528" s="6" t="s">
        <v>1123</v>
      </c>
      <c r="M528" s="6"/>
      <c r="N528" s="6" t="s">
        <v>1124</v>
      </c>
      <c r="O528" s="6" t="str">
        <f>HYPERLINK("https://ceds.ed.gov/cedselementdetails.aspx?termid=5693")</f>
        <v>https://ceds.ed.gov/cedselementdetails.aspx?termid=5693</v>
      </c>
      <c r="P528" s="6" t="str">
        <f>HYPERLINK("https://ceds.ed.gov/elementComment.aspx?elementName=Assessment Performance Level Identifier &amp;elementID=5693", "Click here to submit comment")</f>
        <v>Click here to submit comment</v>
      </c>
    </row>
    <row r="529" spans="1:16" ht="45">
      <c r="A529" s="6" t="s">
        <v>6715</v>
      </c>
      <c r="B529" s="6" t="s">
        <v>6784</v>
      </c>
      <c r="C529" s="6" t="s">
        <v>6787</v>
      </c>
      <c r="D529" s="6" t="s">
        <v>829</v>
      </c>
      <c r="E529" s="6" t="s">
        <v>830</v>
      </c>
      <c r="F529" s="6" t="s">
        <v>13</v>
      </c>
      <c r="G529" s="6" t="s">
        <v>493</v>
      </c>
      <c r="H529" s="6"/>
      <c r="I529" s="6" t="s">
        <v>106</v>
      </c>
      <c r="J529" s="6"/>
      <c r="K529" s="6"/>
      <c r="L529" s="6" t="s">
        <v>831</v>
      </c>
      <c r="M529" s="6"/>
      <c r="N529" s="6" t="s">
        <v>832</v>
      </c>
      <c r="O529" s="6" t="str">
        <f>HYPERLINK("https://ceds.ed.gov/cedselementdetails.aspx?termid=5700")</f>
        <v>https://ceds.ed.gov/cedselementdetails.aspx?termid=5700</v>
      </c>
      <c r="P529" s="6" t="str">
        <f>HYPERLINK("https://ceds.ed.gov/elementComment.aspx?elementName=Assessment Item Response Score Value &amp;elementID=5700", "Click here to submit comment")</f>
        <v>Click here to submit comment</v>
      </c>
    </row>
    <row r="530" spans="1:16" ht="195">
      <c r="A530" s="6" t="s">
        <v>6715</v>
      </c>
      <c r="B530" s="6" t="s">
        <v>6784</v>
      </c>
      <c r="C530" s="6" t="s">
        <v>6787</v>
      </c>
      <c r="D530" s="6" t="s">
        <v>1366</v>
      </c>
      <c r="E530" s="6" t="s">
        <v>1367</v>
      </c>
      <c r="F530" s="6" t="s">
        <v>13</v>
      </c>
      <c r="G530" s="6" t="s">
        <v>6071</v>
      </c>
      <c r="H530" s="6"/>
      <c r="I530" s="6" t="s">
        <v>1368</v>
      </c>
      <c r="J530" s="6"/>
      <c r="K530" s="6"/>
      <c r="L530" s="6" t="s">
        <v>1369</v>
      </c>
      <c r="M530" s="6"/>
      <c r="N530" s="6" t="s">
        <v>1370</v>
      </c>
      <c r="O530" s="6" t="str">
        <f>HYPERLINK("https://ceds.ed.gov/cedselementdetails.aspx?termid=5245")</f>
        <v>https://ceds.ed.gov/cedselementdetails.aspx?termid=5245</v>
      </c>
      <c r="P530" s="6" t="str">
        <f>HYPERLINK("https://ceds.ed.gov/elementComment.aspx?elementName=Assessment Subtest Result Score Value &amp;elementID=5245", "Click here to submit comment")</f>
        <v>Click here to submit comment</v>
      </c>
    </row>
    <row r="531" spans="1:16" ht="30">
      <c r="A531" s="6" t="s">
        <v>6715</v>
      </c>
      <c r="B531" s="6" t="s">
        <v>6784</v>
      </c>
      <c r="C531" s="6" t="s">
        <v>6787</v>
      </c>
      <c r="D531" s="6" t="s">
        <v>908</v>
      </c>
      <c r="E531" s="6" t="s">
        <v>909</v>
      </c>
      <c r="F531" s="6" t="s">
        <v>13</v>
      </c>
      <c r="G531" s="6" t="s">
        <v>493</v>
      </c>
      <c r="H531" s="6"/>
      <c r="I531" s="6" t="s">
        <v>93</v>
      </c>
      <c r="J531" s="6"/>
      <c r="K531" s="6"/>
      <c r="L531" s="6" t="s">
        <v>910</v>
      </c>
      <c r="M531" s="6"/>
      <c r="N531" s="6" t="s">
        <v>911</v>
      </c>
      <c r="O531" s="6" t="str">
        <f>HYPERLINK("https://ceds.ed.gov/cedselementdetails.aspx?termid=6069")</f>
        <v>https://ceds.ed.gov/cedselementdetails.aspx?termid=6069</v>
      </c>
      <c r="P531" s="6" t="str">
        <f>HYPERLINK("https://ceds.ed.gov/elementComment.aspx?elementName=Assessment Item Response Value &amp;elementID=6069", "Click here to submit comment")</f>
        <v>Click here to submit comment</v>
      </c>
    </row>
    <row r="532" spans="1:16" ht="90">
      <c r="A532" s="6" t="s">
        <v>6715</v>
      </c>
      <c r="B532" s="6" t="s">
        <v>6784</v>
      </c>
      <c r="C532" s="6" t="s">
        <v>6787</v>
      </c>
      <c r="D532" s="6" t="s">
        <v>2367</v>
      </c>
      <c r="E532" s="6" t="s">
        <v>2368</v>
      </c>
      <c r="F532" s="7" t="s">
        <v>6481</v>
      </c>
      <c r="G532" s="6"/>
      <c r="H532" s="6" t="s">
        <v>54</v>
      </c>
      <c r="I532" s="6"/>
      <c r="J532" s="6"/>
      <c r="K532" s="6"/>
      <c r="L532" s="6" t="s">
        <v>2370</v>
      </c>
      <c r="M532" s="6"/>
      <c r="N532" s="6" t="s">
        <v>2371</v>
      </c>
      <c r="O532" s="6" t="str">
        <f>HYPERLINK("https://ceds.ed.gov/cedselementdetails.aspx?termid=6303")</f>
        <v>https://ceds.ed.gov/cedselementdetails.aspx?termid=6303</v>
      </c>
      <c r="P532" s="6" t="str">
        <f>HYPERLINK("https://ceds.ed.gov/elementComment.aspx?elementName=Early Learning Outcome Measurement Level &amp;elementID=6303", "Click here to submit comment")</f>
        <v>Click here to submit comment</v>
      </c>
    </row>
    <row r="533" spans="1:16" ht="90">
      <c r="A533" s="6" t="s">
        <v>6715</v>
      </c>
      <c r="B533" s="6" t="s">
        <v>6784</v>
      </c>
      <c r="C533" s="6" t="s">
        <v>6787</v>
      </c>
      <c r="D533" s="6" t="s">
        <v>2372</v>
      </c>
      <c r="E533" s="6" t="s">
        <v>2373</v>
      </c>
      <c r="F533" s="7" t="s">
        <v>6482</v>
      </c>
      <c r="G533" s="6"/>
      <c r="H533" s="6" t="s">
        <v>54</v>
      </c>
      <c r="I533" s="6"/>
      <c r="J533" s="6"/>
      <c r="K533" s="6"/>
      <c r="L533" s="6" t="s">
        <v>2374</v>
      </c>
      <c r="M533" s="6"/>
      <c r="N533" s="6" t="s">
        <v>2375</v>
      </c>
      <c r="O533" s="6" t="str">
        <f>HYPERLINK("https://ceds.ed.gov/cedselementdetails.aspx?termid=6475")</f>
        <v>https://ceds.ed.gov/cedselementdetails.aspx?termid=6475</v>
      </c>
      <c r="P533" s="6" t="str">
        <f>HYPERLINK("https://ceds.ed.gov/elementComment.aspx?elementName=Early Learning Outcome Time Point &amp;elementID=6475", "Click here to submit comment")</f>
        <v>Click here to submit comment</v>
      </c>
    </row>
    <row r="534" spans="1:16" ht="165">
      <c r="A534" s="6" t="s">
        <v>6788</v>
      </c>
      <c r="B534" s="6" t="s">
        <v>6789</v>
      </c>
      <c r="C534" s="6" t="s">
        <v>6780</v>
      </c>
      <c r="D534" s="6" t="s">
        <v>5224</v>
      </c>
      <c r="E534" s="6" t="s">
        <v>269</v>
      </c>
      <c r="F534" s="6" t="s">
        <v>13</v>
      </c>
      <c r="G534" s="6" t="s">
        <v>6308</v>
      </c>
      <c r="H534" s="6"/>
      <c r="I534" s="6" t="s">
        <v>100</v>
      </c>
      <c r="J534" s="6"/>
      <c r="K534" s="6"/>
      <c r="L534" s="6" t="s">
        <v>5225</v>
      </c>
      <c r="M534" s="6"/>
      <c r="N534" s="6" t="s">
        <v>5226</v>
      </c>
      <c r="O534" s="6" t="str">
        <f>HYPERLINK("https://ceds.ed.gov/cedselementdetails.aspx?termid=5155")</f>
        <v>https://ceds.ed.gov/cedselementdetails.aspx?termid=5155</v>
      </c>
      <c r="P534" s="6" t="str">
        <f>HYPERLINK("https://ceds.ed.gov/elementComment.aspx?elementName=School Identifier &amp;elementID=5155", "Click here to submit comment")</f>
        <v>Click here to submit comment</v>
      </c>
    </row>
    <row r="535" spans="1:16" ht="360">
      <c r="A535" s="6" t="s">
        <v>6788</v>
      </c>
      <c r="B535" s="6" t="s">
        <v>6789</v>
      </c>
      <c r="C535" s="6" t="s">
        <v>6780</v>
      </c>
      <c r="D535" s="6" t="s">
        <v>5221</v>
      </c>
      <c r="E535" s="6" t="s">
        <v>265</v>
      </c>
      <c r="F535" s="7" t="s">
        <v>6645</v>
      </c>
      <c r="G535" s="6" t="s">
        <v>6308</v>
      </c>
      <c r="H535" s="6"/>
      <c r="I535" s="6"/>
      <c r="J535" s="6"/>
      <c r="K535" s="6"/>
      <c r="L535" s="6" t="s">
        <v>5222</v>
      </c>
      <c r="M535" s="6"/>
      <c r="N535" s="6" t="s">
        <v>5223</v>
      </c>
      <c r="O535" s="6" t="str">
        <f>HYPERLINK("https://ceds.ed.gov/cedselementdetails.aspx?termid=5161")</f>
        <v>https://ceds.ed.gov/cedselementdetails.aspx?termid=5161</v>
      </c>
      <c r="P535" s="6" t="str">
        <f>HYPERLINK("https://ceds.ed.gov/elementComment.aspx?elementName=School Identification System &amp;elementID=5161", "Click here to submit comment")</f>
        <v>Click here to submit comment</v>
      </c>
    </row>
    <row r="536" spans="1:16" ht="225">
      <c r="A536" s="6" t="s">
        <v>6788</v>
      </c>
      <c r="B536" s="6" t="s">
        <v>6789</v>
      </c>
      <c r="C536" s="6" t="s">
        <v>6780</v>
      </c>
      <c r="D536" s="6" t="s">
        <v>4189</v>
      </c>
      <c r="E536" s="6" t="s">
        <v>4190</v>
      </c>
      <c r="F536" s="6" t="s">
        <v>13</v>
      </c>
      <c r="G536" s="6" t="s">
        <v>6257</v>
      </c>
      <c r="H536" s="6"/>
      <c r="I536" s="6" t="s">
        <v>106</v>
      </c>
      <c r="J536" s="6"/>
      <c r="K536" s="6"/>
      <c r="L536" s="6" t="s">
        <v>4191</v>
      </c>
      <c r="M536" s="6"/>
      <c r="N536" s="6" t="s">
        <v>4192</v>
      </c>
      <c r="O536" s="6" t="str">
        <f>HYPERLINK("https://ceds.ed.gov/cedselementdetails.aspx?termid=5191")</f>
        <v>https://ceds.ed.gov/cedselementdetails.aspx?termid=5191</v>
      </c>
      <c r="P536" s="6" t="str">
        <f>HYPERLINK("https://ceds.ed.gov/elementComment.aspx?elementName=Name of Institution &amp;elementID=5191", "Click here to submit comment")</f>
        <v>Click here to submit comment</v>
      </c>
    </row>
    <row r="537" spans="1:16" ht="409.5">
      <c r="A537" s="6" t="s">
        <v>6788</v>
      </c>
      <c r="B537" s="6" t="s">
        <v>6789</v>
      </c>
      <c r="C537" s="6" t="s">
        <v>6780</v>
      </c>
      <c r="D537" s="6" t="s">
        <v>4361</v>
      </c>
      <c r="E537" s="6" t="s">
        <v>4362</v>
      </c>
      <c r="F537" s="7" t="s">
        <v>6592</v>
      </c>
      <c r="G537" s="6"/>
      <c r="H537" s="6" t="s">
        <v>66</v>
      </c>
      <c r="I537" s="6" t="s">
        <v>149</v>
      </c>
      <c r="J537" s="6" t="s">
        <v>4363</v>
      </c>
      <c r="K537" s="6" t="s">
        <v>4364</v>
      </c>
      <c r="L537" s="6" t="s">
        <v>4365</v>
      </c>
      <c r="M537" s="6"/>
      <c r="N537" s="6" t="s">
        <v>4366</v>
      </c>
      <c r="O537" s="6" t="str">
        <f>HYPERLINK("https://ceds.ed.gov/cedselementdetails.aspx?termid=6165")</f>
        <v>https://ceds.ed.gov/cedselementdetails.aspx?termid=6165</v>
      </c>
      <c r="P537" s="6" t="str">
        <f>HYPERLINK("https://ceds.ed.gov/elementComment.aspx?elementName=Organization Type &amp;elementID=6165", "Click here to submit comment")</f>
        <v>Click here to submit comment</v>
      </c>
    </row>
    <row r="538" spans="1:16" ht="90">
      <c r="A538" s="6" t="s">
        <v>6788</v>
      </c>
      <c r="B538" s="6" t="s">
        <v>6789</v>
      </c>
      <c r="C538" s="6" t="s">
        <v>6780</v>
      </c>
      <c r="D538" s="6" t="s">
        <v>5361</v>
      </c>
      <c r="E538" s="6" t="s">
        <v>5362</v>
      </c>
      <c r="F538" s="6" t="s">
        <v>13</v>
      </c>
      <c r="G538" s="6"/>
      <c r="H538" s="6" t="s">
        <v>54</v>
      </c>
      <c r="I538" s="6" t="s">
        <v>100</v>
      </c>
      <c r="J538" s="6"/>
      <c r="K538" s="6" t="s">
        <v>5363</v>
      </c>
      <c r="L538" s="6" t="s">
        <v>5364</v>
      </c>
      <c r="M538" s="6"/>
      <c r="N538" s="6" t="s">
        <v>5365</v>
      </c>
      <c r="O538" s="6" t="str">
        <f>HYPERLINK("https://ceds.ed.gov/cedselementdetails.aspx?termid=6459")</f>
        <v>https://ceds.ed.gov/cedselementdetails.aspx?termid=6459</v>
      </c>
      <c r="P538" s="6" t="str">
        <f>HYPERLINK("https://ceds.ed.gov/elementComment.aspx?elementName=Short Name of Institution &amp;elementID=6459", "Click here to submit comment")</f>
        <v>Click here to submit comment</v>
      </c>
    </row>
    <row r="539" spans="1:16" ht="90">
      <c r="A539" s="6" t="s">
        <v>6788</v>
      </c>
      <c r="B539" s="6" t="s">
        <v>6789</v>
      </c>
      <c r="C539" s="6" t="s">
        <v>6749</v>
      </c>
      <c r="D539" s="6" t="s">
        <v>196</v>
      </c>
      <c r="E539" s="6" t="s">
        <v>197</v>
      </c>
      <c r="F539" s="7" t="s">
        <v>6354</v>
      </c>
      <c r="G539" s="6" t="s">
        <v>5968</v>
      </c>
      <c r="H539" s="6" t="s">
        <v>3</v>
      </c>
      <c r="I539" s="6" t="s">
        <v>100</v>
      </c>
      <c r="J539" s="6"/>
      <c r="K539" s="6"/>
      <c r="L539" s="6" t="s">
        <v>198</v>
      </c>
      <c r="M539" s="6"/>
      <c r="N539" s="6" t="s">
        <v>199</v>
      </c>
      <c r="O539" s="6" t="str">
        <f>HYPERLINK("https://ceds.ed.gov/cedselementdetails.aspx?termid=5644")</f>
        <v>https://ceds.ed.gov/cedselementdetails.aspx?termid=5644</v>
      </c>
      <c r="P539" s="6" t="str">
        <f>HYPERLINK("https://ceds.ed.gov/elementComment.aspx?elementName=Address Type for Organization &amp;elementID=5644", "Click here to submit comment")</f>
        <v>Click here to submit comment</v>
      </c>
    </row>
    <row r="540" spans="1:16" ht="225">
      <c r="A540" s="6" t="s">
        <v>6788</v>
      </c>
      <c r="B540" s="6" t="s">
        <v>6789</v>
      </c>
      <c r="C540" s="6" t="s">
        <v>6749</v>
      </c>
      <c r="D540" s="6" t="s">
        <v>187</v>
      </c>
      <c r="E540" s="6" t="s">
        <v>188</v>
      </c>
      <c r="F540" s="6" t="s">
        <v>13</v>
      </c>
      <c r="G540" s="6" t="s">
        <v>5973</v>
      </c>
      <c r="H540" s="6" t="s">
        <v>3</v>
      </c>
      <c r="I540" s="6" t="s">
        <v>149</v>
      </c>
      <c r="J540" s="6"/>
      <c r="K540" s="6"/>
      <c r="L540" s="6" t="s">
        <v>189</v>
      </c>
      <c r="M540" s="6"/>
      <c r="N540" s="6" t="s">
        <v>190</v>
      </c>
      <c r="O540" s="6" t="str">
        <f>HYPERLINK("https://ceds.ed.gov/cedselementdetails.aspx?termid=5269")</f>
        <v>https://ceds.ed.gov/cedselementdetails.aspx?termid=5269</v>
      </c>
      <c r="P540" s="6" t="str">
        <f>HYPERLINK("https://ceds.ed.gov/elementComment.aspx?elementName=Address Street Number and Name &amp;elementID=5269", "Click here to submit comment")</f>
        <v>Click here to submit comment</v>
      </c>
    </row>
    <row r="541" spans="1:16" ht="225">
      <c r="A541" s="6" t="s">
        <v>6788</v>
      </c>
      <c r="B541" s="6" t="s">
        <v>6789</v>
      </c>
      <c r="C541" s="6" t="s">
        <v>6749</v>
      </c>
      <c r="D541" s="6" t="s">
        <v>170</v>
      </c>
      <c r="E541" s="6" t="s">
        <v>171</v>
      </c>
      <c r="F541" s="6" t="s">
        <v>13</v>
      </c>
      <c r="G541" s="6" t="s">
        <v>5973</v>
      </c>
      <c r="H541" s="6" t="s">
        <v>3</v>
      </c>
      <c r="I541" s="6" t="s">
        <v>100</v>
      </c>
      <c r="J541" s="6"/>
      <c r="K541" s="6"/>
      <c r="L541" s="6" t="s">
        <v>172</v>
      </c>
      <c r="M541" s="6"/>
      <c r="N541" s="6" t="s">
        <v>173</v>
      </c>
      <c r="O541" s="6" t="str">
        <f>HYPERLINK("https://ceds.ed.gov/cedselementdetails.aspx?termid=5019")</f>
        <v>https://ceds.ed.gov/cedselementdetails.aspx?termid=5019</v>
      </c>
      <c r="P541" s="6" t="str">
        <f>HYPERLINK("https://ceds.ed.gov/elementComment.aspx?elementName=Address Apartment Room or Suite Number &amp;elementID=5019", "Click here to submit comment")</f>
        <v>Click here to submit comment</v>
      </c>
    </row>
    <row r="542" spans="1:16" ht="45">
      <c r="A542" s="6" t="s">
        <v>6788</v>
      </c>
      <c r="B542" s="6" t="s">
        <v>6789</v>
      </c>
      <c r="C542" s="6" t="s">
        <v>6749</v>
      </c>
      <c r="D542" s="6" t="s">
        <v>1502</v>
      </c>
      <c r="E542" s="6" t="s">
        <v>1503</v>
      </c>
      <c r="F542" s="6" t="s">
        <v>13</v>
      </c>
      <c r="G542" s="6"/>
      <c r="H542" s="6"/>
      <c r="I542" s="6" t="s">
        <v>100</v>
      </c>
      <c r="J542" s="6"/>
      <c r="K542" s="6"/>
      <c r="L542" s="6" t="s">
        <v>1505</v>
      </c>
      <c r="M542" s="6"/>
      <c r="N542" s="6" t="s">
        <v>1506</v>
      </c>
      <c r="O542" s="6" t="str">
        <f>HYPERLINK("https://ceds.ed.gov/cedselementdetails.aspx?termid=5595")</f>
        <v>https://ceds.ed.gov/cedselementdetails.aspx?termid=5595</v>
      </c>
      <c r="P542" s="6" t="str">
        <f>HYPERLINK("https://ceds.ed.gov/elementComment.aspx?elementName=Building Site Number &amp;elementID=5595", "Click here to submit comment")</f>
        <v>Click here to submit comment</v>
      </c>
    </row>
    <row r="543" spans="1:16" ht="225">
      <c r="A543" s="6" t="s">
        <v>6788</v>
      </c>
      <c r="B543" s="6" t="s">
        <v>6789</v>
      </c>
      <c r="C543" s="6" t="s">
        <v>6749</v>
      </c>
      <c r="D543" s="6" t="s">
        <v>174</v>
      </c>
      <c r="E543" s="6" t="s">
        <v>175</v>
      </c>
      <c r="F543" s="6" t="s">
        <v>13</v>
      </c>
      <c r="G543" s="6" t="s">
        <v>5973</v>
      </c>
      <c r="H543" s="6" t="s">
        <v>3</v>
      </c>
      <c r="I543" s="6" t="s">
        <v>100</v>
      </c>
      <c r="J543" s="6"/>
      <c r="K543" s="6"/>
      <c r="L543" s="6" t="s">
        <v>176</v>
      </c>
      <c r="M543" s="6"/>
      <c r="N543" s="6" t="s">
        <v>177</v>
      </c>
      <c r="O543" s="6" t="str">
        <f>HYPERLINK("https://ceds.ed.gov/cedselementdetails.aspx?termid=5040")</f>
        <v>https://ceds.ed.gov/cedselementdetails.aspx?termid=5040</v>
      </c>
      <c r="P543" s="6" t="str">
        <f>HYPERLINK("https://ceds.ed.gov/elementComment.aspx?elementName=Address City &amp;elementID=5040", "Click here to submit comment")</f>
        <v>Click here to submit comment</v>
      </c>
    </row>
    <row r="544" spans="1:16" ht="409.5">
      <c r="A544" s="6" t="s">
        <v>6788</v>
      </c>
      <c r="B544" s="6" t="s">
        <v>6789</v>
      </c>
      <c r="C544" s="6" t="s">
        <v>6749</v>
      </c>
      <c r="D544" s="6" t="s">
        <v>5533</v>
      </c>
      <c r="E544" s="6" t="s">
        <v>5534</v>
      </c>
      <c r="F544" s="7" t="s">
        <v>6633</v>
      </c>
      <c r="G544" s="6" t="s">
        <v>6324</v>
      </c>
      <c r="H544" s="6" t="s">
        <v>3</v>
      </c>
      <c r="I544" s="6"/>
      <c r="J544" s="6"/>
      <c r="K544" s="6"/>
      <c r="L544" s="6" t="s">
        <v>5535</v>
      </c>
      <c r="M544" s="6"/>
      <c r="N544" s="6" t="s">
        <v>5536</v>
      </c>
      <c r="O544" s="6" t="str">
        <f>HYPERLINK("https://ceds.ed.gov/cedselementdetails.aspx?termid=5267")</f>
        <v>https://ceds.ed.gov/cedselementdetails.aspx?termid=5267</v>
      </c>
      <c r="P544" s="6" t="str">
        <f>HYPERLINK("https://ceds.ed.gov/elementComment.aspx?elementName=State Abbreviation &amp;elementID=5267", "Click here to submit comment")</f>
        <v>Click here to submit comment</v>
      </c>
    </row>
    <row r="545" spans="1:16" ht="225">
      <c r="A545" s="6" t="s">
        <v>6788</v>
      </c>
      <c r="B545" s="6" t="s">
        <v>6789</v>
      </c>
      <c r="C545" s="6" t="s">
        <v>6749</v>
      </c>
      <c r="D545" s="6" t="s">
        <v>182</v>
      </c>
      <c r="E545" s="6" t="s">
        <v>183</v>
      </c>
      <c r="F545" s="6" t="s">
        <v>13</v>
      </c>
      <c r="G545" s="6" t="s">
        <v>5973</v>
      </c>
      <c r="H545" s="6" t="s">
        <v>3</v>
      </c>
      <c r="I545" s="6" t="s">
        <v>184</v>
      </c>
      <c r="J545" s="6"/>
      <c r="K545" s="6"/>
      <c r="L545" s="6" t="s">
        <v>185</v>
      </c>
      <c r="M545" s="6"/>
      <c r="N545" s="6" t="s">
        <v>186</v>
      </c>
      <c r="O545" s="6" t="str">
        <f>HYPERLINK("https://ceds.ed.gov/cedselementdetails.aspx?termid=5214")</f>
        <v>https://ceds.ed.gov/cedselementdetails.aspx?termid=5214</v>
      </c>
      <c r="P545" s="6" t="str">
        <f>HYPERLINK("https://ceds.ed.gov/elementComment.aspx?elementName=Address Postal Code &amp;elementID=5214", "Click here to submit comment")</f>
        <v>Click here to submit comment</v>
      </c>
    </row>
    <row r="546" spans="1:16" ht="225">
      <c r="A546" s="6" t="s">
        <v>6788</v>
      </c>
      <c r="B546" s="6" t="s">
        <v>6789</v>
      </c>
      <c r="C546" s="6" t="s">
        <v>6749</v>
      </c>
      <c r="D546" s="6" t="s">
        <v>178</v>
      </c>
      <c r="E546" s="6" t="s">
        <v>179</v>
      </c>
      <c r="F546" s="6" t="s">
        <v>13</v>
      </c>
      <c r="G546" s="6" t="s">
        <v>5973</v>
      </c>
      <c r="H546" s="6" t="s">
        <v>3</v>
      </c>
      <c r="I546" s="6" t="s">
        <v>100</v>
      </c>
      <c r="J546" s="6"/>
      <c r="K546" s="6"/>
      <c r="L546" s="6" t="s">
        <v>180</v>
      </c>
      <c r="M546" s="6"/>
      <c r="N546" s="6" t="s">
        <v>181</v>
      </c>
      <c r="O546" s="6" t="str">
        <f>HYPERLINK("https://ceds.ed.gov/cedselementdetails.aspx?termid=5190")</f>
        <v>https://ceds.ed.gov/cedselementdetails.aspx?termid=5190</v>
      </c>
      <c r="P546" s="6" t="str">
        <f>HYPERLINK("https://ceds.ed.gov/elementComment.aspx?elementName=Address County Name &amp;elementID=5190", "Click here to submit comment")</f>
        <v>Click here to submit comment</v>
      </c>
    </row>
    <row r="547" spans="1:16" ht="180">
      <c r="A547" s="6" t="s">
        <v>6788</v>
      </c>
      <c r="B547" s="6" t="s">
        <v>6789</v>
      </c>
      <c r="C547" s="6" t="s">
        <v>6749</v>
      </c>
      <c r="D547" s="6" t="s">
        <v>1817</v>
      </c>
      <c r="E547" s="6" t="s">
        <v>1818</v>
      </c>
      <c r="F547" s="6" t="s">
        <v>13</v>
      </c>
      <c r="G547" s="6"/>
      <c r="H547" s="6" t="s">
        <v>66</v>
      </c>
      <c r="I547" s="6" t="s">
        <v>1819</v>
      </c>
      <c r="J547" s="6" t="s">
        <v>1820</v>
      </c>
      <c r="K547" s="6"/>
      <c r="L547" s="6" t="s">
        <v>1821</v>
      </c>
      <c r="M547" s="6"/>
      <c r="N547" s="6" t="s">
        <v>1822</v>
      </c>
      <c r="O547" s="6" t="str">
        <f>HYPERLINK("https://ceds.ed.gov/cedselementdetails.aspx?termid=6176")</f>
        <v>https://ceds.ed.gov/cedselementdetails.aspx?termid=6176</v>
      </c>
      <c r="P547" s="6" t="str">
        <f>HYPERLINK("https://ceds.ed.gov/elementComment.aspx?elementName=County ANSI Code &amp;elementID=6176", "Click here to submit comment")</f>
        <v>Click here to submit comment</v>
      </c>
    </row>
    <row r="548" spans="1:16" ht="75">
      <c r="A548" s="6" t="s">
        <v>6788</v>
      </c>
      <c r="B548" s="6" t="s">
        <v>6789</v>
      </c>
      <c r="C548" s="6" t="s">
        <v>6749</v>
      </c>
      <c r="D548" s="6" t="s">
        <v>3436</v>
      </c>
      <c r="E548" s="6" t="s">
        <v>3437</v>
      </c>
      <c r="F548" s="6" t="s">
        <v>13</v>
      </c>
      <c r="G548" s="6"/>
      <c r="H548" s="6"/>
      <c r="I548" s="6" t="s">
        <v>1127</v>
      </c>
      <c r="J548" s="6"/>
      <c r="K548" s="6"/>
      <c r="L548" s="6" t="s">
        <v>3438</v>
      </c>
      <c r="M548" s="6"/>
      <c r="N548" s="6" t="s">
        <v>3436</v>
      </c>
      <c r="O548" s="6" t="str">
        <f>HYPERLINK("https://ceds.ed.gov/cedselementdetails.aspx?termid=5599")</f>
        <v>https://ceds.ed.gov/cedselementdetails.aspx?termid=5599</v>
      </c>
      <c r="P548" s="6" t="str">
        <f>HYPERLINK("https://ceds.ed.gov/elementComment.aspx?elementName=Latitude &amp;elementID=5599", "Click here to submit comment")</f>
        <v>Click here to submit comment</v>
      </c>
    </row>
    <row r="549" spans="1:16" ht="75">
      <c r="A549" s="6" t="s">
        <v>6788</v>
      </c>
      <c r="B549" s="6" t="s">
        <v>6789</v>
      </c>
      <c r="C549" s="6" t="s">
        <v>6749</v>
      </c>
      <c r="D549" s="6" t="s">
        <v>4053</v>
      </c>
      <c r="E549" s="6" t="s">
        <v>4054</v>
      </c>
      <c r="F549" s="6" t="s">
        <v>13</v>
      </c>
      <c r="G549" s="6"/>
      <c r="H549" s="6"/>
      <c r="I549" s="6" t="s">
        <v>1127</v>
      </c>
      <c r="J549" s="6"/>
      <c r="K549" s="6"/>
      <c r="L549" s="6" t="s">
        <v>4055</v>
      </c>
      <c r="M549" s="6"/>
      <c r="N549" s="6" t="s">
        <v>4053</v>
      </c>
      <c r="O549" s="6" t="str">
        <f>HYPERLINK("https://ceds.ed.gov/cedselementdetails.aspx?termid=5600")</f>
        <v>https://ceds.ed.gov/cedselementdetails.aspx?termid=5600</v>
      </c>
      <c r="P549" s="6" t="str">
        <f>HYPERLINK("https://ceds.ed.gov/elementComment.aspx?elementName=Longitude &amp;elementID=5600", "Click here to submit comment")</f>
        <v>Click here to submit comment</v>
      </c>
    </row>
    <row r="550" spans="1:16" ht="240">
      <c r="A550" s="6" t="s">
        <v>6788</v>
      </c>
      <c r="B550" s="6" t="s">
        <v>6789</v>
      </c>
      <c r="C550" s="6" t="s">
        <v>6750</v>
      </c>
      <c r="D550" s="6" t="s">
        <v>3289</v>
      </c>
      <c r="E550" s="6" t="s">
        <v>3290</v>
      </c>
      <c r="F550" s="7" t="s">
        <v>6553</v>
      </c>
      <c r="G550" s="6"/>
      <c r="H550" s="6"/>
      <c r="I550" s="6"/>
      <c r="J550" s="6"/>
      <c r="K550" s="6"/>
      <c r="L550" s="6" t="s">
        <v>3291</v>
      </c>
      <c r="M550" s="6"/>
      <c r="N550" s="6" t="s">
        <v>3292</v>
      </c>
      <c r="O550" s="6" t="str">
        <f>HYPERLINK("https://ceds.ed.gov/cedselementdetails.aspx?termid=5167")</f>
        <v>https://ceds.ed.gov/cedselementdetails.aspx?termid=5167</v>
      </c>
      <c r="P550" s="6" t="str">
        <f>HYPERLINK("https://ceds.ed.gov/elementComment.aspx?elementName=Institution Telephone Number Type &amp;elementID=5167", "Click here to submit comment")</f>
        <v>Click here to submit comment</v>
      </c>
    </row>
    <row r="551" spans="1:16" ht="90">
      <c r="A551" s="6" t="s">
        <v>6788</v>
      </c>
      <c r="B551" s="6" t="s">
        <v>6789</v>
      </c>
      <c r="C551" s="6" t="s">
        <v>6750</v>
      </c>
      <c r="D551" s="6" t="s">
        <v>4591</v>
      </c>
      <c r="E551" s="6" t="s">
        <v>4592</v>
      </c>
      <c r="F551" s="6" t="s">
        <v>5963</v>
      </c>
      <c r="G551" s="6" t="s">
        <v>5968</v>
      </c>
      <c r="H551" s="6" t="s">
        <v>3</v>
      </c>
      <c r="I551" s="6"/>
      <c r="J551" s="6"/>
      <c r="K551" s="6"/>
      <c r="L551" s="6" t="s">
        <v>4593</v>
      </c>
      <c r="M551" s="6"/>
      <c r="N551" s="6" t="s">
        <v>4594</v>
      </c>
      <c r="O551" s="6" t="str">
        <f>HYPERLINK("https://ceds.ed.gov/cedselementdetails.aspx?termid=5219")</f>
        <v>https://ceds.ed.gov/cedselementdetails.aspx?termid=5219</v>
      </c>
      <c r="P551" s="6" t="str">
        <f>HYPERLINK("https://ceds.ed.gov/elementComment.aspx?elementName=Primary Telephone Number Indicator &amp;elementID=5219", "Click here to submit comment")</f>
        <v>Click here to submit comment</v>
      </c>
    </row>
    <row r="552" spans="1:16" ht="90">
      <c r="A552" s="6" t="s">
        <v>6788</v>
      </c>
      <c r="B552" s="6" t="s">
        <v>6789</v>
      </c>
      <c r="C552" s="6" t="s">
        <v>6750</v>
      </c>
      <c r="D552" s="6" t="s">
        <v>5727</v>
      </c>
      <c r="E552" s="6" t="s">
        <v>5728</v>
      </c>
      <c r="F552" s="6" t="s">
        <v>13</v>
      </c>
      <c r="G552" s="6" t="s">
        <v>5968</v>
      </c>
      <c r="H552" s="6" t="s">
        <v>3</v>
      </c>
      <c r="I552" s="6" t="s">
        <v>5729</v>
      </c>
      <c r="J552" s="6"/>
      <c r="K552" s="6"/>
      <c r="L552" s="6" t="s">
        <v>5730</v>
      </c>
      <c r="M552" s="6"/>
      <c r="N552" s="6" t="s">
        <v>5731</v>
      </c>
      <c r="O552" s="6" t="str">
        <f>HYPERLINK("https://ceds.ed.gov/cedselementdetails.aspx?termid=5279")</f>
        <v>https://ceds.ed.gov/cedselementdetails.aspx?termid=5279</v>
      </c>
      <c r="P552" s="6" t="str">
        <f>HYPERLINK("https://ceds.ed.gov/elementComment.aspx?elementName=Telephone Number &amp;elementID=5279", "Click here to submit comment")</f>
        <v>Click here to submit comment</v>
      </c>
    </row>
    <row r="553" spans="1:16" ht="409.5">
      <c r="A553" s="6" t="s">
        <v>6788</v>
      </c>
      <c r="B553" s="6" t="s">
        <v>6789</v>
      </c>
      <c r="C553" s="6" t="s">
        <v>6790</v>
      </c>
      <c r="D553" s="6" t="s">
        <v>2891</v>
      </c>
      <c r="E553" s="6" t="s">
        <v>2892</v>
      </c>
      <c r="F553" s="7" t="s">
        <v>6522</v>
      </c>
      <c r="G553" s="6" t="s">
        <v>5968</v>
      </c>
      <c r="H553" s="6"/>
      <c r="I553" s="6"/>
      <c r="J553" s="6"/>
      <c r="K553" s="6"/>
      <c r="L553" s="6" t="s">
        <v>2893</v>
      </c>
      <c r="M553" s="6"/>
      <c r="N553" s="6" t="s">
        <v>2894</v>
      </c>
      <c r="O553" s="6" t="str">
        <f>HYPERLINK("https://ceds.ed.gov/cedselementdetails.aspx?termid=5131")</f>
        <v>https://ceds.ed.gov/cedselementdetails.aspx?termid=5131</v>
      </c>
      <c r="P553" s="6" t="str">
        <f>HYPERLINK("https://ceds.ed.gov/elementComment.aspx?elementName=Grades Offered &amp;elementID=5131", "Click here to submit comment")</f>
        <v>Click here to submit comment</v>
      </c>
    </row>
    <row r="554" spans="1:16" ht="135">
      <c r="A554" s="6" t="s">
        <v>6788</v>
      </c>
      <c r="B554" s="6" t="s">
        <v>6789</v>
      </c>
      <c r="C554" s="6" t="s">
        <v>6790</v>
      </c>
      <c r="D554" s="6" t="s">
        <v>5259</v>
      </c>
      <c r="E554" s="6" t="s">
        <v>5260</v>
      </c>
      <c r="F554" s="7" t="s">
        <v>6650</v>
      </c>
      <c r="G554" s="6" t="s">
        <v>5968</v>
      </c>
      <c r="H554" s="6"/>
      <c r="I554" s="6"/>
      <c r="J554" s="6"/>
      <c r="K554" s="6"/>
      <c r="L554" s="6" t="s">
        <v>5261</v>
      </c>
      <c r="M554" s="6"/>
      <c r="N554" s="6" t="s">
        <v>5262</v>
      </c>
      <c r="O554" s="6" t="str">
        <f>HYPERLINK("https://ceds.ed.gov/cedselementdetails.aspx?termid=5242")</f>
        <v>https://ceds.ed.gov/cedselementdetails.aspx?termid=5242</v>
      </c>
      <c r="P554" s="6" t="str">
        <f>HYPERLINK("https://ceds.ed.gov/elementComment.aspx?elementName=School Type &amp;elementID=5242", "Click here to submit comment")</f>
        <v>Click here to submit comment</v>
      </c>
    </row>
    <row r="555" spans="1:16" ht="135">
      <c r="A555" s="6" t="s">
        <v>6788</v>
      </c>
      <c r="B555" s="6" t="s">
        <v>6789</v>
      </c>
      <c r="C555" s="6" t="s">
        <v>6790</v>
      </c>
      <c r="D555" s="6" t="s">
        <v>4060</v>
      </c>
      <c r="E555" s="6" t="s">
        <v>4061</v>
      </c>
      <c r="F555" s="7" t="s">
        <v>6581</v>
      </c>
      <c r="G555" s="6" t="s">
        <v>5968</v>
      </c>
      <c r="H555" s="6"/>
      <c r="I555" s="6"/>
      <c r="J555" s="6"/>
      <c r="K555" s="6"/>
      <c r="L555" s="6" t="s">
        <v>4062</v>
      </c>
      <c r="M555" s="6"/>
      <c r="N555" s="6" t="s">
        <v>4063</v>
      </c>
      <c r="O555" s="6" t="str">
        <f>HYPERLINK("https://ceds.ed.gov/cedselementdetails.aspx?termid=5181")</f>
        <v>https://ceds.ed.gov/cedselementdetails.aspx?termid=5181</v>
      </c>
      <c r="P555" s="6" t="str">
        <f>HYPERLINK("https://ceds.ed.gov/elementComment.aspx?elementName=Magnet or Special Program Emphasis School &amp;elementID=5181", "Click here to submit comment")</f>
        <v>Click here to submit comment</v>
      </c>
    </row>
    <row r="556" spans="1:16" ht="105">
      <c r="A556" s="6" t="s">
        <v>6788</v>
      </c>
      <c r="B556" s="6" t="s">
        <v>6789</v>
      </c>
      <c r="C556" s="6" t="s">
        <v>6790</v>
      </c>
      <c r="D556" s="6" t="s">
        <v>1619</v>
      </c>
      <c r="E556" s="6" t="s">
        <v>1620</v>
      </c>
      <c r="F556" s="6" t="s">
        <v>5963</v>
      </c>
      <c r="G556" s="6" t="s">
        <v>5968</v>
      </c>
      <c r="H556" s="6"/>
      <c r="I556" s="6"/>
      <c r="J556" s="6"/>
      <c r="K556" s="6"/>
      <c r="L556" s="6" t="s">
        <v>1621</v>
      </c>
      <c r="M556" s="6"/>
      <c r="N556" s="6" t="s">
        <v>1622</v>
      </c>
      <c r="O556" s="6" t="str">
        <f>HYPERLINK("https://ceds.ed.gov/cedselementdetails.aspx?termid=5039")</f>
        <v>https://ceds.ed.gov/cedselementdetails.aspx?termid=5039</v>
      </c>
      <c r="P556" s="6" t="str">
        <f>HYPERLINK("https://ceds.ed.gov/elementComment.aspx?elementName=Charter School Indicator &amp;elementID=5039", "Click here to submit comment")</f>
        <v>Click here to submit comment</v>
      </c>
    </row>
    <row r="557" spans="1:16" ht="240">
      <c r="A557" s="6" t="s">
        <v>6788</v>
      </c>
      <c r="B557" s="6" t="s">
        <v>6789</v>
      </c>
      <c r="C557" s="6" t="s">
        <v>6790</v>
      </c>
      <c r="D557" s="6" t="s">
        <v>5251</v>
      </c>
      <c r="E557" s="6" t="s">
        <v>5252</v>
      </c>
      <c r="F557" s="7" t="s">
        <v>6648</v>
      </c>
      <c r="G557" s="6"/>
      <c r="H557" s="6"/>
      <c r="I557" s="6"/>
      <c r="J557" s="6"/>
      <c r="K557" s="6"/>
      <c r="L557" s="6" t="s">
        <v>5253</v>
      </c>
      <c r="M557" s="6"/>
      <c r="N557" s="6" t="s">
        <v>5254</v>
      </c>
      <c r="O557" s="6" t="str">
        <f>HYPERLINK("https://ceds.ed.gov/cedselementdetails.aspx?termid=5241")</f>
        <v>https://ceds.ed.gov/cedselementdetails.aspx?termid=5241</v>
      </c>
      <c r="P557" s="6" t="str">
        <f>HYPERLINK("https://ceds.ed.gov/elementComment.aspx?elementName=School Level &amp;elementID=5241", "Click here to submit comment")</f>
        <v>Click here to submit comment</v>
      </c>
    </row>
    <row r="558" spans="1:16" ht="120">
      <c r="A558" s="6" t="s">
        <v>6788</v>
      </c>
      <c r="B558" s="6" t="s">
        <v>6789</v>
      </c>
      <c r="C558" s="6" t="s">
        <v>6790</v>
      </c>
      <c r="D558" s="6" t="s">
        <v>1623</v>
      </c>
      <c r="E558" s="6" t="s">
        <v>1624</v>
      </c>
      <c r="F558" s="7" t="s">
        <v>6420</v>
      </c>
      <c r="G558" s="6"/>
      <c r="H558" s="6"/>
      <c r="I558" s="6"/>
      <c r="J558" s="6"/>
      <c r="K558" s="6"/>
      <c r="L558" s="6" t="s">
        <v>1625</v>
      </c>
      <c r="M558" s="6"/>
      <c r="N558" s="6" t="s">
        <v>1626</v>
      </c>
      <c r="O558" s="6" t="str">
        <f>HYPERLINK("https://ceds.ed.gov/cedselementdetails.aspx?termid=5686")</f>
        <v>https://ceds.ed.gov/cedselementdetails.aspx?termid=5686</v>
      </c>
      <c r="P558" s="6" t="str">
        <f>HYPERLINK("https://ceds.ed.gov/elementComment.aspx?elementName=Charter School Type &amp;elementID=5686", "Click here to submit comment")</f>
        <v>Click here to submit comment</v>
      </c>
    </row>
    <row r="559" spans="1:16" ht="60">
      <c r="A559" s="6" t="s">
        <v>6788</v>
      </c>
      <c r="B559" s="6" t="s">
        <v>6789</v>
      </c>
      <c r="C559" s="6" t="s">
        <v>6790</v>
      </c>
      <c r="D559" s="6" t="s">
        <v>222</v>
      </c>
      <c r="E559" s="6" t="s">
        <v>223</v>
      </c>
      <c r="F559" s="7" t="s">
        <v>6357</v>
      </c>
      <c r="G559" s="6"/>
      <c r="H559" s="6"/>
      <c r="I559" s="6"/>
      <c r="J559" s="6"/>
      <c r="K559" s="6"/>
      <c r="L559" s="6" t="s">
        <v>225</v>
      </c>
      <c r="M559" s="6"/>
      <c r="N559" s="6" t="s">
        <v>226</v>
      </c>
      <c r="O559" s="6" t="str">
        <f>HYPERLINK("https://ceds.ed.gov/cedselementdetails.aspx?termid=5012")</f>
        <v>https://ceds.ed.gov/cedselementdetails.aspx?termid=5012</v>
      </c>
      <c r="P559" s="6" t="str">
        <f>HYPERLINK("https://ceds.ed.gov/elementComment.aspx?elementName=Administrative Funding Control &amp;elementID=5012", "Click here to submit comment")</f>
        <v>Click here to submit comment</v>
      </c>
    </row>
    <row r="560" spans="1:16" ht="165">
      <c r="A560" s="6" t="s">
        <v>6788</v>
      </c>
      <c r="B560" s="6" t="s">
        <v>6789</v>
      </c>
      <c r="C560" s="6" t="s">
        <v>6790</v>
      </c>
      <c r="D560" s="6" t="s">
        <v>5255</v>
      </c>
      <c r="E560" s="6" t="s">
        <v>5256</v>
      </c>
      <c r="F560" s="7" t="s">
        <v>6649</v>
      </c>
      <c r="G560" s="6" t="s">
        <v>218</v>
      </c>
      <c r="H560" s="6"/>
      <c r="I560" s="6"/>
      <c r="J560" s="6"/>
      <c r="K560" s="6"/>
      <c r="L560" s="6" t="s">
        <v>5257</v>
      </c>
      <c r="M560" s="6"/>
      <c r="N560" s="6" t="s">
        <v>5258</v>
      </c>
      <c r="O560" s="6" t="str">
        <f>HYPERLINK("https://ceds.ed.gov/cedselementdetails.aspx?termid=5524")</f>
        <v>https://ceds.ed.gov/cedselementdetails.aspx?termid=5524</v>
      </c>
      <c r="P560" s="6" t="str">
        <f>HYPERLINK("https://ceds.ed.gov/elementComment.aspx?elementName=School Operational Status &amp;elementID=5524", "Click here to submit comment")</f>
        <v>Click here to submit comment</v>
      </c>
    </row>
    <row r="561" spans="1:16" ht="30">
      <c r="A561" s="6" t="s">
        <v>6788</v>
      </c>
      <c r="B561" s="6" t="s">
        <v>6789</v>
      </c>
      <c r="C561" s="6" t="s">
        <v>6790</v>
      </c>
      <c r="D561" s="6" t="s">
        <v>4325</v>
      </c>
      <c r="E561" s="6" t="s">
        <v>4326</v>
      </c>
      <c r="F561" s="6" t="s">
        <v>13</v>
      </c>
      <c r="G561" s="6" t="s">
        <v>218</v>
      </c>
      <c r="H561" s="6"/>
      <c r="I561" s="6" t="s">
        <v>73</v>
      </c>
      <c r="J561" s="6"/>
      <c r="K561" s="6"/>
      <c r="L561" s="6" t="s">
        <v>4327</v>
      </c>
      <c r="M561" s="6"/>
      <c r="N561" s="6" t="s">
        <v>4328</v>
      </c>
      <c r="O561" s="6" t="str">
        <f>HYPERLINK("https://ceds.ed.gov/cedselementdetails.aspx?termid=5525")</f>
        <v>https://ceds.ed.gov/cedselementdetails.aspx?termid=5525</v>
      </c>
      <c r="P561" s="6" t="str">
        <f>HYPERLINK("https://ceds.ed.gov/elementComment.aspx?elementName=Operational Status Effective Date &amp;elementID=5525", "Click here to submit comment")</f>
        <v>Click here to submit comment</v>
      </c>
    </row>
    <row r="562" spans="1:16" ht="409.5">
      <c r="A562" s="6" t="s">
        <v>6788</v>
      </c>
      <c r="B562" s="6" t="s">
        <v>6789</v>
      </c>
      <c r="C562" s="6" t="s">
        <v>6790</v>
      </c>
      <c r="D562" s="6" t="s">
        <v>4856</v>
      </c>
      <c r="E562" s="6" t="s">
        <v>4857</v>
      </c>
      <c r="F562" s="7" t="s">
        <v>6626</v>
      </c>
      <c r="G562" s="6" t="s">
        <v>5968</v>
      </c>
      <c r="H562" s="6" t="s">
        <v>66</v>
      </c>
      <c r="I562" s="6"/>
      <c r="J562" s="6" t="s">
        <v>4858</v>
      </c>
      <c r="K562" s="6"/>
      <c r="L562" s="6" t="s">
        <v>4859</v>
      </c>
      <c r="M562" s="6"/>
      <c r="N562" s="6" t="s">
        <v>4860</v>
      </c>
      <c r="O562" s="6" t="str">
        <f>HYPERLINK("https://ceds.ed.gov/cedselementdetails.aspx?termid=5225")</f>
        <v>https://ceds.ed.gov/cedselementdetails.aspx?termid=5225</v>
      </c>
      <c r="P562" s="6" t="str">
        <f>HYPERLINK("https://ceds.ed.gov/elementComment.aspx?elementName=Program Type &amp;elementID=5225", "Click here to submit comment")</f>
        <v>Click here to submit comment</v>
      </c>
    </row>
    <row r="563" spans="1:16" ht="165">
      <c r="A563" s="6" t="s">
        <v>6788</v>
      </c>
      <c r="B563" s="6" t="s">
        <v>6789</v>
      </c>
      <c r="C563" s="6" t="s">
        <v>6790</v>
      </c>
      <c r="D563" s="6" t="s">
        <v>347</v>
      </c>
      <c r="E563" s="6" t="s">
        <v>348</v>
      </c>
      <c r="F563" s="7" t="s">
        <v>6372</v>
      </c>
      <c r="G563" s="6" t="s">
        <v>2</v>
      </c>
      <c r="H563" s="6"/>
      <c r="I563" s="6"/>
      <c r="J563" s="6"/>
      <c r="K563" s="6"/>
      <c r="L563" s="6" t="s">
        <v>349</v>
      </c>
      <c r="M563" s="6"/>
      <c r="N563" s="6" t="s">
        <v>350</v>
      </c>
      <c r="O563" s="6" t="str">
        <f>HYPERLINK("https://ceds.ed.gov/cedselementdetails.aspx?termid=5015")</f>
        <v>https://ceds.ed.gov/cedselementdetails.aspx?termid=5015</v>
      </c>
      <c r="P563" s="6" t="str">
        <f>HYPERLINK("https://ceds.ed.gov/elementComment.aspx?elementName=Alternative School Focus Type &amp;elementID=5015", "Click here to submit comment")</f>
        <v>Click here to submit comment</v>
      </c>
    </row>
    <row r="564" spans="1:16" ht="60">
      <c r="A564" s="6" t="s">
        <v>6788</v>
      </c>
      <c r="B564" s="6" t="s">
        <v>6789</v>
      </c>
      <c r="C564" s="6" t="s">
        <v>6790</v>
      </c>
      <c r="D564" s="6" t="s">
        <v>301</v>
      </c>
      <c r="E564" s="6" t="s">
        <v>302</v>
      </c>
      <c r="F564" s="6" t="s">
        <v>5963</v>
      </c>
      <c r="G564" s="6" t="s">
        <v>2</v>
      </c>
      <c r="H564" s="6"/>
      <c r="I564" s="6"/>
      <c r="J564" s="6"/>
      <c r="K564" s="6"/>
      <c r="L564" s="6" t="s">
        <v>303</v>
      </c>
      <c r="M564" s="6" t="s">
        <v>304</v>
      </c>
      <c r="N564" s="6" t="s">
        <v>305</v>
      </c>
      <c r="O564" s="6" t="str">
        <f>HYPERLINK("https://ceds.ed.gov/cedselementdetails.aspx?termid=5017")</f>
        <v>https://ceds.ed.gov/cedselementdetails.aspx?termid=5017</v>
      </c>
      <c r="P564" s="6" t="str">
        <f>HYPERLINK("https://ceds.ed.gov/elementComment.aspx?elementName=Advanced Placement Course Self Selection &amp;elementID=5017", "Click here to submit comment")</f>
        <v>Click here to submit comment</v>
      </c>
    </row>
    <row r="565" spans="1:16" ht="90">
      <c r="A565" s="6" t="s">
        <v>6788</v>
      </c>
      <c r="B565" s="6" t="s">
        <v>6789</v>
      </c>
      <c r="C565" s="6" t="s">
        <v>6790</v>
      </c>
      <c r="D565" s="6" t="s">
        <v>3351</v>
      </c>
      <c r="E565" s="6" t="s">
        <v>3352</v>
      </c>
      <c r="F565" s="7" t="s">
        <v>6558</v>
      </c>
      <c r="G565" s="6" t="s">
        <v>218</v>
      </c>
      <c r="H565" s="6"/>
      <c r="I565" s="6"/>
      <c r="J565" s="6"/>
      <c r="K565" s="6"/>
      <c r="L565" s="6" t="s">
        <v>3353</v>
      </c>
      <c r="M565" s="6"/>
      <c r="N565" s="6" t="s">
        <v>3354</v>
      </c>
      <c r="O565" s="6" t="str">
        <f>HYPERLINK("https://ceds.ed.gov/cedselementdetails.aspx?termid=5580")</f>
        <v>https://ceds.ed.gov/cedselementdetails.aspx?termid=5580</v>
      </c>
      <c r="P565" s="6" t="str">
        <f>HYPERLINK("https://ceds.ed.gov/elementComment.aspx?elementName=Internet Access &amp;elementID=5580", "Click here to submit comment")</f>
        <v>Click here to submit comment</v>
      </c>
    </row>
    <row r="566" spans="1:16" ht="180">
      <c r="A566" s="6" t="s">
        <v>6788</v>
      </c>
      <c r="B566" s="6" t="s">
        <v>6789</v>
      </c>
      <c r="C566" s="6" t="s">
        <v>6790</v>
      </c>
      <c r="D566" s="6" t="s">
        <v>5247</v>
      </c>
      <c r="E566" s="6" t="s">
        <v>5248</v>
      </c>
      <c r="F566" s="7" t="s">
        <v>6647</v>
      </c>
      <c r="G566" s="6" t="s">
        <v>218</v>
      </c>
      <c r="H566" s="6"/>
      <c r="I566" s="6"/>
      <c r="J566" s="6"/>
      <c r="K566" s="6"/>
      <c r="L566" s="6" t="s">
        <v>5249</v>
      </c>
      <c r="M566" s="6"/>
      <c r="N566" s="6" t="s">
        <v>5250</v>
      </c>
      <c r="O566" s="6" t="str">
        <f>HYPERLINK("https://ceds.ed.gov/cedselementdetails.aspx?termid=5240")</f>
        <v>https://ceds.ed.gov/cedselementdetails.aspx?termid=5240</v>
      </c>
      <c r="P566" s="6" t="str">
        <f>HYPERLINK("https://ceds.ed.gov/elementComment.aspx?elementName=School Improvement Status &amp;elementID=5240", "Click here to submit comment")</f>
        <v>Click here to submit comment</v>
      </c>
    </row>
    <row r="567" spans="1:16" ht="90">
      <c r="A567" s="6" t="s">
        <v>6788</v>
      </c>
      <c r="B567" s="6" t="s">
        <v>6789</v>
      </c>
      <c r="C567" s="6" t="s">
        <v>6790</v>
      </c>
      <c r="D567" s="6" t="s">
        <v>5357</v>
      </c>
      <c r="E567" s="6" t="s">
        <v>5358</v>
      </c>
      <c r="F567" s="6" t="s">
        <v>5963</v>
      </c>
      <c r="G567" s="6" t="s">
        <v>218</v>
      </c>
      <c r="H567" s="6"/>
      <c r="I567" s="6"/>
      <c r="J567" s="6"/>
      <c r="K567" s="6"/>
      <c r="L567" s="6" t="s">
        <v>5359</v>
      </c>
      <c r="M567" s="6"/>
      <c r="N567" s="6" t="s">
        <v>5360</v>
      </c>
      <c r="O567" s="6" t="str">
        <f>HYPERLINK("https://ceds.ed.gov/cedselementdetails.aspx?termid=5257")</f>
        <v>https://ceds.ed.gov/cedselementdetails.aspx?termid=5257</v>
      </c>
      <c r="P567" s="6" t="str">
        <f>HYPERLINK("https://ceds.ed.gov/elementComment.aspx?elementName=Shared Time Indicator &amp;elementID=5257", "Click here to submit comment")</f>
        <v>Click here to submit comment</v>
      </c>
    </row>
    <row r="568" spans="1:16" ht="105">
      <c r="A568" s="6" t="s">
        <v>6788</v>
      </c>
      <c r="B568" s="6" t="s">
        <v>6789</v>
      </c>
      <c r="C568" s="6" t="s">
        <v>6790</v>
      </c>
      <c r="D568" s="6" t="s">
        <v>5875</v>
      </c>
      <c r="E568" s="6" t="s">
        <v>5876</v>
      </c>
      <c r="F568" s="6" t="s">
        <v>5963</v>
      </c>
      <c r="G568" s="6"/>
      <c r="H568" s="6"/>
      <c r="I568" s="6"/>
      <c r="J568" s="6"/>
      <c r="K568" s="6"/>
      <c r="L568" s="6" t="s">
        <v>5877</v>
      </c>
      <c r="M568" s="6"/>
      <c r="N568" s="6" t="s">
        <v>5878</v>
      </c>
      <c r="O568" s="6" t="str">
        <f>HYPERLINK("https://ceds.ed.gov/cedselementdetails.aspx?termid=6167")</f>
        <v>https://ceds.ed.gov/cedselementdetails.aspx?termid=6167</v>
      </c>
      <c r="P568" s="6" t="str">
        <f>HYPERLINK("https://ceds.ed.gov/elementComment.aspx?elementName=Virtual Indicator &amp;elementID=6167", "Click here to submit comment")</f>
        <v>Click here to submit comment</v>
      </c>
    </row>
    <row r="569" spans="1:16" ht="30">
      <c r="A569" s="6" t="s">
        <v>6788</v>
      </c>
      <c r="B569" s="6" t="s">
        <v>6789</v>
      </c>
      <c r="C569" s="6" t="s">
        <v>6790</v>
      </c>
      <c r="D569" s="6" t="s">
        <v>5908</v>
      </c>
      <c r="E569" s="6" t="s">
        <v>5909</v>
      </c>
      <c r="F569" s="6" t="s">
        <v>13</v>
      </c>
      <c r="G569" s="6" t="s">
        <v>218</v>
      </c>
      <c r="H569" s="6" t="s">
        <v>3</v>
      </c>
      <c r="I569" s="6" t="s">
        <v>93</v>
      </c>
      <c r="J569" s="6"/>
      <c r="K569" s="6"/>
      <c r="L569" s="6" t="s">
        <v>5910</v>
      </c>
      <c r="M569" s="6"/>
      <c r="N569" s="6" t="s">
        <v>5911</v>
      </c>
      <c r="O569" s="6" t="str">
        <f>HYPERLINK("https://ceds.ed.gov/cedselementdetails.aspx?termid=5300")</f>
        <v>https://ceds.ed.gov/cedselementdetails.aspx?termid=5300</v>
      </c>
      <c r="P569" s="6" t="str">
        <f>HYPERLINK("https://ceds.ed.gov/elementComment.aspx?elementName=Web Site Address &amp;elementID=5300", "Click here to submit comment")</f>
        <v>Click here to submit comment</v>
      </c>
    </row>
    <row r="570" spans="1:16" ht="120">
      <c r="A570" s="6" t="s">
        <v>6788</v>
      </c>
      <c r="B570" s="6" t="s">
        <v>6789</v>
      </c>
      <c r="C570" s="6" t="s">
        <v>6790</v>
      </c>
      <c r="D570" s="6" t="s">
        <v>1610</v>
      </c>
      <c r="E570" s="6" t="s">
        <v>1611</v>
      </c>
      <c r="F570" s="7" t="s">
        <v>6419</v>
      </c>
      <c r="G570" s="6"/>
      <c r="H570" s="6" t="s">
        <v>54</v>
      </c>
      <c r="I570" s="6"/>
      <c r="J570" s="6"/>
      <c r="K570" s="6"/>
      <c r="L570" s="6" t="s">
        <v>1612</v>
      </c>
      <c r="M570" s="6"/>
      <c r="N570" s="6" t="s">
        <v>1613</v>
      </c>
      <c r="O570" s="6" t="str">
        <f>HYPERLINK("https://ceds.ed.gov/cedselementdetails.aspx?termid=6258")</f>
        <v>https://ceds.ed.gov/cedselementdetails.aspx?termid=6258</v>
      </c>
      <c r="P570" s="6" t="str">
        <f>HYPERLINK("https://ceds.ed.gov/elementComment.aspx?elementName=Charter School Approval Agency Type &amp;elementID=6258", "Click here to submit comment")</f>
        <v>Click here to submit comment</v>
      </c>
    </row>
    <row r="571" spans="1:16" ht="30">
      <c r="A571" s="6" t="s">
        <v>6788</v>
      </c>
      <c r="B571" s="6" t="s">
        <v>6789</v>
      </c>
      <c r="C571" s="6" t="s">
        <v>6790</v>
      </c>
      <c r="D571" s="6" t="s">
        <v>1614</v>
      </c>
      <c r="E571" s="6" t="s">
        <v>1615</v>
      </c>
      <c r="F571" s="6" t="s">
        <v>13</v>
      </c>
      <c r="G571" s="6"/>
      <c r="H571" s="6" t="s">
        <v>54</v>
      </c>
      <c r="I571" s="6" t="s">
        <v>1616</v>
      </c>
      <c r="J571" s="6"/>
      <c r="K571" s="6"/>
      <c r="L571" s="6" t="s">
        <v>1617</v>
      </c>
      <c r="M571" s="6"/>
      <c r="N571" s="6" t="s">
        <v>1618</v>
      </c>
      <c r="O571" s="6" t="str">
        <f>HYPERLINK("https://ceds.ed.gov/cedselementdetails.aspx?termid=6259")</f>
        <v>https://ceds.ed.gov/cedselementdetails.aspx?termid=6259</v>
      </c>
      <c r="P571" s="6" t="str">
        <f>HYPERLINK("https://ceds.ed.gov/elementComment.aspx?elementName=Charter School Approval Year &amp;elementID=6259", "Click here to submit comment")</f>
        <v>Click here to submit comment</v>
      </c>
    </row>
    <row r="572" spans="1:16" ht="75">
      <c r="A572" s="6" t="s">
        <v>6788</v>
      </c>
      <c r="B572" s="6" t="s">
        <v>6789</v>
      </c>
      <c r="C572" s="6" t="s">
        <v>6791</v>
      </c>
      <c r="D572" s="6" t="s">
        <v>0</v>
      </c>
      <c r="E572" s="6" t="s">
        <v>1</v>
      </c>
      <c r="F572" s="6" t="s">
        <v>5963</v>
      </c>
      <c r="G572" s="6" t="s">
        <v>2</v>
      </c>
      <c r="H572" s="6" t="s">
        <v>3</v>
      </c>
      <c r="I572" s="6"/>
      <c r="J572" s="6"/>
      <c r="K572" s="6"/>
      <c r="L572" s="6" t="s">
        <v>4</v>
      </c>
      <c r="M572" s="6"/>
      <c r="N572" s="6" t="s">
        <v>5</v>
      </c>
      <c r="O572" s="6" t="str">
        <f>HYPERLINK("https://ceds.ed.gov/cedselementdetails.aspx?termid=5000")</f>
        <v>https://ceds.ed.gov/cedselementdetails.aspx?termid=5000</v>
      </c>
      <c r="P572" s="6" t="str">
        <f>HYPERLINK("https://ceds.ed.gov/elementComment.aspx?elementName=Ability Grouping Status &amp;elementID=5000", "Click here to submit comment")</f>
        <v>Click here to submit comment</v>
      </c>
    </row>
    <row r="573" spans="1:16" ht="135">
      <c r="A573" s="6" t="s">
        <v>6788</v>
      </c>
      <c r="B573" s="6" t="s">
        <v>6789</v>
      </c>
      <c r="C573" s="6" t="s">
        <v>6791</v>
      </c>
      <c r="D573" s="6" t="s">
        <v>1594</v>
      </c>
      <c r="E573" s="6" t="s">
        <v>1595</v>
      </c>
      <c r="F573" s="7" t="s">
        <v>6417</v>
      </c>
      <c r="G573" s="6" t="s">
        <v>218</v>
      </c>
      <c r="H573" s="6"/>
      <c r="I573" s="6"/>
      <c r="J573" s="6"/>
      <c r="K573" s="6"/>
      <c r="L573" s="6" t="s">
        <v>1596</v>
      </c>
      <c r="M573" s="6" t="s">
        <v>1597</v>
      </c>
      <c r="N573" s="6" t="s">
        <v>1598</v>
      </c>
      <c r="O573" s="6" t="str">
        <f>HYPERLINK("https://ceds.ed.gov/cedselementdetails.aspx?termid=5581")</f>
        <v>https://ceds.ed.gov/cedselementdetails.aspx?termid=5581</v>
      </c>
      <c r="P573" s="6" t="str">
        <f>HYPERLINK("https://ceds.ed.gov/elementComment.aspx?elementName=Career Technical Education Nontraditional Gender Status &amp;elementID=5581", "Click here to submit comment")</f>
        <v>Click here to submit comment</v>
      </c>
    </row>
    <row r="574" spans="1:16" ht="409.5">
      <c r="A574" s="6" t="s">
        <v>6788</v>
      </c>
      <c r="B574" s="6" t="s">
        <v>6789</v>
      </c>
      <c r="C574" s="6" t="s">
        <v>6791</v>
      </c>
      <c r="D574" s="6" t="s">
        <v>4788</v>
      </c>
      <c r="E574" s="6" t="s">
        <v>4789</v>
      </c>
      <c r="F574" s="7" t="s">
        <v>6623</v>
      </c>
      <c r="G574" s="6"/>
      <c r="H574" s="6" t="s">
        <v>66</v>
      </c>
      <c r="I574" s="6"/>
      <c r="J574" s="6" t="s">
        <v>94</v>
      </c>
      <c r="K574" s="6"/>
      <c r="L574" s="6" t="s">
        <v>4790</v>
      </c>
      <c r="M574" s="6"/>
      <c r="N574" s="6" t="s">
        <v>4791</v>
      </c>
      <c r="O574" s="6" t="str">
        <f>HYPERLINK("https://ceds.ed.gov/cedselementdetails.aspx?termid=6210")</f>
        <v>https://ceds.ed.gov/cedselementdetails.aspx?termid=6210</v>
      </c>
      <c r="P574" s="6" t="str">
        <f>HYPERLINK("https://ceds.ed.gov/elementComment.aspx?elementName=Program Gifted Eligibility Criteria &amp;elementID=6210", "Click here to submit comment")</f>
        <v>Click here to submit comment</v>
      </c>
    </row>
    <row r="575" spans="1:16" ht="180">
      <c r="A575" s="6" t="s">
        <v>6788</v>
      </c>
      <c r="B575" s="6" t="s">
        <v>6789</v>
      </c>
      <c r="C575" s="6" t="s">
        <v>6791</v>
      </c>
      <c r="D575" s="6" t="s">
        <v>3195</v>
      </c>
      <c r="E575" s="6" t="s">
        <v>3196</v>
      </c>
      <c r="F575" s="7" t="s">
        <v>6548</v>
      </c>
      <c r="G575" s="6" t="s">
        <v>218</v>
      </c>
      <c r="H575" s="6"/>
      <c r="I575" s="6"/>
      <c r="J575" s="6"/>
      <c r="K575" s="6"/>
      <c r="L575" s="6" t="s">
        <v>3197</v>
      </c>
      <c r="M575" s="6"/>
      <c r="N575" s="6" t="s">
        <v>3198</v>
      </c>
      <c r="O575" s="6" t="str">
        <f>HYPERLINK("https://ceds.ed.gov/cedselementdetails.aspx?termid=5164")</f>
        <v>https://ceds.ed.gov/cedselementdetails.aspx?termid=5164</v>
      </c>
      <c r="P575" s="6" t="str">
        <f>HYPERLINK("https://ceds.ed.gov/elementComment.aspx?elementName=Increased Learning Time Type &amp;elementID=5164", "Click here to submit comment")</f>
        <v>Click here to submit comment</v>
      </c>
    </row>
    <row r="576" spans="1:16" ht="120">
      <c r="A576" s="6" t="s">
        <v>6788</v>
      </c>
      <c r="B576" s="6" t="s">
        <v>6789</v>
      </c>
      <c r="C576" s="6" t="s">
        <v>6791</v>
      </c>
      <c r="D576" s="6" t="s">
        <v>5584</v>
      </c>
      <c r="E576" s="6" t="s">
        <v>5585</v>
      </c>
      <c r="F576" s="7" t="s">
        <v>6664</v>
      </c>
      <c r="G576" s="6" t="s">
        <v>218</v>
      </c>
      <c r="H576" s="6"/>
      <c r="I576" s="6"/>
      <c r="J576" s="6"/>
      <c r="K576" s="6"/>
      <c r="L576" s="6" t="s">
        <v>5586</v>
      </c>
      <c r="M576" s="6"/>
      <c r="N576" s="6" t="s">
        <v>5587</v>
      </c>
      <c r="O576" s="6" t="str">
        <f>HYPERLINK("https://ceds.ed.gov/cedselementdetails.aspx?termid=5578")</f>
        <v>https://ceds.ed.gov/cedselementdetails.aspx?termid=5578</v>
      </c>
      <c r="P576" s="6" t="str">
        <f>HYPERLINK("https://ceds.ed.gov/elementComment.aspx?elementName=State Poverty Designation &amp;elementID=5578", "Click here to submit comment")</f>
        <v>Click here to submit comment</v>
      </c>
    </row>
    <row r="577" spans="1:16" ht="409.5">
      <c r="A577" s="6" t="s">
        <v>6788</v>
      </c>
      <c r="B577" s="6" t="s">
        <v>6789</v>
      </c>
      <c r="C577" s="6" t="s">
        <v>6791</v>
      </c>
      <c r="D577" s="6" t="s">
        <v>5622</v>
      </c>
      <c r="E577" s="6" t="s">
        <v>5623</v>
      </c>
      <c r="F577" s="7" t="s">
        <v>6666</v>
      </c>
      <c r="G577" s="6"/>
      <c r="H577" s="6"/>
      <c r="I577" s="6"/>
      <c r="J577" s="6"/>
      <c r="K577" s="6"/>
      <c r="L577" s="6" t="s">
        <v>5624</v>
      </c>
      <c r="M577" s="6"/>
      <c r="N577" s="6" t="s">
        <v>5625</v>
      </c>
      <c r="O577" s="6" t="str">
        <f>HYPERLINK("https://ceds.ed.gov/cedselementdetails.aspx?termid=5273")</f>
        <v>https://ceds.ed.gov/cedselementdetails.aspx?termid=5273</v>
      </c>
      <c r="P577" s="6" t="str">
        <f>HYPERLINK("https://ceds.ed.gov/elementComment.aspx?elementName=Student Support Service Type &amp;elementID=5273", "Click here to submit comment")</f>
        <v>Click here to submit comment</v>
      </c>
    </row>
    <row r="578" spans="1:16" ht="180">
      <c r="A578" s="6" t="s">
        <v>6788</v>
      </c>
      <c r="B578" s="6" t="s">
        <v>6789</v>
      </c>
      <c r="C578" s="6" t="s">
        <v>6791</v>
      </c>
      <c r="D578" s="6" t="s">
        <v>5764</v>
      </c>
      <c r="E578" s="6" t="s">
        <v>5765</v>
      </c>
      <c r="F578" s="7" t="s">
        <v>6679</v>
      </c>
      <c r="G578" s="6" t="s">
        <v>218</v>
      </c>
      <c r="H578" s="6"/>
      <c r="I578" s="6"/>
      <c r="J578" s="6"/>
      <c r="K578" s="6"/>
      <c r="L578" s="6" t="s">
        <v>5766</v>
      </c>
      <c r="M578" s="6"/>
      <c r="N578" s="6" t="s">
        <v>5767</v>
      </c>
      <c r="O578" s="6" t="str">
        <f>HYPERLINK("https://ceds.ed.gov/cedselementdetails.aspx?termid=5284")</f>
        <v>https://ceds.ed.gov/cedselementdetails.aspx?termid=5284</v>
      </c>
      <c r="P578" s="6" t="str">
        <f>HYPERLINK("https://ceds.ed.gov/elementComment.aspx?elementName=Title I Program Type &amp;elementID=5284", "Click here to submit comment")</f>
        <v>Click here to submit comment</v>
      </c>
    </row>
    <row r="579" spans="1:16" ht="285">
      <c r="A579" s="6" t="s">
        <v>6788</v>
      </c>
      <c r="B579" s="6" t="s">
        <v>6789</v>
      </c>
      <c r="C579" s="6" t="s">
        <v>6791</v>
      </c>
      <c r="D579" s="6" t="s">
        <v>5768</v>
      </c>
      <c r="E579" s="6" t="s">
        <v>5769</v>
      </c>
      <c r="F579" s="7" t="s">
        <v>6680</v>
      </c>
      <c r="G579" s="6" t="s">
        <v>218</v>
      </c>
      <c r="H579" s="6"/>
      <c r="I579" s="6"/>
      <c r="J579" s="6"/>
      <c r="K579" s="6"/>
      <c r="L579" s="6" t="s">
        <v>5770</v>
      </c>
      <c r="M579" s="6"/>
      <c r="N579" s="6" t="s">
        <v>5771</v>
      </c>
      <c r="O579" s="6" t="str">
        <f>HYPERLINK("https://ceds.ed.gov/cedselementdetails.aspx?termid=5285")</f>
        <v>https://ceds.ed.gov/cedselementdetails.aspx?termid=5285</v>
      </c>
      <c r="P579" s="6" t="str">
        <f>HYPERLINK("https://ceds.ed.gov/elementComment.aspx?elementName=Title I School Status &amp;elementID=5285", "Click here to submit comment")</f>
        <v>Click here to submit comment</v>
      </c>
    </row>
    <row r="580" spans="1:16" ht="375">
      <c r="A580" s="6" t="s">
        <v>6788</v>
      </c>
      <c r="B580" s="6" t="s">
        <v>6789</v>
      </c>
      <c r="C580" s="6" t="s">
        <v>6791</v>
      </c>
      <c r="D580" s="6" t="s">
        <v>5812</v>
      </c>
      <c r="E580" s="6" t="s">
        <v>5813</v>
      </c>
      <c r="F580" s="7" t="s">
        <v>6683</v>
      </c>
      <c r="G580" s="6" t="s">
        <v>207</v>
      </c>
      <c r="H580" s="6"/>
      <c r="I580" s="6"/>
      <c r="J580" s="6"/>
      <c r="K580" s="6"/>
      <c r="L580" s="6" t="s">
        <v>5814</v>
      </c>
      <c r="M580" s="6"/>
      <c r="N580" s="6" t="s">
        <v>5815</v>
      </c>
      <c r="O580" s="6" t="str">
        <f>HYPERLINK("https://ceds.ed.gov/cedselementdetails.aspx?termid=5437")</f>
        <v>https://ceds.ed.gov/cedselementdetails.aspx?termid=5437</v>
      </c>
      <c r="P580" s="6" t="str">
        <f>HYPERLINK("https://ceds.ed.gov/elementComment.aspx?elementName=Title III Language Instruction Program Type &amp;elementID=5437", "Click here to submit comment")</f>
        <v>Click here to submit comment</v>
      </c>
    </row>
    <row r="581" spans="1:16" ht="375">
      <c r="A581" s="6" t="s">
        <v>6788</v>
      </c>
      <c r="B581" s="6" t="s">
        <v>6789</v>
      </c>
      <c r="C581" s="6" t="s">
        <v>6791</v>
      </c>
      <c r="D581" s="6" t="s">
        <v>2233</v>
      </c>
      <c r="E581" s="6" t="s">
        <v>2234</v>
      </c>
      <c r="F581" s="7" t="s">
        <v>6463</v>
      </c>
      <c r="G581" s="6" t="s">
        <v>218</v>
      </c>
      <c r="H581" s="6"/>
      <c r="I581" s="6"/>
      <c r="J581" s="6"/>
      <c r="K581" s="6"/>
      <c r="L581" s="6" t="s">
        <v>2236</v>
      </c>
      <c r="M581" s="6"/>
      <c r="N581" s="6" t="s">
        <v>2237</v>
      </c>
      <c r="O581" s="6" t="str">
        <f>HYPERLINK("https://ceds.ed.gov/cedselementdetails.aspx?termid=5546")</f>
        <v>https://ceds.ed.gov/cedselementdetails.aspx?termid=5546</v>
      </c>
      <c r="P581" s="6" t="str">
        <f>HYPERLINK("https://ceds.ed.gov/elementComment.aspx?elementName=Discipline Method for Firearms Incidents &amp;elementID=5546", "Click here to submit comment")</f>
        <v>Click here to submit comment</v>
      </c>
    </row>
    <row r="582" spans="1:16" ht="90">
      <c r="A582" s="6" t="s">
        <v>6788</v>
      </c>
      <c r="B582" s="6" t="s">
        <v>6789</v>
      </c>
      <c r="C582" s="6" t="s">
        <v>6791</v>
      </c>
      <c r="D582" s="6" t="s">
        <v>2238</v>
      </c>
      <c r="E582" s="6" t="s">
        <v>2239</v>
      </c>
      <c r="F582" s="7" t="s">
        <v>6464</v>
      </c>
      <c r="G582" s="6" t="s">
        <v>218</v>
      </c>
      <c r="H582" s="6"/>
      <c r="I582" s="6"/>
      <c r="J582" s="6"/>
      <c r="K582" s="6"/>
      <c r="L582" s="6" t="s">
        <v>2240</v>
      </c>
      <c r="M582" s="6"/>
      <c r="N582" s="6" t="s">
        <v>2241</v>
      </c>
      <c r="O582" s="6" t="str">
        <f>HYPERLINK("https://ceds.ed.gov/cedselementdetails.aspx?termid=5529")</f>
        <v>https://ceds.ed.gov/cedselementdetails.aspx?termid=5529</v>
      </c>
      <c r="P582" s="6" t="str">
        <f>HYPERLINK("https://ceds.ed.gov/elementComment.aspx?elementName=Discipline Method of Children with Disabilities &amp;elementID=5529", "Click here to submit comment")</f>
        <v>Click here to submit comment</v>
      </c>
    </row>
    <row r="583" spans="1:16" ht="270">
      <c r="A583" s="6" t="s">
        <v>6788</v>
      </c>
      <c r="B583" s="6" t="s">
        <v>6789</v>
      </c>
      <c r="C583" s="6" t="s">
        <v>6791</v>
      </c>
      <c r="D583" s="6" t="s">
        <v>3023</v>
      </c>
      <c r="E583" s="6" t="s">
        <v>3024</v>
      </c>
      <c r="F583" s="7" t="s">
        <v>6534</v>
      </c>
      <c r="G583" s="6" t="s">
        <v>218</v>
      </c>
      <c r="H583" s="6"/>
      <c r="I583" s="6"/>
      <c r="J583" s="6"/>
      <c r="K583" s="6"/>
      <c r="L583" s="6" t="s">
        <v>3025</v>
      </c>
      <c r="M583" s="6"/>
      <c r="N583" s="6" t="s">
        <v>3026</v>
      </c>
      <c r="O583" s="6" t="str">
        <f>HYPERLINK("https://ceds.ed.gov/cedselementdetails.aspx?termid=5547")</f>
        <v>https://ceds.ed.gov/cedselementdetails.aspx?termid=5547</v>
      </c>
      <c r="P583" s="6" t="str">
        <f>HYPERLINK("https://ceds.ed.gov/elementComment.aspx?elementName=IDEA Discipline Method for Firearms Incidents &amp;elementID=5547", "Click here to submit comment")</f>
        <v>Click here to submit comment</v>
      </c>
    </row>
    <row r="584" spans="1:16" ht="75">
      <c r="A584" s="6" t="s">
        <v>6788</v>
      </c>
      <c r="B584" s="6" t="s">
        <v>6789</v>
      </c>
      <c r="C584" s="6" t="s">
        <v>6792</v>
      </c>
      <c r="D584" s="6" t="s">
        <v>216</v>
      </c>
      <c r="E584" s="6" t="s">
        <v>217</v>
      </c>
      <c r="F584" s="7" t="s">
        <v>6356</v>
      </c>
      <c r="G584" s="6" t="s">
        <v>218</v>
      </c>
      <c r="H584" s="6"/>
      <c r="I584" s="6"/>
      <c r="J584" s="6"/>
      <c r="K584" s="6"/>
      <c r="L584" s="6" t="s">
        <v>219</v>
      </c>
      <c r="M584" s="6" t="s">
        <v>220</v>
      </c>
      <c r="N584" s="6" t="s">
        <v>221</v>
      </c>
      <c r="O584" s="6" t="str">
        <f>HYPERLINK("https://ceds.ed.gov/cedselementdetails.aspx?termid=5011")</f>
        <v>https://ceds.ed.gov/cedselementdetails.aspx?termid=5011</v>
      </c>
      <c r="P584" s="6" t="str">
        <f>HYPERLINK("https://ceds.ed.gov/elementComment.aspx?elementName=Adequate Yearly Progress Status &amp;elementID=5011", "Click here to submit comment")</f>
        <v>Click here to submit comment</v>
      </c>
    </row>
    <row r="585" spans="1:16" ht="60">
      <c r="A585" s="6" t="s">
        <v>6788</v>
      </c>
      <c r="B585" s="6" t="s">
        <v>6789</v>
      </c>
      <c r="C585" s="6" t="s">
        <v>6792</v>
      </c>
      <c r="D585" s="6" t="s">
        <v>205</v>
      </c>
      <c r="E585" s="6" t="s">
        <v>206</v>
      </c>
      <c r="F585" s="6" t="s">
        <v>5963</v>
      </c>
      <c r="G585" s="6" t="s">
        <v>207</v>
      </c>
      <c r="H585" s="6"/>
      <c r="I585" s="6"/>
      <c r="J585" s="6"/>
      <c r="K585" s="6"/>
      <c r="L585" s="6" t="s">
        <v>208</v>
      </c>
      <c r="M585" s="6" t="s">
        <v>209</v>
      </c>
      <c r="N585" s="6" t="s">
        <v>210</v>
      </c>
      <c r="O585" s="6" t="str">
        <f>HYPERLINK("https://ceds.ed.gov/cedselementdetails.aspx?termid=5433")</f>
        <v>https://ceds.ed.gov/cedselementdetails.aspx?termid=5433</v>
      </c>
      <c r="P585" s="6" t="str">
        <f>HYPERLINK("https://ceds.ed.gov/elementComment.aspx?elementName=Adequate Yearly Progress Appeal Changed Designation &amp;elementID=5433", "Click here to submit comment")</f>
        <v>Click here to submit comment</v>
      </c>
    </row>
    <row r="586" spans="1:16" ht="45">
      <c r="A586" s="6" t="s">
        <v>6788</v>
      </c>
      <c r="B586" s="6" t="s">
        <v>6789</v>
      </c>
      <c r="C586" s="6" t="s">
        <v>6792</v>
      </c>
      <c r="D586" s="6" t="s">
        <v>211</v>
      </c>
      <c r="E586" s="6" t="s">
        <v>212</v>
      </c>
      <c r="F586" s="6" t="s">
        <v>13</v>
      </c>
      <c r="G586" s="6" t="s">
        <v>207</v>
      </c>
      <c r="H586" s="6"/>
      <c r="I586" s="6" t="s">
        <v>73</v>
      </c>
      <c r="J586" s="6"/>
      <c r="K586" s="6"/>
      <c r="L586" s="6" t="s">
        <v>213</v>
      </c>
      <c r="M586" s="6" t="s">
        <v>214</v>
      </c>
      <c r="N586" s="6" t="s">
        <v>215</v>
      </c>
      <c r="O586" s="6" t="str">
        <f>HYPERLINK("https://ceds.ed.gov/cedselementdetails.aspx?termid=5434")</f>
        <v>https://ceds.ed.gov/cedselementdetails.aspx?termid=5434</v>
      </c>
      <c r="P586" s="6" t="str">
        <f>HYPERLINK("https://ceds.ed.gov/elementComment.aspx?elementName=Adequate Yearly Progress Appeal Process Date &amp;elementID=5434", "Click here to submit comment")</f>
        <v>Click here to submit comment</v>
      </c>
    </row>
    <row r="587" spans="1:16" ht="60">
      <c r="A587" s="6" t="s">
        <v>6788</v>
      </c>
      <c r="B587" s="6" t="s">
        <v>6789</v>
      </c>
      <c r="C587" s="6" t="s">
        <v>6792</v>
      </c>
      <c r="D587" s="6" t="s">
        <v>376</v>
      </c>
      <c r="E587" s="6" t="s">
        <v>377</v>
      </c>
      <c r="F587" s="6" t="s">
        <v>5963</v>
      </c>
      <c r="G587" s="6" t="s">
        <v>207</v>
      </c>
      <c r="H587" s="6"/>
      <c r="I587" s="6"/>
      <c r="J587" s="6"/>
      <c r="K587" s="6"/>
      <c r="L587" s="6" t="s">
        <v>378</v>
      </c>
      <c r="M587" s="6" t="s">
        <v>379</v>
      </c>
      <c r="N587" s="6" t="s">
        <v>380</v>
      </c>
      <c r="O587" s="6" t="str">
        <f>HYPERLINK("https://ceds.ed.gov/cedselementdetails.aspx?termid=5432")</f>
        <v>https://ceds.ed.gov/cedselementdetails.aspx?termid=5432</v>
      </c>
      <c r="P587" s="6" t="str">
        <f>HYPERLINK("https://ceds.ed.gov/elementComment.aspx?elementName=Appealed Adequate Yearly Progress Designation &amp;elementID=5432", "Click here to submit comment")</f>
        <v>Click here to submit comment</v>
      </c>
    </row>
    <row r="588" spans="1:16" ht="60">
      <c r="A588" s="6" t="s">
        <v>6788</v>
      </c>
      <c r="B588" s="6" t="s">
        <v>6789</v>
      </c>
      <c r="C588" s="6" t="s">
        <v>6792</v>
      </c>
      <c r="D588" s="6" t="s">
        <v>331</v>
      </c>
      <c r="E588" s="6" t="s">
        <v>332</v>
      </c>
      <c r="F588" s="6" t="s">
        <v>5963</v>
      </c>
      <c r="G588" s="6" t="s">
        <v>218</v>
      </c>
      <c r="H588" s="6"/>
      <c r="I588" s="6"/>
      <c r="J588" s="6"/>
      <c r="K588" s="6"/>
      <c r="L588" s="6" t="s">
        <v>333</v>
      </c>
      <c r="M588" s="6" t="s">
        <v>334</v>
      </c>
      <c r="N588" s="6" t="s">
        <v>335</v>
      </c>
      <c r="O588" s="6" t="str">
        <f>HYPERLINK("https://ceds.ed.gov/cedselementdetails.aspx?termid=5014")</f>
        <v>https://ceds.ed.gov/cedselementdetails.aspx?termid=5014</v>
      </c>
      <c r="P588" s="6" t="str">
        <f>HYPERLINK("https://ceds.ed.gov/elementComment.aspx?elementName=Alternate Adequate Yearly Progress Approach Indicator &amp;elementID=5014", "Click here to submit comment")</f>
        <v>Click here to submit comment</v>
      </c>
    </row>
    <row r="589" spans="1:16" ht="105">
      <c r="A589" s="6" t="s">
        <v>6788</v>
      </c>
      <c r="B589" s="6" t="s">
        <v>6789</v>
      </c>
      <c r="C589" s="6" t="s">
        <v>6792</v>
      </c>
      <c r="D589" s="6" t="s">
        <v>366</v>
      </c>
      <c r="E589" s="6" t="s">
        <v>367</v>
      </c>
      <c r="F589" s="7" t="s">
        <v>6374</v>
      </c>
      <c r="G589" s="6" t="s">
        <v>218</v>
      </c>
      <c r="H589" s="6"/>
      <c r="I589" s="6"/>
      <c r="J589" s="6"/>
      <c r="K589" s="6"/>
      <c r="L589" s="6" t="s">
        <v>368</v>
      </c>
      <c r="M589" s="6" t="s">
        <v>369</v>
      </c>
      <c r="N589" s="6" t="s">
        <v>370</v>
      </c>
      <c r="O589" s="6" t="str">
        <f>HYPERLINK("https://ceds.ed.gov/cedselementdetails.aspx?termid=5535")</f>
        <v>https://ceds.ed.gov/cedselementdetails.aspx?termid=5535</v>
      </c>
      <c r="P589" s="6" t="str">
        <f>HYPERLINK("https://ceds.ed.gov/elementComment.aspx?elementName=Annual Measurable Achievement Objective Proficiency Attainment Status for LEP Students &amp;elementID=5535", "Click here to submit comment")</f>
        <v>Click here to submit comment</v>
      </c>
    </row>
    <row r="590" spans="1:16" ht="105">
      <c r="A590" s="6" t="s">
        <v>6788</v>
      </c>
      <c r="B590" s="6" t="s">
        <v>6789</v>
      </c>
      <c r="C590" s="6" t="s">
        <v>6792</v>
      </c>
      <c r="D590" s="6" t="s">
        <v>371</v>
      </c>
      <c r="E590" s="6" t="s">
        <v>372</v>
      </c>
      <c r="F590" s="7" t="s">
        <v>6374</v>
      </c>
      <c r="G590" s="6" t="s">
        <v>218</v>
      </c>
      <c r="H590" s="6"/>
      <c r="I590" s="6"/>
      <c r="J590" s="6"/>
      <c r="K590" s="6"/>
      <c r="L590" s="6" t="s">
        <v>373</v>
      </c>
      <c r="M590" s="6" t="s">
        <v>374</v>
      </c>
      <c r="N590" s="6" t="s">
        <v>375</v>
      </c>
      <c r="O590" s="6" t="str">
        <f>HYPERLINK("https://ceds.ed.gov/cedselementdetails.aspx?termid=5545")</f>
        <v>https://ceds.ed.gov/cedselementdetails.aspx?termid=5545</v>
      </c>
      <c r="P590" s="6" t="str">
        <f>HYPERLINK("https://ceds.ed.gov/elementComment.aspx?elementName=Annual Measurable Achievement Objective Progress Attainment Status for LEP Students &amp;elementID=5545", "Click here to submit comment")</f>
        <v>Click here to submit comment</v>
      </c>
    </row>
    <row r="591" spans="1:16" ht="345">
      <c r="A591" s="6" t="s">
        <v>6788</v>
      </c>
      <c r="B591" s="6" t="s">
        <v>6789</v>
      </c>
      <c r="C591" s="6" t="s">
        <v>6792</v>
      </c>
      <c r="D591" s="6" t="s">
        <v>1804</v>
      </c>
      <c r="E591" s="6" t="s">
        <v>1805</v>
      </c>
      <c r="F591" s="7" t="s">
        <v>6432</v>
      </c>
      <c r="G591" s="6" t="s">
        <v>218</v>
      </c>
      <c r="H591" s="6"/>
      <c r="I591" s="6"/>
      <c r="J591" s="6"/>
      <c r="K591" s="6"/>
      <c r="L591" s="6" t="s">
        <v>1807</v>
      </c>
      <c r="M591" s="6"/>
      <c r="N591" s="6" t="s">
        <v>1808</v>
      </c>
      <c r="O591" s="6" t="str">
        <f>HYPERLINK("https://ceds.ed.gov/cedselementdetails.aspx?termid=5049")</f>
        <v>https://ceds.ed.gov/cedselementdetails.aspx?termid=5049</v>
      </c>
      <c r="P591" s="6" t="str">
        <f>HYPERLINK("https://ceds.ed.gov/elementComment.aspx?elementName=Corrective Action Type &amp;elementID=5049", "Click here to submit comment")</f>
        <v>Click here to submit comment</v>
      </c>
    </row>
    <row r="592" spans="1:16" ht="135">
      <c r="A592" s="6" t="s">
        <v>6788</v>
      </c>
      <c r="B592" s="6" t="s">
        <v>6789</v>
      </c>
      <c r="C592" s="6" t="s">
        <v>6792</v>
      </c>
      <c r="D592" s="6" t="s">
        <v>2462</v>
      </c>
      <c r="E592" s="6" t="s">
        <v>2463</v>
      </c>
      <c r="F592" s="7" t="s">
        <v>6490</v>
      </c>
      <c r="G592" s="6" t="s">
        <v>218</v>
      </c>
      <c r="H592" s="6"/>
      <c r="I592" s="6"/>
      <c r="J592" s="6"/>
      <c r="K592" s="6"/>
      <c r="L592" s="6" t="s">
        <v>2464</v>
      </c>
      <c r="M592" s="6"/>
      <c r="N592" s="6" t="s">
        <v>2465</v>
      </c>
      <c r="O592" s="6" t="str">
        <f>HYPERLINK("https://ceds.ed.gov/cedselementdetails.aspx?termid=5091")</f>
        <v>https://ceds.ed.gov/cedselementdetails.aspx?termid=5091</v>
      </c>
      <c r="P592" s="6" t="str">
        <f>HYPERLINK("https://ceds.ed.gov/elementComment.aspx?elementName=Elementary-Middle Additional Indicator Status &amp;elementID=5091", "Click here to submit comment")</f>
        <v>Click here to submit comment</v>
      </c>
    </row>
    <row r="593" spans="1:16" ht="150">
      <c r="A593" s="6" t="s">
        <v>6788</v>
      </c>
      <c r="B593" s="6" t="s">
        <v>6789</v>
      </c>
      <c r="C593" s="6" t="s">
        <v>6792</v>
      </c>
      <c r="D593" s="6" t="s">
        <v>2916</v>
      </c>
      <c r="E593" s="6" t="s">
        <v>2917</v>
      </c>
      <c r="F593" s="7" t="s">
        <v>6525</v>
      </c>
      <c r="G593" s="6" t="s">
        <v>218</v>
      </c>
      <c r="H593" s="6"/>
      <c r="I593" s="6"/>
      <c r="J593" s="6"/>
      <c r="K593" s="6"/>
      <c r="L593" s="6" t="s">
        <v>2918</v>
      </c>
      <c r="M593" s="6"/>
      <c r="N593" s="6" t="s">
        <v>2919</v>
      </c>
      <c r="O593" s="6" t="str">
        <f>HYPERLINK("https://ceds.ed.gov/cedselementdetails.aspx?termid=5134")</f>
        <v>https://ceds.ed.gov/cedselementdetails.aspx?termid=5134</v>
      </c>
      <c r="P593" s="6" t="str">
        <f>HYPERLINK("https://ceds.ed.gov/elementComment.aspx?elementName=Gun Free Schools Act Reporting Status &amp;elementID=5134", "Click here to submit comment")</f>
        <v>Click here to submit comment</v>
      </c>
    </row>
    <row r="594" spans="1:16" ht="165">
      <c r="A594" s="6" t="s">
        <v>6788</v>
      </c>
      <c r="B594" s="6" t="s">
        <v>6789</v>
      </c>
      <c r="C594" s="6" t="s">
        <v>6792</v>
      </c>
      <c r="D594" s="6" t="s">
        <v>2953</v>
      </c>
      <c r="E594" s="6" t="s">
        <v>2954</v>
      </c>
      <c r="F594" s="7" t="s">
        <v>6529</v>
      </c>
      <c r="G594" s="6" t="s">
        <v>218</v>
      </c>
      <c r="H594" s="6"/>
      <c r="I594" s="6"/>
      <c r="J594" s="6"/>
      <c r="K594" s="6"/>
      <c r="L594" s="6" t="s">
        <v>2955</v>
      </c>
      <c r="M594" s="6"/>
      <c r="N594" s="6" t="s">
        <v>2956</v>
      </c>
      <c r="O594" s="6" t="str">
        <f>HYPERLINK("https://ceds.ed.gov/cedselementdetails.aspx?termid=5140")</f>
        <v>https://ceds.ed.gov/cedselementdetails.aspx?termid=5140</v>
      </c>
      <c r="P594" s="6" t="str">
        <f>HYPERLINK("https://ceds.ed.gov/elementComment.aspx?elementName=High School Graduation Rate Indicator Status &amp;elementID=5140", "Click here to submit comment")</f>
        <v>Click here to submit comment</v>
      </c>
    </row>
    <row r="595" spans="1:16" ht="150">
      <c r="A595" s="6" t="s">
        <v>6788</v>
      </c>
      <c r="B595" s="6" t="s">
        <v>6789</v>
      </c>
      <c r="C595" s="6" t="s">
        <v>6792</v>
      </c>
      <c r="D595" s="6" t="s">
        <v>4427</v>
      </c>
      <c r="E595" s="6" t="s">
        <v>4428</v>
      </c>
      <c r="F595" s="7" t="s">
        <v>6597</v>
      </c>
      <c r="G595" s="6" t="s">
        <v>218</v>
      </c>
      <c r="H595" s="6"/>
      <c r="I595" s="6"/>
      <c r="J595" s="6"/>
      <c r="K595" s="6"/>
      <c r="L595" s="6" t="s">
        <v>4429</v>
      </c>
      <c r="M595" s="6"/>
      <c r="N595" s="6" t="s">
        <v>4430</v>
      </c>
      <c r="O595" s="6" t="str">
        <f>HYPERLINK("https://ceds.ed.gov/cedselementdetails.aspx?termid=5208")</f>
        <v>https://ceds.ed.gov/cedselementdetails.aspx?termid=5208</v>
      </c>
      <c r="P595" s="6" t="str">
        <f>HYPERLINK("https://ceds.ed.gov/elementComment.aspx?elementName=Participation Status for Math &amp;elementID=5208", "Click here to submit comment")</f>
        <v>Click here to submit comment</v>
      </c>
    </row>
    <row r="596" spans="1:16" ht="150">
      <c r="A596" s="6" t="s">
        <v>6788</v>
      </c>
      <c r="B596" s="6" t="s">
        <v>6789</v>
      </c>
      <c r="C596" s="6" t="s">
        <v>6792</v>
      </c>
      <c r="D596" s="6" t="s">
        <v>4431</v>
      </c>
      <c r="E596" s="6" t="s">
        <v>4432</v>
      </c>
      <c r="F596" s="7" t="s">
        <v>6597</v>
      </c>
      <c r="G596" s="6" t="s">
        <v>218</v>
      </c>
      <c r="H596" s="6"/>
      <c r="I596" s="6"/>
      <c r="J596" s="6"/>
      <c r="K596" s="6"/>
      <c r="L596" s="6" t="s">
        <v>4433</v>
      </c>
      <c r="M596" s="6"/>
      <c r="N596" s="6" t="s">
        <v>4434</v>
      </c>
      <c r="O596" s="6" t="str">
        <f>HYPERLINK("https://ceds.ed.gov/cedselementdetails.aspx?termid=5209")</f>
        <v>https://ceds.ed.gov/cedselementdetails.aspx?termid=5209</v>
      </c>
      <c r="P596" s="6" t="str">
        <f>HYPERLINK("https://ceds.ed.gov/elementComment.aspx?elementName=Participation Status for Reading and Language Arts &amp;elementID=5209", "Click here to submit comment")</f>
        <v>Click here to submit comment</v>
      </c>
    </row>
    <row r="597" spans="1:16" ht="240">
      <c r="A597" s="6" t="s">
        <v>6788</v>
      </c>
      <c r="B597" s="6" t="s">
        <v>6789</v>
      </c>
      <c r="C597" s="6" t="s">
        <v>6792</v>
      </c>
      <c r="D597" s="6" t="s">
        <v>4771</v>
      </c>
      <c r="E597" s="6" t="s">
        <v>4772</v>
      </c>
      <c r="F597" s="7" t="s">
        <v>6622</v>
      </c>
      <c r="G597" s="6" t="s">
        <v>218</v>
      </c>
      <c r="H597" s="6"/>
      <c r="I597" s="6"/>
      <c r="J597" s="6"/>
      <c r="K597" s="6"/>
      <c r="L597" s="6" t="s">
        <v>4773</v>
      </c>
      <c r="M597" s="6"/>
      <c r="N597" s="6" t="s">
        <v>4774</v>
      </c>
      <c r="O597" s="6" t="str">
        <f>HYPERLINK("https://ceds.ed.gov/cedselementdetails.aspx?termid=5221")</f>
        <v>https://ceds.ed.gov/cedselementdetails.aspx?termid=5221</v>
      </c>
      <c r="P597" s="6" t="str">
        <f>HYPERLINK("https://ceds.ed.gov/elementComment.aspx?elementName=Proficiency Target Status for Math &amp;elementID=5221", "Click here to submit comment")</f>
        <v>Click here to submit comment</v>
      </c>
    </row>
    <row r="598" spans="1:16" ht="45">
      <c r="A598" s="6" t="s">
        <v>6788</v>
      </c>
      <c r="B598" s="6" t="s">
        <v>6789</v>
      </c>
      <c r="C598" s="6" t="s">
        <v>6792</v>
      </c>
      <c r="D598" s="6" t="s">
        <v>4464</v>
      </c>
      <c r="E598" s="6" t="s">
        <v>4465</v>
      </c>
      <c r="F598" s="6" t="s">
        <v>5963</v>
      </c>
      <c r="G598" s="6" t="s">
        <v>218</v>
      </c>
      <c r="H598" s="6"/>
      <c r="I598" s="6"/>
      <c r="J598" s="6"/>
      <c r="K598" s="6"/>
      <c r="L598" s="6" t="s">
        <v>4466</v>
      </c>
      <c r="M598" s="6"/>
      <c r="N598" s="6" t="s">
        <v>4467</v>
      </c>
      <c r="O598" s="6" t="str">
        <f>HYPERLINK("https://ceds.ed.gov/cedselementdetails.aspx?termid=5210")</f>
        <v>https://ceds.ed.gov/cedselementdetails.aspx?termid=5210</v>
      </c>
      <c r="P598" s="6" t="str">
        <f>HYPERLINK("https://ceds.ed.gov/elementComment.aspx?elementName=Persistently Dangerous Status &amp;elementID=5210", "Click here to submit comment")</f>
        <v>Click here to submit comment</v>
      </c>
    </row>
    <row r="599" spans="1:16" ht="240">
      <c r="A599" s="6" t="s">
        <v>6788</v>
      </c>
      <c r="B599" s="6" t="s">
        <v>6789</v>
      </c>
      <c r="C599" s="6" t="s">
        <v>6792</v>
      </c>
      <c r="D599" s="6" t="s">
        <v>4775</v>
      </c>
      <c r="E599" s="6" t="s">
        <v>4776</v>
      </c>
      <c r="F599" s="7" t="s">
        <v>6622</v>
      </c>
      <c r="G599" s="6" t="s">
        <v>218</v>
      </c>
      <c r="H599" s="6"/>
      <c r="I599" s="6"/>
      <c r="J599" s="6"/>
      <c r="K599" s="6"/>
      <c r="L599" s="6" t="s">
        <v>4777</v>
      </c>
      <c r="M599" s="6"/>
      <c r="N599" s="6" t="s">
        <v>4778</v>
      </c>
      <c r="O599" s="6" t="str">
        <f>HYPERLINK("https://ceds.ed.gov/cedselementdetails.aspx?termid=5544")</f>
        <v>https://ceds.ed.gov/cedselementdetails.aspx?termid=5544</v>
      </c>
      <c r="P599" s="6" t="str">
        <f>HYPERLINK("https://ceds.ed.gov/elementComment.aspx?elementName=Proficiency Target Status for Reading and Language Arts &amp;elementID=5544", "Click here to submit comment")</f>
        <v>Click here to submit comment</v>
      </c>
    </row>
    <row r="600" spans="1:16" ht="45">
      <c r="A600" s="6" t="s">
        <v>6788</v>
      </c>
      <c r="B600" s="6" t="s">
        <v>6789</v>
      </c>
      <c r="C600" s="6" t="s">
        <v>6792</v>
      </c>
      <c r="D600" s="6" t="s">
        <v>4468</v>
      </c>
      <c r="E600" s="6" t="s">
        <v>4469</v>
      </c>
      <c r="F600" s="6" t="s">
        <v>5963</v>
      </c>
      <c r="G600" s="6" t="s">
        <v>218</v>
      </c>
      <c r="H600" s="6"/>
      <c r="I600" s="6"/>
      <c r="J600" s="6"/>
      <c r="K600" s="6"/>
      <c r="L600" s="6" t="s">
        <v>4470</v>
      </c>
      <c r="M600" s="6"/>
      <c r="N600" s="6" t="s">
        <v>4471</v>
      </c>
      <c r="O600" s="6" t="str">
        <f>HYPERLINK("https://ceds.ed.gov/cedselementdetails.aspx?termid=5211")</f>
        <v>https://ceds.ed.gov/cedselementdetails.aspx?termid=5211</v>
      </c>
      <c r="P600" s="6" t="str">
        <f>HYPERLINK("https://ceds.ed.gov/elementComment.aspx?elementName=Persistently Lowest Achieving School Status &amp;elementID=5211", "Click here to submit comment")</f>
        <v>Click here to submit comment</v>
      </c>
    </row>
    <row r="601" spans="1:16" ht="90">
      <c r="A601" s="6" t="s">
        <v>6788</v>
      </c>
      <c r="B601" s="6" t="s">
        <v>6789</v>
      </c>
      <c r="C601" s="6" t="s">
        <v>6792</v>
      </c>
      <c r="D601" s="6" t="s">
        <v>4987</v>
      </c>
      <c r="E601" s="6" t="s">
        <v>4988</v>
      </c>
      <c r="F601" s="7" t="s">
        <v>6639</v>
      </c>
      <c r="G601" s="6" t="s">
        <v>218</v>
      </c>
      <c r="H601" s="6" t="s">
        <v>66</v>
      </c>
      <c r="I601" s="6"/>
      <c r="J601" s="6" t="s">
        <v>4989</v>
      </c>
      <c r="K601" s="6"/>
      <c r="L601" s="6" t="s">
        <v>4990</v>
      </c>
      <c r="M601" s="6"/>
      <c r="N601" s="6" t="s">
        <v>4991</v>
      </c>
      <c r="O601" s="6" t="str">
        <f>HYPERLINK("https://ceds.ed.gov/cedselementdetails.aspx?termid=5230")</f>
        <v>https://ceds.ed.gov/cedselementdetails.aspx?termid=5230</v>
      </c>
      <c r="P601" s="6" t="str">
        <f>HYPERLINK("https://ceds.ed.gov/elementComment.aspx?elementName=Reconstituted Status &amp;elementID=5230", "Click here to submit comment")</f>
        <v>Click here to submit comment</v>
      </c>
    </row>
    <row r="602" spans="1:16" ht="255">
      <c r="A602" s="6" t="s">
        <v>6788</v>
      </c>
      <c r="B602" s="6" t="s">
        <v>6789</v>
      </c>
      <c r="C602" s="6" t="s">
        <v>6792</v>
      </c>
      <c r="D602" s="6" t="s">
        <v>5074</v>
      </c>
      <c r="E602" s="6" t="s">
        <v>5075</v>
      </c>
      <c r="F602" s="7" t="s">
        <v>6642</v>
      </c>
      <c r="G602" s="6" t="s">
        <v>218</v>
      </c>
      <c r="H602" s="6"/>
      <c r="I602" s="6"/>
      <c r="J602" s="6"/>
      <c r="K602" s="6"/>
      <c r="L602" s="6" t="s">
        <v>5076</v>
      </c>
      <c r="M602" s="6"/>
      <c r="N602" s="6" t="s">
        <v>5077</v>
      </c>
      <c r="O602" s="6" t="str">
        <f>HYPERLINK("https://ceds.ed.gov/cedselementdetails.aspx?termid=5232")</f>
        <v>https://ceds.ed.gov/cedselementdetails.aspx?termid=5232</v>
      </c>
      <c r="P602" s="6" t="str">
        <f>HYPERLINK("https://ceds.ed.gov/elementComment.aspx?elementName=Restructuring Action &amp;elementID=5232", "Click here to submit comment")</f>
        <v>Click here to submit comment</v>
      </c>
    </row>
    <row r="603" spans="1:16" ht="45">
      <c r="A603" s="6" t="s">
        <v>6788</v>
      </c>
      <c r="B603" s="6" t="s">
        <v>6789</v>
      </c>
      <c r="C603" s="6" t="s">
        <v>6792</v>
      </c>
      <c r="D603" s="6" t="s">
        <v>5231</v>
      </c>
      <c r="E603" s="6" t="s">
        <v>5232</v>
      </c>
      <c r="F603" s="6" t="s">
        <v>13</v>
      </c>
      <c r="G603" s="6" t="s">
        <v>207</v>
      </c>
      <c r="H603" s="6"/>
      <c r="I603" s="6" t="s">
        <v>73</v>
      </c>
      <c r="J603" s="6"/>
      <c r="K603" s="6"/>
      <c r="L603" s="6" t="s">
        <v>5233</v>
      </c>
      <c r="M603" s="6"/>
      <c r="N603" s="6" t="s">
        <v>5234</v>
      </c>
      <c r="O603" s="6" t="str">
        <f>HYPERLINK("https://ceds.ed.gov/cedselementdetails.aspx?termid=5472")</f>
        <v>https://ceds.ed.gov/cedselementdetails.aspx?termid=5472</v>
      </c>
      <c r="P603" s="6" t="str">
        <f>HYPERLINK("https://ceds.ed.gov/elementComment.aspx?elementName=School Improvement Exit Date &amp;elementID=5472", "Click here to submit comment")</f>
        <v>Click here to submit comment</v>
      </c>
    </row>
    <row r="604" spans="1:16" ht="45">
      <c r="A604" s="6" t="s">
        <v>6788</v>
      </c>
      <c r="B604" s="6" t="s">
        <v>6789</v>
      </c>
      <c r="C604" s="6" t="s">
        <v>6792</v>
      </c>
      <c r="D604" s="6" t="s">
        <v>5235</v>
      </c>
      <c r="E604" s="6" t="s">
        <v>5236</v>
      </c>
      <c r="F604" s="6" t="s">
        <v>5963</v>
      </c>
      <c r="G604" s="6" t="s">
        <v>218</v>
      </c>
      <c r="H604" s="6"/>
      <c r="I604" s="6"/>
      <c r="J604" s="6"/>
      <c r="K604" s="6"/>
      <c r="L604" s="6" t="s">
        <v>5237</v>
      </c>
      <c r="M604" s="6"/>
      <c r="N604" s="6" t="s">
        <v>5238</v>
      </c>
      <c r="O604" s="6" t="str">
        <f>HYPERLINK("https://ceds.ed.gov/cedselementdetails.aspx?termid=5238")</f>
        <v>https://ceds.ed.gov/cedselementdetails.aspx?termid=5238</v>
      </c>
      <c r="P604" s="6" t="str">
        <f>HYPERLINK("https://ceds.ed.gov/elementComment.aspx?elementName=School Improvement Funds Status &amp;elementID=5238", "Click here to submit comment")</f>
        <v>Click here to submit comment</v>
      </c>
    </row>
    <row r="605" spans="1:16" ht="120">
      <c r="A605" s="6" t="s">
        <v>6788</v>
      </c>
      <c r="B605" s="6" t="s">
        <v>6789</v>
      </c>
      <c r="C605" s="6" t="s">
        <v>6737</v>
      </c>
      <c r="D605" s="6" t="s">
        <v>2670</v>
      </c>
      <c r="E605" s="6" t="s">
        <v>2671</v>
      </c>
      <c r="F605" s="7" t="s">
        <v>6508</v>
      </c>
      <c r="G605" s="6"/>
      <c r="H605" s="6" t="s">
        <v>54</v>
      </c>
      <c r="I605" s="6"/>
      <c r="J605" s="6"/>
      <c r="K605" s="6"/>
      <c r="L605" s="6" t="s">
        <v>2672</v>
      </c>
      <c r="M605" s="6"/>
      <c r="N605" s="6" t="s">
        <v>2673</v>
      </c>
      <c r="O605" s="6" t="str">
        <f>HYPERLINK("https://ceds.ed.gov/cedselementdetails.aspx?termid=6312")</f>
        <v>https://ceds.ed.gov/cedselementdetails.aspx?termid=6312</v>
      </c>
      <c r="P605" s="6" t="str">
        <f>HYPERLINK("https://ceds.ed.gov/elementComment.aspx?elementName=Financial Account Category &amp;elementID=6312", "Click here to submit comment")</f>
        <v>Click here to submit comment</v>
      </c>
    </row>
    <row r="606" spans="1:16" ht="45">
      <c r="A606" s="6" t="s">
        <v>6788</v>
      </c>
      <c r="B606" s="6" t="s">
        <v>6789</v>
      </c>
      <c r="C606" s="6" t="s">
        <v>6737</v>
      </c>
      <c r="D606" s="6" t="s">
        <v>2674</v>
      </c>
      <c r="E606" s="6" t="s">
        <v>2675</v>
      </c>
      <c r="F606" s="6" t="s">
        <v>13</v>
      </c>
      <c r="G606" s="6"/>
      <c r="H606" s="6" t="s">
        <v>54</v>
      </c>
      <c r="I606" s="6" t="s">
        <v>93</v>
      </c>
      <c r="J606" s="6"/>
      <c r="K606" s="6"/>
      <c r="L606" s="6" t="s">
        <v>2676</v>
      </c>
      <c r="M606" s="6"/>
      <c r="N606" s="6" t="s">
        <v>2677</v>
      </c>
      <c r="O606" s="6" t="str">
        <f>HYPERLINK("https://ceds.ed.gov/cedselementdetails.aspx?termid=6313")</f>
        <v>https://ceds.ed.gov/cedselementdetails.aspx?termid=6313</v>
      </c>
      <c r="P606" s="6" t="str">
        <f>HYPERLINK("https://ceds.ed.gov/elementComment.aspx?elementName=Financial Account Description &amp;elementID=6313", "Click here to submit comment")</f>
        <v>Click here to submit comment</v>
      </c>
    </row>
    <row r="607" spans="1:16" ht="150">
      <c r="A607" s="6" t="s">
        <v>6788</v>
      </c>
      <c r="B607" s="6" t="s">
        <v>6789</v>
      </c>
      <c r="C607" s="6" t="s">
        <v>6737</v>
      </c>
      <c r="D607" s="6" t="s">
        <v>2678</v>
      </c>
      <c r="E607" s="6" t="s">
        <v>2679</v>
      </c>
      <c r="F607" s="7" t="s">
        <v>6509</v>
      </c>
      <c r="G607" s="6"/>
      <c r="H607" s="6" t="s">
        <v>54</v>
      </c>
      <c r="I607" s="6"/>
      <c r="J607" s="6"/>
      <c r="K607" s="6" t="s">
        <v>2680</v>
      </c>
      <c r="L607" s="6" t="s">
        <v>2681</v>
      </c>
      <c r="M607" s="6"/>
      <c r="N607" s="6" t="s">
        <v>2682</v>
      </c>
      <c r="O607" s="6" t="str">
        <f>HYPERLINK("https://ceds.ed.gov/cedselementdetails.aspx?termid=6314")</f>
        <v>https://ceds.ed.gov/cedselementdetails.aspx?termid=6314</v>
      </c>
      <c r="P607" s="6" t="str">
        <f>HYPERLINK("https://ceds.ed.gov/elementComment.aspx?elementName=Financial Account Fund Classification &amp;elementID=6314", "Click here to submit comment")</f>
        <v>Click here to submit comment</v>
      </c>
    </row>
    <row r="608" spans="1:16" ht="45">
      <c r="A608" s="6" t="s">
        <v>6788</v>
      </c>
      <c r="B608" s="6" t="s">
        <v>6789</v>
      </c>
      <c r="C608" s="6" t="s">
        <v>6737</v>
      </c>
      <c r="D608" s="6" t="s">
        <v>2683</v>
      </c>
      <c r="E608" s="6" t="s">
        <v>2684</v>
      </c>
      <c r="F608" s="6" t="s">
        <v>13</v>
      </c>
      <c r="G608" s="6"/>
      <c r="H608" s="6" t="s">
        <v>54</v>
      </c>
      <c r="I608" s="6" t="s">
        <v>745</v>
      </c>
      <c r="J608" s="6"/>
      <c r="K608" s="6"/>
      <c r="L608" s="6" t="s">
        <v>2685</v>
      </c>
      <c r="M608" s="6"/>
      <c r="N608" s="6" t="s">
        <v>2686</v>
      </c>
      <c r="O608" s="6" t="str">
        <f>HYPERLINK("https://ceds.ed.gov/cedselementdetails.aspx?termid=6315")</f>
        <v>https://ceds.ed.gov/cedselementdetails.aspx?termid=6315</v>
      </c>
      <c r="P608" s="6" t="str">
        <f>HYPERLINK("https://ceds.ed.gov/elementComment.aspx?elementName=Financial Account Name &amp;elementID=6315", "Click here to submit comment")</f>
        <v>Click here to submit comment</v>
      </c>
    </row>
    <row r="609" spans="1:16" ht="315">
      <c r="A609" s="6" t="s">
        <v>6788</v>
      </c>
      <c r="B609" s="6" t="s">
        <v>6789</v>
      </c>
      <c r="C609" s="6" t="s">
        <v>6737</v>
      </c>
      <c r="D609" s="6" t="s">
        <v>2687</v>
      </c>
      <c r="E609" s="6" t="s">
        <v>2688</v>
      </c>
      <c r="F609" s="7" t="s">
        <v>6510</v>
      </c>
      <c r="G609" s="6"/>
      <c r="H609" s="6" t="s">
        <v>54</v>
      </c>
      <c r="I609" s="6"/>
      <c r="J609" s="6"/>
      <c r="K609" s="6"/>
      <c r="L609" s="6" t="s">
        <v>2689</v>
      </c>
      <c r="M609" s="6"/>
      <c r="N609" s="6" t="s">
        <v>2690</v>
      </c>
      <c r="O609" s="6" t="str">
        <f>HYPERLINK("https://ceds.ed.gov/cedselementdetails.aspx?termid=6316")</f>
        <v>https://ceds.ed.gov/cedselementdetails.aspx?termid=6316</v>
      </c>
      <c r="P609" s="6" t="str">
        <f>HYPERLINK("https://ceds.ed.gov/elementComment.aspx?elementName=Financial Account Program Code &amp;elementID=6316", "Click here to submit comment")</f>
        <v>Click here to submit comment</v>
      </c>
    </row>
    <row r="610" spans="1:16" ht="45">
      <c r="A610" s="6" t="s">
        <v>6788</v>
      </c>
      <c r="B610" s="6" t="s">
        <v>6789</v>
      </c>
      <c r="C610" s="6" t="s">
        <v>6737</v>
      </c>
      <c r="D610" s="6" t="s">
        <v>2691</v>
      </c>
      <c r="E610" s="6" t="s">
        <v>2692</v>
      </c>
      <c r="F610" s="6" t="s">
        <v>13</v>
      </c>
      <c r="G610" s="6"/>
      <c r="H610" s="6" t="s">
        <v>54</v>
      </c>
      <c r="I610" s="6" t="s">
        <v>1461</v>
      </c>
      <c r="J610" s="6"/>
      <c r="K610" s="6"/>
      <c r="L610" s="6" t="s">
        <v>2693</v>
      </c>
      <c r="M610" s="6"/>
      <c r="N610" s="6" t="s">
        <v>2694</v>
      </c>
      <c r="O610" s="6" t="str">
        <f>HYPERLINK("https://ceds.ed.gov/cedselementdetails.aspx?termid=6317")</f>
        <v>https://ceds.ed.gov/cedselementdetails.aspx?termid=6317</v>
      </c>
      <c r="P610" s="6" t="str">
        <f>HYPERLINK("https://ceds.ed.gov/elementComment.aspx?elementName=Financial Accounting Period Actual Value &amp;elementID=6317", "Click here to submit comment")</f>
        <v>Click here to submit comment</v>
      </c>
    </row>
    <row r="611" spans="1:16" ht="45">
      <c r="A611" s="6" t="s">
        <v>6788</v>
      </c>
      <c r="B611" s="6" t="s">
        <v>6789</v>
      </c>
      <c r="C611" s="6" t="s">
        <v>6737</v>
      </c>
      <c r="D611" s="6" t="s">
        <v>2695</v>
      </c>
      <c r="E611" s="6" t="s">
        <v>2696</v>
      </c>
      <c r="F611" s="6" t="s">
        <v>13</v>
      </c>
      <c r="G611" s="6"/>
      <c r="H611" s="6" t="s">
        <v>54</v>
      </c>
      <c r="I611" s="6" t="s">
        <v>1461</v>
      </c>
      <c r="J611" s="6"/>
      <c r="K611" s="6"/>
      <c r="L611" s="6" t="s">
        <v>2697</v>
      </c>
      <c r="M611" s="6"/>
      <c r="N611" s="6" t="s">
        <v>2698</v>
      </c>
      <c r="O611" s="6" t="str">
        <f>HYPERLINK("https://ceds.ed.gov/cedselementdetails.aspx?termid=6318")</f>
        <v>https://ceds.ed.gov/cedselementdetails.aspx?termid=6318</v>
      </c>
      <c r="P611" s="6" t="str">
        <f>HYPERLINK("https://ceds.ed.gov/elementComment.aspx?elementName=Financial Accounting Period Budgeted Value &amp;elementID=6318", "Click here to submit comment")</f>
        <v>Click here to submit comment</v>
      </c>
    </row>
    <row r="612" spans="1:16" ht="409.5">
      <c r="A612" s="6" t="s">
        <v>6788</v>
      </c>
      <c r="B612" s="6" t="s">
        <v>6789</v>
      </c>
      <c r="C612" s="6" t="s">
        <v>6737</v>
      </c>
      <c r="D612" s="6" t="s">
        <v>2730</v>
      </c>
      <c r="E612" s="6" t="s">
        <v>2731</v>
      </c>
      <c r="F612" s="7" t="s">
        <v>6513</v>
      </c>
      <c r="G612" s="6"/>
      <c r="H612" s="6" t="s">
        <v>54</v>
      </c>
      <c r="I612" s="6"/>
      <c r="J612" s="6"/>
      <c r="K612" s="6" t="s">
        <v>2732</v>
      </c>
      <c r="L612" s="6" t="s">
        <v>2733</v>
      </c>
      <c r="M612" s="6"/>
      <c r="N612" s="6" t="s">
        <v>2734</v>
      </c>
      <c r="O612" s="6" t="str">
        <f>HYPERLINK("https://ceds.ed.gov/cedselementdetails.aspx?termid=6320")</f>
        <v>https://ceds.ed.gov/cedselementdetails.aspx?termid=6320</v>
      </c>
      <c r="P612" s="6" t="str">
        <f>HYPERLINK("https://ceds.ed.gov/elementComment.aspx?elementName=Financial Balance Sheet Account Code &amp;elementID=6320", "Click here to submit comment")</f>
        <v>Click here to submit comment</v>
      </c>
    </row>
    <row r="613" spans="1:16" ht="409.5">
      <c r="A613" s="6" t="s">
        <v>6788</v>
      </c>
      <c r="B613" s="6" t="s">
        <v>6789</v>
      </c>
      <c r="C613" s="6" t="s">
        <v>6737</v>
      </c>
      <c r="D613" s="6" t="s">
        <v>2735</v>
      </c>
      <c r="E613" s="6" t="s">
        <v>2736</v>
      </c>
      <c r="F613" s="7" t="s">
        <v>6514</v>
      </c>
      <c r="G613" s="6"/>
      <c r="H613" s="6" t="s">
        <v>54</v>
      </c>
      <c r="I613" s="6"/>
      <c r="J613" s="6"/>
      <c r="K613" s="6" t="s">
        <v>2732</v>
      </c>
      <c r="L613" s="6" t="s">
        <v>2737</v>
      </c>
      <c r="M613" s="6"/>
      <c r="N613" s="6" t="s">
        <v>2738</v>
      </c>
      <c r="O613" s="6" t="str">
        <f>HYPERLINK("https://ceds.ed.gov/cedselementdetails.aspx?termid=6321")</f>
        <v>https://ceds.ed.gov/cedselementdetails.aspx?termid=6321</v>
      </c>
      <c r="P613" s="6" t="str">
        <f>HYPERLINK("https://ceds.ed.gov/elementComment.aspx?elementName=Financial Expenditure Function Code &amp;elementID=6321", "Click here to submit comment")</f>
        <v>Click here to submit comment</v>
      </c>
    </row>
    <row r="614" spans="1:16" ht="409.5">
      <c r="A614" s="6" t="s">
        <v>6788</v>
      </c>
      <c r="B614" s="6" t="s">
        <v>6789</v>
      </c>
      <c r="C614" s="6" t="s">
        <v>6737</v>
      </c>
      <c r="D614" s="6" t="s">
        <v>2739</v>
      </c>
      <c r="E614" s="6" t="s">
        <v>2740</v>
      </c>
      <c r="F614" s="7" t="s">
        <v>6515</v>
      </c>
      <c r="G614" s="6"/>
      <c r="H614" s="6" t="s">
        <v>54</v>
      </c>
      <c r="I614" s="6"/>
      <c r="J614" s="6"/>
      <c r="K614" s="6" t="s">
        <v>2741</v>
      </c>
      <c r="L614" s="6" t="s">
        <v>2742</v>
      </c>
      <c r="M614" s="6"/>
      <c r="N614" s="6" t="s">
        <v>2743</v>
      </c>
      <c r="O614" s="6" t="str">
        <f>HYPERLINK("https://ceds.ed.gov/cedselementdetails.aspx?termid=6322")</f>
        <v>https://ceds.ed.gov/cedselementdetails.aspx?termid=6322</v>
      </c>
      <c r="P614" s="6" t="str">
        <f>HYPERLINK("https://ceds.ed.gov/elementComment.aspx?elementName=Financial Expenditure Object Code &amp;elementID=6322", "Click here to submit comment")</f>
        <v>Click here to submit comment</v>
      </c>
    </row>
    <row r="615" spans="1:16" ht="105">
      <c r="A615" s="6" t="s">
        <v>6788</v>
      </c>
      <c r="B615" s="6" t="s">
        <v>6789</v>
      </c>
      <c r="C615" s="6" t="s">
        <v>6793</v>
      </c>
      <c r="D615" s="6" t="s">
        <v>1762</v>
      </c>
      <c r="E615" s="6" t="s">
        <v>1763</v>
      </c>
      <c r="F615" s="7" t="s">
        <v>6371</v>
      </c>
      <c r="G615" s="6" t="s">
        <v>218</v>
      </c>
      <c r="H615" s="6"/>
      <c r="I615" s="6"/>
      <c r="J615" s="6"/>
      <c r="K615" s="6"/>
      <c r="L615" s="6" t="s">
        <v>1765</v>
      </c>
      <c r="M615" s="6" t="s">
        <v>1766</v>
      </c>
      <c r="N615" s="6" t="s">
        <v>1767</v>
      </c>
      <c r="O615" s="6" t="str">
        <f>HYPERLINK("https://ceds.ed.gov/cedselementdetails.aspx?termid=5533")</f>
        <v>https://ceds.ed.gov/cedselementdetails.aspx?termid=5533</v>
      </c>
      <c r="P615" s="6" t="str">
        <f>HYPERLINK("https://ceds.ed.gov/elementComment.aspx?elementName=Consolidated Migrant Education Program Funds Status &amp;elementID=5533", "Click here to submit comment")</f>
        <v>Click here to submit comment</v>
      </c>
    </row>
    <row r="616" spans="1:16" ht="120">
      <c r="A616" s="6" t="s">
        <v>6788</v>
      </c>
      <c r="B616" s="6" t="s">
        <v>6789</v>
      </c>
      <c r="C616" s="6" t="s">
        <v>6793</v>
      </c>
      <c r="D616" s="6" t="s">
        <v>5239</v>
      </c>
      <c r="E616" s="6" t="s">
        <v>5240</v>
      </c>
      <c r="F616" s="7" t="s">
        <v>6646</v>
      </c>
      <c r="G616" s="6" t="s">
        <v>218</v>
      </c>
      <c r="H616" s="6"/>
      <c r="I616" s="6"/>
      <c r="J616" s="6"/>
      <c r="K616" s="6"/>
      <c r="L616" s="6" t="s">
        <v>5241</v>
      </c>
      <c r="M616" s="6"/>
      <c r="N616" s="6" t="s">
        <v>5242</v>
      </c>
      <c r="O616" s="6" t="str">
        <f>HYPERLINK("https://ceds.ed.gov/cedselementdetails.aspx?termid=5239")</f>
        <v>https://ceds.ed.gov/cedselementdetails.aspx?termid=5239</v>
      </c>
      <c r="P616" s="6" t="str">
        <f>HYPERLINK("https://ceds.ed.gov/elementComment.aspx?elementName=School Improvement Grant Intervention Type &amp;elementID=5239", "Click here to submit comment")</f>
        <v>Click here to submit comment</v>
      </c>
    </row>
    <row r="617" spans="1:16" ht="60">
      <c r="A617" s="6" t="s">
        <v>6788</v>
      </c>
      <c r="B617" s="6" t="s">
        <v>6789</v>
      </c>
      <c r="C617" s="6" t="s">
        <v>6794</v>
      </c>
      <c r="D617" s="6" t="s">
        <v>5317</v>
      </c>
      <c r="E617" s="6" t="s">
        <v>5318</v>
      </c>
      <c r="F617" s="6" t="s">
        <v>13</v>
      </c>
      <c r="G617" s="6"/>
      <c r="H617" s="6"/>
      <c r="I617" s="6" t="s">
        <v>100</v>
      </c>
      <c r="J617" s="6"/>
      <c r="K617" s="6"/>
      <c r="L617" s="6" t="s">
        <v>5319</v>
      </c>
      <c r="M617" s="6"/>
      <c r="N617" s="6" t="s">
        <v>5320</v>
      </c>
      <c r="O617" s="6" t="str">
        <f>HYPERLINK("https://ceds.ed.gov/cedselementdetails.aspx?termid=6236")</f>
        <v>https://ceds.ed.gov/cedselementdetails.aspx?termid=6236</v>
      </c>
      <c r="P617" s="6" t="str">
        <f>HYPERLINK("https://ceds.ed.gov/elementComment.aspx?elementName=Session Code &amp;elementID=6236", "Click here to submit comment")</f>
        <v>Click here to submit comment</v>
      </c>
    </row>
    <row r="618" spans="1:16" ht="30">
      <c r="A618" s="6" t="s">
        <v>6788</v>
      </c>
      <c r="B618" s="6" t="s">
        <v>6789</v>
      </c>
      <c r="C618" s="6" t="s">
        <v>6794</v>
      </c>
      <c r="D618" s="6" t="s">
        <v>5321</v>
      </c>
      <c r="E618" s="6" t="s">
        <v>5322</v>
      </c>
      <c r="F618" s="6" t="s">
        <v>13</v>
      </c>
      <c r="G618" s="6"/>
      <c r="H618" s="6"/>
      <c r="I618" s="6" t="s">
        <v>319</v>
      </c>
      <c r="J618" s="6"/>
      <c r="K618" s="6"/>
      <c r="L618" s="6" t="s">
        <v>5323</v>
      </c>
      <c r="M618" s="6"/>
      <c r="N618" s="6" t="s">
        <v>5324</v>
      </c>
      <c r="O618" s="6" t="str">
        <f>HYPERLINK("https://ceds.ed.gov/cedselementdetails.aspx?termid=6237")</f>
        <v>https://ceds.ed.gov/cedselementdetails.aspx?termid=6237</v>
      </c>
      <c r="P618" s="6" t="str">
        <f>HYPERLINK("https://ceds.ed.gov/elementComment.aspx?elementName=Session Description &amp;elementID=6237", "Click here to submit comment")</f>
        <v>Click here to submit comment</v>
      </c>
    </row>
    <row r="619" spans="1:16" ht="45">
      <c r="A619" s="6" t="s">
        <v>6788</v>
      </c>
      <c r="B619" s="6" t="s">
        <v>6789</v>
      </c>
      <c r="C619" s="6" t="s">
        <v>6794</v>
      </c>
      <c r="D619" s="6" t="s">
        <v>5337</v>
      </c>
      <c r="E619" s="6" t="s">
        <v>5338</v>
      </c>
      <c r="F619" s="6" t="s">
        <v>5963</v>
      </c>
      <c r="G619" s="6"/>
      <c r="H619" s="6"/>
      <c r="I619" s="6"/>
      <c r="J619" s="6"/>
      <c r="K619" s="6"/>
      <c r="L619" s="6" t="s">
        <v>5339</v>
      </c>
      <c r="M619" s="6"/>
      <c r="N619" s="6" t="s">
        <v>5340</v>
      </c>
      <c r="O619" s="6" t="str">
        <f>HYPERLINK("https://ceds.ed.gov/cedselementdetails.aspx?termid=6238")</f>
        <v>https://ceds.ed.gov/cedselementdetails.aspx?termid=6238</v>
      </c>
      <c r="P619" s="6" t="str">
        <f>HYPERLINK("https://ceds.ed.gov/elementComment.aspx?elementName=Session Marking Term Indicator &amp;elementID=6238", "Click here to submit comment")</f>
        <v>Click here to submit comment</v>
      </c>
    </row>
    <row r="620" spans="1:16" ht="45">
      <c r="A620" s="6" t="s">
        <v>6788</v>
      </c>
      <c r="B620" s="6" t="s">
        <v>6789</v>
      </c>
      <c r="C620" s="6" t="s">
        <v>6794</v>
      </c>
      <c r="D620" s="6" t="s">
        <v>5341</v>
      </c>
      <c r="E620" s="6" t="s">
        <v>5342</v>
      </c>
      <c r="F620" s="6" t="s">
        <v>5963</v>
      </c>
      <c r="G620" s="6"/>
      <c r="H620" s="6"/>
      <c r="I620" s="6"/>
      <c r="J620" s="6"/>
      <c r="K620" s="6"/>
      <c r="L620" s="6" t="s">
        <v>5343</v>
      </c>
      <c r="M620" s="6"/>
      <c r="N620" s="6" t="s">
        <v>5344</v>
      </c>
      <c r="O620" s="6" t="str">
        <f>HYPERLINK("https://ceds.ed.gov/cedselementdetails.aspx?termid=6239")</f>
        <v>https://ceds.ed.gov/cedselementdetails.aspx?termid=6239</v>
      </c>
      <c r="P620" s="6" t="str">
        <f>HYPERLINK("https://ceds.ed.gov/elementComment.aspx?elementName=Session Scheduling Term Indicator &amp;elementID=6239", "Click here to submit comment")</f>
        <v>Click here to submit comment</v>
      </c>
    </row>
    <row r="621" spans="1:16" ht="45">
      <c r="A621" s="6" t="s">
        <v>6788</v>
      </c>
      <c r="B621" s="6" t="s">
        <v>6789</v>
      </c>
      <c r="C621" s="6" t="s">
        <v>6794</v>
      </c>
      <c r="D621" s="6" t="s">
        <v>5309</v>
      </c>
      <c r="E621" s="6" t="s">
        <v>5310</v>
      </c>
      <c r="F621" s="6" t="s">
        <v>5963</v>
      </c>
      <c r="G621" s="6"/>
      <c r="H621" s="6"/>
      <c r="I621" s="6"/>
      <c r="J621" s="6"/>
      <c r="K621" s="6"/>
      <c r="L621" s="6" t="s">
        <v>5311</v>
      </c>
      <c r="M621" s="6"/>
      <c r="N621" s="6" t="s">
        <v>5312</v>
      </c>
      <c r="O621" s="6" t="str">
        <f>HYPERLINK("https://ceds.ed.gov/cedselementdetails.aspx?termid=6240")</f>
        <v>https://ceds.ed.gov/cedselementdetails.aspx?termid=6240</v>
      </c>
      <c r="P621" s="6" t="str">
        <f>HYPERLINK("https://ceds.ed.gov/elementComment.aspx?elementName=Session Attendance Term Indicator &amp;elementID=6240", "Click here to submit comment")</f>
        <v>Click here to submit comment</v>
      </c>
    </row>
    <row r="622" spans="1:16" ht="45">
      <c r="A622" s="6" t="s">
        <v>6788</v>
      </c>
      <c r="B622" s="6" t="s">
        <v>6789</v>
      </c>
      <c r="C622" s="6" t="s">
        <v>6794</v>
      </c>
      <c r="D622" s="6" t="s">
        <v>5263</v>
      </c>
      <c r="E622" s="6" t="s">
        <v>5264</v>
      </c>
      <c r="F622" s="6" t="s">
        <v>13</v>
      </c>
      <c r="G622" s="6" t="s">
        <v>1780</v>
      </c>
      <c r="H622" s="6"/>
      <c r="I622" s="6" t="s">
        <v>1736</v>
      </c>
      <c r="J622" s="6"/>
      <c r="K622" s="6" t="s">
        <v>5265</v>
      </c>
      <c r="L622" s="6" t="s">
        <v>5266</v>
      </c>
      <c r="M622" s="6"/>
      <c r="N622" s="6" t="s">
        <v>5267</v>
      </c>
      <c r="O622" s="6" t="str">
        <f>HYPERLINK("https://ceds.ed.gov/cedselementdetails.aspx?termid=5243")</f>
        <v>https://ceds.ed.gov/cedselementdetails.aspx?termid=5243</v>
      </c>
      <c r="P622" s="6" t="str">
        <f>HYPERLINK("https://ceds.ed.gov/elementComment.aspx?elementName=School Year &amp;elementID=5243", "Click here to submit comment")</f>
        <v>Click here to submit comment</v>
      </c>
    </row>
    <row r="623" spans="1:16" ht="45">
      <c r="A623" s="6" t="s">
        <v>6788</v>
      </c>
      <c r="B623" s="6" t="s">
        <v>6789</v>
      </c>
      <c r="C623" s="6" t="s">
        <v>6794</v>
      </c>
      <c r="D623" s="6" t="s">
        <v>2772</v>
      </c>
      <c r="E623" s="6" t="s">
        <v>2773</v>
      </c>
      <c r="F623" s="6" t="s">
        <v>13</v>
      </c>
      <c r="G623" s="6"/>
      <c r="H623" s="6"/>
      <c r="I623" s="6" t="s">
        <v>73</v>
      </c>
      <c r="J623" s="6"/>
      <c r="K623" s="6"/>
      <c r="L623" s="6" t="s">
        <v>2774</v>
      </c>
      <c r="M623" s="6"/>
      <c r="N623" s="6" t="s">
        <v>2775</v>
      </c>
      <c r="O623" s="6" t="str">
        <f>HYPERLINK("https://ceds.ed.gov/cedselementdetails.aspx?termid=5488")</f>
        <v>https://ceds.ed.gov/cedselementdetails.aspx?termid=5488</v>
      </c>
      <c r="P623" s="6" t="str">
        <f>HYPERLINK("https://ceds.ed.gov/elementComment.aspx?elementName=First Instruction Date &amp;elementID=5488", "Click here to submit comment")</f>
        <v>Click here to submit comment</v>
      </c>
    </row>
    <row r="624" spans="1:16" ht="105">
      <c r="A624" s="6" t="s">
        <v>6788</v>
      </c>
      <c r="B624" s="6" t="s">
        <v>6789</v>
      </c>
      <c r="C624" s="6" t="s">
        <v>6794</v>
      </c>
      <c r="D624" s="6" t="s">
        <v>3423</v>
      </c>
      <c r="E624" s="6" t="s">
        <v>3424</v>
      </c>
      <c r="F624" s="6" t="s">
        <v>13</v>
      </c>
      <c r="G624" s="6"/>
      <c r="H624" s="6"/>
      <c r="I624" s="6" t="s">
        <v>73</v>
      </c>
      <c r="J624" s="6"/>
      <c r="K624" s="6"/>
      <c r="L624" s="6" t="s">
        <v>3425</v>
      </c>
      <c r="M624" s="6"/>
      <c r="N624" s="6" t="s">
        <v>3426</v>
      </c>
      <c r="O624" s="6" t="str">
        <f>HYPERLINK("https://ceds.ed.gov/cedselementdetails.aspx?termid=5489")</f>
        <v>https://ceds.ed.gov/cedselementdetails.aspx?termid=5489</v>
      </c>
      <c r="P624" s="6" t="str">
        <f>HYPERLINK("https://ceds.ed.gov/elementComment.aspx?elementName=Last Instruction Date &amp;elementID=5489", "Click here to submit comment")</f>
        <v>Click here to submit comment</v>
      </c>
    </row>
    <row r="625" spans="1:16" ht="135">
      <c r="A625" s="6" t="s">
        <v>6788</v>
      </c>
      <c r="B625" s="6" t="s">
        <v>6789</v>
      </c>
      <c r="C625" s="6" t="s">
        <v>6794</v>
      </c>
      <c r="D625" s="6" t="s">
        <v>2114</v>
      </c>
      <c r="E625" s="6" t="s">
        <v>2115</v>
      </c>
      <c r="F625" s="6" t="s">
        <v>13</v>
      </c>
      <c r="G625" s="6"/>
      <c r="H625" s="6"/>
      <c r="I625" s="6" t="s">
        <v>308</v>
      </c>
      <c r="J625" s="6"/>
      <c r="K625" s="6"/>
      <c r="L625" s="6" t="s">
        <v>2117</v>
      </c>
      <c r="M625" s="6"/>
      <c r="N625" s="6" t="s">
        <v>2118</v>
      </c>
      <c r="O625" s="6" t="str">
        <f>HYPERLINK("https://ceds.ed.gov/cedselementdetails.aspx?termid=5487")</f>
        <v>https://ceds.ed.gov/cedselementdetails.aspx?termid=5487</v>
      </c>
      <c r="P625" s="6" t="str">
        <f>HYPERLINK("https://ceds.ed.gov/elementComment.aspx?elementName=Days In Session &amp;elementID=5487", "Click here to submit comment")</f>
        <v>Click here to submit comment</v>
      </c>
    </row>
    <row r="626" spans="1:16" ht="105">
      <c r="A626" s="6" t="s">
        <v>6788</v>
      </c>
      <c r="B626" s="6" t="s">
        <v>6789</v>
      </c>
      <c r="C626" s="6" t="s">
        <v>6794</v>
      </c>
      <c r="D626" s="6" t="s">
        <v>5268</v>
      </c>
      <c r="E626" s="6" t="s">
        <v>5269</v>
      </c>
      <c r="F626" s="6" t="s">
        <v>13</v>
      </c>
      <c r="G626" s="6" t="s">
        <v>218</v>
      </c>
      <c r="H626" s="6"/>
      <c r="I626" s="6" t="s">
        <v>308</v>
      </c>
      <c r="J626" s="6"/>
      <c r="K626" s="6"/>
      <c r="L626" s="6" t="s">
        <v>5270</v>
      </c>
      <c r="M626" s="6"/>
      <c r="N626" s="6" t="s">
        <v>5271</v>
      </c>
      <c r="O626" s="6" t="str">
        <f>HYPERLINK("https://ceds.ed.gov/cedselementdetails.aspx?termid=5244")</f>
        <v>https://ceds.ed.gov/cedselementdetails.aspx?termid=5244</v>
      </c>
      <c r="P626" s="6" t="str">
        <f>HYPERLINK("https://ceds.ed.gov/elementComment.aspx?elementName=School Year Minutes &amp;elementID=5244", "Click here to submit comment")</f>
        <v>Click here to submit comment</v>
      </c>
    </row>
    <row r="627" spans="1:16" ht="90">
      <c r="A627" s="6" t="s">
        <v>6788</v>
      </c>
      <c r="B627" s="6" t="s">
        <v>6789</v>
      </c>
      <c r="C627" s="6" t="s">
        <v>6794</v>
      </c>
      <c r="D627" s="6" t="s">
        <v>3318</v>
      </c>
      <c r="E627" s="6" t="s">
        <v>3319</v>
      </c>
      <c r="F627" s="6" t="s">
        <v>13</v>
      </c>
      <c r="G627" s="6"/>
      <c r="H627" s="6"/>
      <c r="I627" s="6" t="s">
        <v>308</v>
      </c>
      <c r="J627" s="6"/>
      <c r="K627" s="6"/>
      <c r="L627" s="6" t="s">
        <v>3320</v>
      </c>
      <c r="M627" s="6"/>
      <c r="N627" s="6" t="s">
        <v>3321</v>
      </c>
      <c r="O627" s="6" t="str">
        <f>HYPERLINK("https://ceds.ed.gov/cedselementdetails.aspx?termid=5490")</f>
        <v>https://ceds.ed.gov/cedselementdetails.aspx?termid=5490</v>
      </c>
      <c r="P627" s="6" t="str">
        <f>HYPERLINK("https://ceds.ed.gov/elementComment.aspx?elementName=Instructional Minutes &amp;elementID=5490", "Click here to submit comment")</f>
        <v>Click here to submit comment</v>
      </c>
    </row>
    <row r="628" spans="1:16" ht="30">
      <c r="A628" s="6" t="s">
        <v>6788</v>
      </c>
      <c r="B628" s="6" t="s">
        <v>6789</v>
      </c>
      <c r="C628" s="6" t="s">
        <v>6794</v>
      </c>
      <c r="D628" s="6" t="s">
        <v>4160</v>
      </c>
      <c r="E628" s="6" t="s">
        <v>4161</v>
      </c>
      <c r="F628" s="6" t="s">
        <v>13</v>
      </c>
      <c r="G628" s="6"/>
      <c r="H628" s="6"/>
      <c r="I628" s="6" t="s">
        <v>308</v>
      </c>
      <c r="J628" s="6"/>
      <c r="K628" s="6"/>
      <c r="L628" s="6" t="s">
        <v>4162</v>
      </c>
      <c r="M628" s="6"/>
      <c r="N628" s="6" t="s">
        <v>4163</v>
      </c>
      <c r="O628" s="6" t="str">
        <f>HYPERLINK("https://ceds.ed.gov/cedselementdetails.aspx?termid=5491")</f>
        <v>https://ceds.ed.gov/cedselementdetails.aspx?termid=5491</v>
      </c>
      <c r="P628" s="6" t="str">
        <f>HYPERLINK("https://ceds.ed.gov/elementComment.aspx?elementName=Minutes Per Day &amp;elementID=5491", "Click here to submit comment")</f>
        <v>Click here to submit comment</v>
      </c>
    </row>
    <row r="629" spans="1:16" ht="60">
      <c r="A629" s="6" t="s">
        <v>6788</v>
      </c>
      <c r="B629" s="6" t="s">
        <v>6789</v>
      </c>
      <c r="C629" s="6" t="s">
        <v>6795</v>
      </c>
      <c r="D629" s="6" t="s">
        <v>5707</v>
      </c>
      <c r="E629" s="6" t="s">
        <v>5708</v>
      </c>
      <c r="F629" s="6" t="s">
        <v>5963</v>
      </c>
      <c r="G629" s="6"/>
      <c r="H629" s="6" t="s">
        <v>54</v>
      </c>
      <c r="I629" s="6"/>
      <c r="J629" s="6"/>
      <c r="K629" s="6"/>
      <c r="L629" s="6" t="s">
        <v>5709</v>
      </c>
      <c r="M629" s="6"/>
      <c r="N629" s="6" t="s">
        <v>5710</v>
      </c>
      <c r="O629" s="6" t="str">
        <f>HYPERLINK("https://ceds.ed.gov/cedselementdetails.aspx?termid=6465")</f>
        <v>https://ceds.ed.gov/cedselementdetails.aspx?termid=6465</v>
      </c>
      <c r="P629" s="6" t="str">
        <f>HYPERLINK("https://ceds.ed.gov/elementComment.aspx?elementName=Technical Assistance Approved Indicator &amp;elementID=6465", "Click here to submit comment")</f>
        <v>Click here to submit comment</v>
      </c>
    </row>
    <row r="630" spans="1:16" ht="90">
      <c r="A630" s="6" t="s">
        <v>6788</v>
      </c>
      <c r="B630" s="6" t="s">
        <v>6789</v>
      </c>
      <c r="C630" s="6" t="s">
        <v>6795</v>
      </c>
      <c r="D630" s="6" t="s">
        <v>5711</v>
      </c>
      <c r="E630" s="6" t="s">
        <v>5712</v>
      </c>
      <c r="F630" s="7" t="s">
        <v>6616</v>
      </c>
      <c r="G630" s="6"/>
      <c r="H630" s="6" t="s">
        <v>54</v>
      </c>
      <c r="I630" s="6"/>
      <c r="J630" s="6"/>
      <c r="K630" s="6"/>
      <c r="L630" s="6" t="s">
        <v>5713</v>
      </c>
      <c r="M630" s="6"/>
      <c r="N630" s="6" t="s">
        <v>5714</v>
      </c>
      <c r="O630" s="6" t="str">
        <f>HYPERLINK("https://ceds.ed.gov/cedselementdetails.aspx?termid=6466")</f>
        <v>https://ceds.ed.gov/cedselementdetails.aspx?termid=6466</v>
      </c>
      <c r="P630" s="6" t="str">
        <f>HYPERLINK("https://ceds.ed.gov/elementComment.aspx?elementName=Technical Assistance Delivery Type &amp;elementID=6466", "Click here to submit comment")</f>
        <v>Click here to submit comment</v>
      </c>
    </row>
    <row r="631" spans="1:16" ht="409.5">
      <c r="A631" s="6" t="s">
        <v>6788</v>
      </c>
      <c r="B631" s="6" t="s">
        <v>6789</v>
      </c>
      <c r="C631" s="6" t="s">
        <v>6795</v>
      </c>
      <c r="D631" s="6" t="s">
        <v>5715</v>
      </c>
      <c r="E631" s="6" t="s">
        <v>5716</v>
      </c>
      <c r="F631" s="7" t="s">
        <v>6673</v>
      </c>
      <c r="G631" s="6"/>
      <c r="H631" s="6" t="s">
        <v>54</v>
      </c>
      <c r="I631" s="6"/>
      <c r="J631" s="6"/>
      <c r="K631" s="6"/>
      <c r="L631" s="6" t="s">
        <v>5717</v>
      </c>
      <c r="M631" s="6"/>
      <c r="N631" s="6" t="s">
        <v>5718</v>
      </c>
      <c r="O631" s="6" t="str">
        <f>HYPERLINK("https://ceds.ed.gov/cedselementdetails.aspx?termid=6467")</f>
        <v>https://ceds.ed.gov/cedselementdetails.aspx?termid=6467</v>
      </c>
      <c r="P631" s="6" t="str">
        <f>HYPERLINK("https://ceds.ed.gov/elementComment.aspx?elementName=Technical Assistance Type &amp;elementID=6467", "Click here to submit comment")</f>
        <v>Click here to submit comment</v>
      </c>
    </row>
    <row r="632" spans="1:16" ht="285">
      <c r="A632" s="6" t="s">
        <v>6788</v>
      </c>
      <c r="B632" s="6" t="s">
        <v>6796</v>
      </c>
      <c r="C632" s="6" t="s">
        <v>6780</v>
      </c>
      <c r="D632" s="6" t="s">
        <v>4017</v>
      </c>
      <c r="E632" s="6" t="s">
        <v>4018</v>
      </c>
      <c r="F632" s="7" t="s">
        <v>6577</v>
      </c>
      <c r="G632" s="6" t="s">
        <v>6252</v>
      </c>
      <c r="H632" s="6"/>
      <c r="I632" s="6"/>
      <c r="J632" s="6"/>
      <c r="K632" s="6"/>
      <c r="L632" s="6" t="s">
        <v>4019</v>
      </c>
      <c r="M632" s="6" t="s">
        <v>4020</v>
      </c>
      <c r="N632" s="6" t="s">
        <v>4021</v>
      </c>
      <c r="O632" s="6" t="str">
        <f>HYPERLINK("https://ceds.ed.gov/cedselementdetails.aspx?termid=5159")</f>
        <v>https://ceds.ed.gov/cedselementdetails.aspx?termid=5159</v>
      </c>
      <c r="P632" s="6" t="str">
        <f>HYPERLINK("https://ceds.ed.gov/elementComment.aspx?elementName=Local Education Agency Identification System &amp;elementID=5159", "Click here to submit comment")</f>
        <v>Click here to submit comment</v>
      </c>
    </row>
    <row r="633" spans="1:16" ht="120">
      <c r="A633" s="6" t="s">
        <v>6788</v>
      </c>
      <c r="B633" s="6" t="s">
        <v>6796</v>
      </c>
      <c r="C633" s="6" t="s">
        <v>6780</v>
      </c>
      <c r="D633" s="6" t="s">
        <v>4022</v>
      </c>
      <c r="E633" s="6" t="s">
        <v>4023</v>
      </c>
      <c r="F633" s="6" t="s">
        <v>13</v>
      </c>
      <c r="G633" s="6" t="s">
        <v>6252</v>
      </c>
      <c r="H633" s="6"/>
      <c r="I633" s="6" t="s">
        <v>100</v>
      </c>
      <c r="J633" s="6"/>
      <c r="K633" s="6"/>
      <c r="L633" s="6" t="s">
        <v>4024</v>
      </c>
      <c r="M633" s="6" t="s">
        <v>4025</v>
      </c>
      <c r="N633" s="6" t="s">
        <v>4026</v>
      </c>
      <c r="O633" s="6" t="str">
        <f>HYPERLINK("https://ceds.ed.gov/cedselementdetails.aspx?termid=5153")</f>
        <v>https://ceds.ed.gov/cedselementdetails.aspx?termid=5153</v>
      </c>
      <c r="P633" s="6" t="str">
        <f>HYPERLINK("https://ceds.ed.gov/elementComment.aspx?elementName=Local Education Agency Identifier &amp;elementID=5153", "Click here to submit comment")</f>
        <v>Click here to submit comment</v>
      </c>
    </row>
    <row r="634" spans="1:16" ht="45">
      <c r="A634" s="6" t="s">
        <v>6788</v>
      </c>
      <c r="B634" s="6" t="s">
        <v>6796</v>
      </c>
      <c r="C634" s="6" t="s">
        <v>6780</v>
      </c>
      <c r="D634" s="6" t="s">
        <v>4349</v>
      </c>
      <c r="E634" s="6" t="s">
        <v>4350</v>
      </c>
      <c r="F634" s="6" t="s">
        <v>13</v>
      </c>
      <c r="G634" s="6" t="s">
        <v>202</v>
      </c>
      <c r="H634" s="6" t="s">
        <v>3</v>
      </c>
      <c r="I634" s="6" t="s">
        <v>106</v>
      </c>
      <c r="J634" s="6"/>
      <c r="K634" s="6"/>
      <c r="L634" s="6" t="s">
        <v>4351</v>
      </c>
      <c r="M634" s="6"/>
      <c r="N634" s="6" t="s">
        <v>4352</v>
      </c>
      <c r="O634" s="6" t="str">
        <f>HYPERLINK("https://ceds.ed.gov/cedselementdetails.aspx?termid=5204")</f>
        <v>https://ceds.ed.gov/cedselementdetails.aspx?termid=5204</v>
      </c>
      <c r="P634" s="6" t="str">
        <f>HYPERLINK("https://ceds.ed.gov/elementComment.aspx?elementName=Organization Name &amp;elementID=5204", "Click here to submit comment")</f>
        <v>Click here to submit comment</v>
      </c>
    </row>
    <row r="635" spans="1:16" ht="409.5">
      <c r="A635" s="6" t="s">
        <v>6788</v>
      </c>
      <c r="B635" s="6" t="s">
        <v>6796</v>
      </c>
      <c r="C635" s="6" t="s">
        <v>6780</v>
      </c>
      <c r="D635" s="6" t="s">
        <v>4361</v>
      </c>
      <c r="E635" s="6" t="s">
        <v>4362</v>
      </c>
      <c r="F635" s="7" t="s">
        <v>6592</v>
      </c>
      <c r="G635" s="6"/>
      <c r="H635" s="6" t="s">
        <v>66</v>
      </c>
      <c r="I635" s="6" t="s">
        <v>149</v>
      </c>
      <c r="J635" s="6" t="s">
        <v>4363</v>
      </c>
      <c r="K635" s="6" t="s">
        <v>4364</v>
      </c>
      <c r="L635" s="6" t="s">
        <v>4365</v>
      </c>
      <c r="M635" s="6"/>
      <c r="N635" s="6" t="s">
        <v>4366</v>
      </c>
      <c r="O635" s="6" t="str">
        <f>HYPERLINK("https://ceds.ed.gov/cedselementdetails.aspx?termid=6165")</f>
        <v>https://ceds.ed.gov/cedselementdetails.aspx?termid=6165</v>
      </c>
      <c r="P635" s="6" t="str">
        <f>HYPERLINK("https://ceds.ed.gov/elementComment.aspx?elementName=Organization Type &amp;elementID=6165", "Click here to submit comment")</f>
        <v>Click here to submit comment</v>
      </c>
    </row>
    <row r="636" spans="1:16" ht="90">
      <c r="A636" s="6" t="s">
        <v>6788</v>
      </c>
      <c r="B636" s="6" t="s">
        <v>6796</v>
      </c>
      <c r="C636" s="6" t="s">
        <v>6749</v>
      </c>
      <c r="D636" s="6" t="s">
        <v>196</v>
      </c>
      <c r="E636" s="6" t="s">
        <v>197</v>
      </c>
      <c r="F636" s="7" t="s">
        <v>6354</v>
      </c>
      <c r="G636" s="6" t="s">
        <v>5968</v>
      </c>
      <c r="H636" s="6" t="s">
        <v>3</v>
      </c>
      <c r="I636" s="6" t="s">
        <v>100</v>
      </c>
      <c r="J636" s="6"/>
      <c r="K636" s="6"/>
      <c r="L636" s="6" t="s">
        <v>198</v>
      </c>
      <c r="M636" s="6"/>
      <c r="N636" s="6" t="s">
        <v>199</v>
      </c>
      <c r="O636" s="6" t="str">
        <f>HYPERLINK("https://ceds.ed.gov/cedselementdetails.aspx?termid=5644")</f>
        <v>https://ceds.ed.gov/cedselementdetails.aspx?termid=5644</v>
      </c>
      <c r="P636" s="6" t="str">
        <f>HYPERLINK("https://ceds.ed.gov/elementComment.aspx?elementName=Address Type for Organization &amp;elementID=5644", "Click here to submit comment")</f>
        <v>Click here to submit comment</v>
      </c>
    </row>
    <row r="637" spans="1:16" ht="225">
      <c r="A637" s="6" t="s">
        <v>6788</v>
      </c>
      <c r="B637" s="6" t="s">
        <v>6796</v>
      </c>
      <c r="C637" s="6" t="s">
        <v>6749</v>
      </c>
      <c r="D637" s="6" t="s">
        <v>187</v>
      </c>
      <c r="E637" s="6" t="s">
        <v>188</v>
      </c>
      <c r="F637" s="6" t="s">
        <v>13</v>
      </c>
      <c r="G637" s="6" t="s">
        <v>5973</v>
      </c>
      <c r="H637" s="6" t="s">
        <v>3</v>
      </c>
      <c r="I637" s="6" t="s">
        <v>149</v>
      </c>
      <c r="J637" s="6"/>
      <c r="K637" s="6"/>
      <c r="L637" s="6" t="s">
        <v>189</v>
      </c>
      <c r="M637" s="6"/>
      <c r="N637" s="6" t="s">
        <v>190</v>
      </c>
      <c r="O637" s="6" t="str">
        <f>HYPERLINK("https://ceds.ed.gov/cedselementdetails.aspx?termid=5269")</f>
        <v>https://ceds.ed.gov/cedselementdetails.aspx?termid=5269</v>
      </c>
      <c r="P637" s="6" t="str">
        <f>HYPERLINK("https://ceds.ed.gov/elementComment.aspx?elementName=Address Street Number and Name &amp;elementID=5269", "Click here to submit comment")</f>
        <v>Click here to submit comment</v>
      </c>
    </row>
    <row r="638" spans="1:16" ht="225">
      <c r="A638" s="6" t="s">
        <v>6788</v>
      </c>
      <c r="B638" s="6" t="s">
        <v>6796</v>
      </c>
      <c r="C638" s="6" t="s">
        <v>6749</v>
      </c>
      <c r="D638" s="6" t="s">
        <v>170</v>
      </c>
      <c r="E638" s="6" t="s">
        <v>171</v>
      </c>
      <c r="F638" s="6" t="s">
        <v>13</v>
      </c>
      <c r="G638" s="6" t="s">
        <v>5973</v>
      </c>
      <c r="H638" s="6" t="s">
        <v>3</v>
      </c>
      <c r="I638" s="6" t="s">
        <v>100</v>
      </c>
      <c r="J638" s="6"/>
      <c r="K638" s="6"/>
      <c r="L638" s="6" t="s">
        <v>172</v>
      </c>
      <c r="M638" s="6"/>
      <c r="N638" s="6" t="s">
        <v>173</v>
      </c>
      <c r="O638" s="6" t="str">
        <f>HYPERLINK("https://ceds.ed.gov/cedselementdetails.aspx?termid=5019")</f>
        <v>https://ceds.ed.gov/cedselementdetails.aspx?termid=5019</v>
      </c>
      <c r="P638" s="6" t="str">
        <f>HYPERLINK("https://ceds.ed.gov/elementComment.aspx?elementName=Address Apartment Room or Suite Number &amp;elementID=5019", "Click here to submit comment")</f>
        <v>Click here to submit comment</v>
      </c>
    </row>
    <row r="639" spans="1:16" ht="225">
      <c r="A639" s="6" t="s">
        <v>6788</v>
      </c>
      <c r="B639" s="6" t="s">
        <v>6796</v>
      </c>
      <c r="C639" s="6" t="s">
        <v>6749</v>
      </c>
      <c r="D639" s="6" t="s">
        <v>174</v>
      </c>
      <c r="E639" s="6" t="s">
        <v>175</v>
      </c>
      <c r="F639" s="6" t="s">
        <v>13</v>
      </c>
      <c r="G639" s="6" t="s">
        <v>5973</v>
      </c>
      <c r="H639" s="6" t="s">
        <v>3</v>
      </c>
      <c r="I639" s="6" t="s">
        <v>100</v>
      </c>
      <c r="J639" s="6"/>
      <c r="K639" s="6"/>
      <c r="L639" s="6" t="s">
        <v>176</v>
      </c>
      <c r="M639" s="6"/>
      <c r="N639" s="6" t="s">
        <v>177</v>
      </c>
      <c r="O639" s="6" t="str">
        <f>HYPERLINK("https://ceds.ed.gov/cedselementdetails.aspx?termid=5040")</f>
        <v>https://ceds.ed.gov/cedselementdetails.aspx?termid=5040</v>
      </c>
      <c r="P639" s="6" t="str">
        <f>HYPERLINK("https://ceds.ed.gov/elementComment.aspx?elementName=Address City &amp;elementID=5040", "Click here to submit comment")</f>
        <v>Click here to submit comment</v>
      </c>
    </row>
    <row r="640" spans="1:16" ht="409.5">
      <c r="A640" s="6" t="s">
        <v>6788</v>
      </c>
      <c r="B640" s="6" t="s">
        <v>6796</v>
      </c>
      <c r="C640" s="6" t="s">
        <v>6749</v>
      </c>
      <c r="D640" s="6" t="s">
        <v>5533</v>
      </c>
      <c r="E640" s="6" t="s">
        <v>5534</v>
      </c>
      <c r="F640" s="7" t="s">
        <v>6633</v>
      </c>
      <c r="G640" s="6" t="s">
        <v>6324</v>
      </c>
      <c r="H640" s="6" t="s">
        <v>3</v>
      </c>
      <c r="I640" s="6"/>
      <c r="J640" s="6"/>
      <c r="K640" s="6"/>
      <c r="L640" s="6" t="s">
        <v>5535</v>
      </c>
      <c r="M640" s="6"/>
      <c r="N640" s="6" t="s">
        <v>5536</v>
      </c>
      <c r="O640" s="6" t="str">
        <f>HYPERLINK("https://ceds.ed.gov/cedselementdetails.aspx?termid=5267")</f>
        <v>https://ceds.ed.gov/cedselementdetails.aspx?termid=5267</v>
      </c>
      <c r="P640" s="6" t="str">
        <f>HYPERLINK("https://ceds.ed.gov/elementComment.aspx?elementName=State Abbreviation &amp;elementID=5267", "Click here to submit comment")</f>
        <v>Click here to submit comment</v>
      </c>
    </row>
    <row r="641" spans="1:16" ht="225">
      <c r="A641" s="6" t="s">
        <v>6788</v>
      </c>
      <c r="B641" s="6" t="s">
        <v>6796</v>
      </c>
      <c r="C641" s="6" t="s">
        <v>6749</v>
      </c>
      <c r="D641" s="6" t="s">
        <v>182</v>
      </c>
      <c r="E641" s="6" t="s">
        <v>183</v>
      </c>
      <c r="F641" s="6" t="s">
        <v>13</v>
      </c>
      <c r="G641" s="6" t="s">
        <v>5973</v>
      </c>
      <c r="H641" s="6" t="s">
        <v>3</v>
      </c>
      <c r="I641" s="6" t="s">
        <v>184</v>
      </c>
      <c r="J641" s="6"/>
      <c r="K641" s="6"/>
      <c r="L641" s="6" t="s">
        <v>185</v>
      </c>
      <c r="M641" s="6"/>
      <c r="N641" s="6" t="s">
        <v>186</v>
      </c>
      <c r="O641" s="6" t="str">
        <f>HYPERLINK("https://ceds.ed.gov/cedselementdetails.aspx?termid=5214")</f>
        <v>https://ceds.ed.gov/cedselementdetails.aspx?termid=5214</v>
      </c>
      <c r="P641" s="6" t="str">
        <f>HYPERLINK("https://ceds.ed.gov/elementComment.aspx?elementName=Address Postal Code &amp;elementID=5214", "Click here to submit comment")</f>
        <v>Click here to submit comment</v>
      </c>
    </row>
    <row r="642" spans="1:16" ht="225">
      <c r="A642" s="6" t="s">
        <v>6788</v>
      </c>
      <c r="B642" s="6" t="s">
        <v>6796</v>
      </c>
      <c r="C642" s="6" t="s">
        <v>6749</v>
      </c>
      <c r="D642" s="6" t="s">
        <v>178</v>
      </c>
      <c r="E642" s="6" t="s">
        <v>179</v>
      </c>
      <c r="F642" s="6" t="s">
        <v>13</v>
      </c>
      <c r="G642" s="6" t="s">
        <v>5973</v>
      </c>
      <c r="H642" s="6" t="s">
        <v>3</v>
      </c>
      <c r="I642" s="6" t="s">
        <v>100</v>
      </c>
      <c r="J642" s="6"/>
      <c r="K642" s="6"/>
      <c r="L642" s="6" t="s">
        <v>180</v>
      </c>
      <c r="M642" s="6"/>
      <c r="N642" s="6" t="s">
        <v>181</v>
      </c>
      <c r="O642" s="6" t="str">
        <f>HYPERLINK("https://ceds.ed.gov/cedselementdetails.aspx?termid=5190")</f>
        <v>https://ceds.ed.gov/cedselementdetails.aspx?termid=5190</v>
      </c>
      <c r="P642" s="6" t="str">
        <f>HYPERLINK("https://ceds.ed.gov/elementComment.aspx?elementName=Address County Name &amp;elementID=5190", "Click here to submit comment")</f>
        <v>Click here to submit comment</v>
      </c>
    </row>
    <row r="643" spans="1:16" ht="180">
      <c r="A643" s="6" t="s">
        <v>6788</v>
      </c>
      <c r="B643" s="6" t="s">
        <v>6796</v>
      </c>
      <c r="C643" s="6" t="s">
        <v>6749</v>
      </c>
      <c r="D643" s="6" t="s">
        <v>1817</v>
      </c>
      <c r="E643" s="6" t="s">
        <v>1818</v>
      </c>
      <c r="F643" s="6" t="s">
        <v>13</v>
      </c>
      <c r="G643" s="6"/>
      <c r="H643" s="6" t="s">
        <v>66</v>
      </c>
      <c r="I643" s="6" t="s">
        <v>1819</v>
      </c>
      <c r="J643" s="6" t="s">
        <v>1820</v>
      </c>
      <c r="K643" s="6"/>
      <c r="L643" s="6" t="s">
        <v>1821</v>
      </c>
      <c r="M643" s="6"/>
      <c r="N643" s="6" t="s">
        <v>1822</v>
      </c>
      <c r="O643" s="6" t="str">
        <f>HYPERLINK("https://ceds.ed.gov/cedselementdetails.aspx?termid=6176")</f>
        <v>https://ceds.ed.gov/cedselementdetails.aspx?termid=6176</v>
      </c>
      <c r="P643" s="6" t="str">
        <f>HYPERLINK("https://ceds.ed.gov/elementComment.aspx?elementName=County ANSI Code &amp;elementID=6176", "Click here to submit comment")</f>
        <v>Click here to submit comment</v>
      </c>
    </row>
    <row r="644" spans="1:16" ht="240">
      <c r="A644" s="6" t="s">
        <v>6788</v>
      </c>
      <c r="B644" s="6" t="s">
        <v>6796</v>
      </c>
      <c r="C644" s="6" t="s">
        <v>6750</v>
      </c>
      <c r="D644" s="6" t="s">
        <v>3289</v>
      </c>
      <c r="E644" s="6" t="s">
        <v>3290</v>
      </c>
      <c r="F644" s="7" t="s">
        <v>6553</v>
      </c>
      <c r="G644" s="6"/>
      <c r="H644" s="6"/>
      <c r="I644" s="6"/>
      <c r="J644" s="6"/>
      <c r="K644" s="6"/>
      <c r="L644" s="6" t="s">
        <v>3291</v>
      </c>
      <c r="M644" s="6"/>
      <c r="N644" s="6" t="s">
        <v>3292</v>
      </c>
      <c r="O644" s="6" t="str">
        <f>HYPERLINK("https://ceds.ed.gov/cedselementdetails.aspx?termid=5167")</f>
        <v>https://ceds.ed.gov/cedselementdetails.aspx?termid=5167</v>
      </c>
      <c r="P644" s="6" t="str">
        <f>HYPERLINK("https://ceds.ed.gov/elementComment.aspx?elementName=Institution Telephone Number Type &amp;elementID=5167", "Click here to submit comment")</f>
        <v>Click here to submit comment</v>
      </c>
    </row>
    <row r="645" spans="1:16" ht="90">
      <c r="A645" s="6" t="s">
        <v>6788</v>
      </c>
      <c r="B645" s="6" t="s">
        <v>6796</v>
      </c>
      <c r="C645" s="6" t="s">
        <v>6750</v>
      </c>
      <c r="D645" s="6" t="s">
        <v>4591</v>
      </c>
      <c r="E645" s="6" t="s">
        <v>4592</v>
      </c>
      <c r="F645" s="6" t="s">
        <v>5963</v>
      </c>
      <c r="G645" s="6" t="s">
        <v>5968</v>
      </c>
      <c r="H645" s="6" t="s">
        <v>3</v>
      </c>
      <c r="I645" s="6"/>
      <c r="J645" s="6"/>
      <c r="K645" s="6"/>
      <c r="L645" s="6" t="s">
        <v>4593</v>
      </c>
      <c r="M645" s="6"/>
      <c r="N645" s="6" t="s">
        <v>4594</v>
      </c>
      <c r="O645" s="6" t="str">
        <f>HYPERLINK("https://ceds.ed.gov/cedselementdetails.aspx?termid=5219")</f>
        <v>https://ceds.ed.gov/cedselementdetails.aspx?termid=5219</v>
      </c>
      <c r="P645" s="6" t="str">
        <f>HYPERLINK("https://ceds.ed.gov/elementComment.aspx?elementName=Primary Telephone Number Indicator &amp;elementID=5219", "Click here to submit comment")</f>
        <v>Click here to submit comment</v>
      </c>
    </row>
    <row r="646" spans="1:16" ht="90">
      <c r="A646" s="6" t="s">
        <v>6788</v>
      </c>
      <c r="B646" s="6" t="s">
        <v>6796</v>
      </c>
      <c r="C646" s="6" t="s">
        <v>6750</v>
      </c>
      <c r="D646" s="6" t="s">
        <v>5727</v>
      </c>
      <c r="E646" s="6" t="s">
        <v>5728</v>
      </c>
      <c r="F646" s="6" t="s">
        <v>13</v>
      </c>
      <c r="G646" s="6" t="s">
        <v>5968</v>
      </c>
      <c r="H646" s="6" t="s">
        <v>3</v>
      </c>
      <c r="I646" s="6" t="s">
        <v>5729</v>
      </c>
      <c r="J646" s="6"/>
      <c r="K646" s="6"/>
      <c r="L646" s="6" t="s">
        <v>5730</v>
      </c>
      <c r="M646" s="6"/>
      <c r="N646" s="6" t="s">
        <v>5731</v>
      </c>
      <c r="O646" s="6" t="str">
        <f>HYPERLINK("https://ceds.ed.gov/cedselementdetails.aspx?termid=5279")</f>
        <v>https://ceds.ed.gov/cedselementdetails.aspx?termid=5279</v>
      </c>
      <c r="P646" s="6" t="str">
        <f>HYPERLINK("https://ceds.ed.gov/elementComment.aspx?elementName=Telephone Number &amp;elementID=5279", "Click here to submit comment")</f>
        <v>Click here to submit comment</v>
      </c>
    </row>
    <row r="647" spans="1:16" ht="330">
      <c r="A647" s="6" t="s">
        <v>6788</v>
      </c>
      <c r="B647" s="6" t="s">
        <v>6796</v>
      </c>
      <c r="C647" s="6" t="s">
        <v>6790</v>
      </c>
      <c r="D647" s="6" t="s">
        <v>4049</v>
      </c>
      <c r="E647" s="6" t="s">
        <v>4050</v>
      </c>
      <c r="F647" s="7" t="s">
        <v>6580</v>
      </c>
      <c r="G647" s="6" t="s">
        <v>218</v>
      </c>
      <c r="H647" s="6"/>
      <c r="I647" s="6"/>
      <c r="J647" s="6"/>
      <c r="K647" s="6"/>
      <c r="L647" s="6" t="s">
        <v>4051</v>
      </c>
      <c r="M647" s="6"/>
      <c r="N647" s="6" t="s">
        <v>4052</v>
      </c>
      <c r="O647" s="6" t="str">
        <f>HYPERLINK("https://ceds.ed.gov/cedselementdetails.aspx?termid=5528")</f>
        <v>https://ceds.ed.gov/cedselementdetails.aspx?termid=5528</v>
      </c>
      <c r="P647" s="6" t="str">
        <f>HYPERLINK("https://ceds.ed.gov/elementComment.aspx?elementName=Local Education Agency Type &amp;elementID=5528", "Click here to submit comment")</f>
        <v>Click here to submit comment</v>
      </c>
    </row>
    <row r="648" spans="1:16" ht="105">
      <c r="A648" s="6" t="s">
        <v>6788</v>
      </c>
      <c r="B648" s="6" t="s">
        <v>6796</v>
      </c>
      <c r="C648" s="6" t="s">
        <v>6790</v>
      </c>
      <c r="D648" s="6" t="s">
        <v>1619</v>
      </c>
      <c r="E648" s="6" t="s">
        <v>1620</v>
      </c>
      <c r="F648" s="6" t="s">
        <v>5963</v>
      </c>
      <c r="G648" s="6" t="s">
        <v>5968</v>
      </c>
      <c r="H648" s="6"/>
      <c r="I648" s="6"/>
      <c r="J648" s="6"/>
      <c r="K648" s="6"/>
      <c r="L648" s="6" t="s">
        <v>1621</v>
      </c>
      <c r="M648" s="6"/>
      <c r="N648" s="6" t="s">
        <v>1622</v>
      </c>
      <c r="O648" s="6" t="str">
        <f>HYPERLINK("https://ceds.ed.gov/cedselementdetails.aspx?termid=5039")</f>
        <v>https://ceds.ed.gov/cedselementdetails.aspx?termid=5039</v>
      </c>
      <c r="P648" s="6" t="str">
        <f>HYPERLINK("https://ceds.ed.gov/elementComment.aspx?elementName=Charter School Indicator &amp;elementID=5039", "Click here to submit comment")</f>
        <v>Click here to submit comment</v>
      </c>
    </row>
    <row r="649" spans="1:16" ht="165">
      <c r="A649" s="6" t="s">
        <v>6788</v>
      </c>
      <c r="B649" s="6" t="s">
        <v>6796</v>
      </c>
      <c r="C649" s="6" t="s">
        <v>6790</v>
      </c>
      <c r="D649" s="6" t="s">
        <v>4032</v>
      </c>
      <c r="E649" s="6" t="s">
        <v>4033</v>
      </c>
      <c r="F649" s="7" t="s">
        <v>6579</v>
      </c>
      <c r="G649" s="6" t="s">
        <v>218</v>
      </c>
      <c r="H649" s="6"/>
      <c r="I649" s="6"/>
      <c r="J649" s="6"/>
      <c r="K649" s="6"/>
      <c r="L649" s="6" t="s">
        <v>4035</v>
      </c>
      <c r="M649" s="6" t="s">
        <v>4036</v>
      </c>
      <c r="N649" s="6" t="s">
        <v>4037</v>
      </c>
      <c r="O649" s="6" t="str">
        <f>HYPERLINK("https://ceds.ed.gov/cedselementdetails.aspx?termid=5174")</f>
        <v>https://ceds.ed.gov/cedselementdetails.aspx?termid=5174</v>
      </c>
      <c r="P649" s="6" t="str">
        <f>HYPERLINK("https://ceds.ed.gov/elementComment.aspx?elementName=Local Education Agency Operational Status &amp;elementID=5174", "Click here to submit comment")</f>
        <v>Click here to submit comment</v>
      </c>
    </row>
    <row r="650" spans="1:16" ht="30">
      <c r="A650" s="6" t="s">
        <v>6788</v>
      </c>
      <c r="B650" s="6" t="s">
        <v>6796</v>
      </c>
      <c r="C650" s="6" t="s">
        <v>6790</v>
      </c>
      <c r="D650" s="6" t="s">
        <v>4325</v>
      </c>
      <c r="E650" s="6" t="s">
        <v>4326</v>
      </c>
      <c r="F650" s="6" t="s">
        <v>13</v>
      </c>
      <c r="G650" s="6" t="s">
        <v>218</v>
      </c>
      <c r="H650" s="6"/>
      <c r="I650" s="6" t="s">
        <v>73</v>
      </c>
      <c r="J650" s="6"/>
      <c r="K650" s="6"/>
      <c r="L650" s="6" t="s">
        <v>4327</v>
      </c>
      <c r="M650" s="6"/>
      <c r="N650" s="6" t="s">
        <v>4328</v>
      </c>
      <c r="O650" s="6" t="str">
        <f>HYPERLINK("https://ceds.ed.gov/cedselementdetails.aspx?termid=5525")</f>
        <v>https://ceds.ed.gov/cedselementdetails.aspx?termid=5525</v>
      </c>
      <c r="P650" s="6" t="str">
        <f>HYPERLINK("https://ceds.ed.gov/elementComment.aspx?elementName=Operational Status Effective Date &amp;elementID=5525", "Click here to submit comment")</f>
        <v>Click here to submit comment</v>
      </c>
    </row>
    <row r="651" spans="1:16" ht="75">
      <c r="A651" s="6" t="s">
        <v>6788</v>
      </c>
      <c r="B651" s="6" t="s">
        <v>6796</v>
      </c>
      <c r="C651" s="6" t="s">
        <v>6790</v>
      </c>
      <c r="D651" s="6" t="s">
        <v>4038</v>
      </c>
      <c r="E651" s="6" t="s">
        <v>4039</v>
      </c>
      <c r="F651" s="6" t="s">
        <v>13</v>
      </c>
      <c r="G651" s="6" t="s">
        <v>218</v>
      </c>
      <c r="H651" s="6"/>
      <c r="I651" s="6" t="s">
        <v>4040</v>
      </c>
      <c r="J651" s="6"/>
      <c r="K651" s="6"/>
      <c r="L651" s="6" t="s">
        <v>4041</v>
      </c>
      <c r="M651" s="6" t="s">
        <v>4042</v>
      </c>
      <c r="N651" s="6" t="s">
        <v>4043</v>
      </c>
      <c r="O651" s="6" t="str">
        <f>HYPERLINK("https://ceds.ed.gov/cedselementdetails.aspx?termid=5175")</f>
        <v>https://ceds.ed.gov/cedselementdetails.aspx?termid=5175</v>
      </c>
      <c r="P651" s="6" t="str">
        <f>HYPERLINK("https://ceds.ed.gov/elementComment.aspx?elementName=Local Education Agency Supervisory Union Identification Number &amp;elementID=5175", "Click here to submit comment")</f>
        <v>Click here to submit comment</v>
      </c>
    </row>
    <row r="652" spans="1:16" ht="30">
      <c r="A652" s="6" t="s">
        <v>6788</v>
      </c>
      <c r="B652" s="6" t="s">
        <v>6796</v>
      </c>
      <c r="C652" s="6" t="s">
        <v>6790</v>
      </c>
      <c r="D652" s="6" t="s">
        <v>5908</v>
      </c>
      <c r="E652" s="6" t="s">
        <v>5909</v>
      </c>
      <c r="F652" s="6" t="s">
        <v>13</v>
      </c>
      <c r="G652" s="6" t="s">
        <v>218</v>
      </c>
      <c r="H652" s="6" t="s">
        <v>3</v>
      </c>
      <c r="I652" s="6" t="s">
        <v>93</v>
      </c>
      <c r="J652" s="6"/>
      <c r="K652" s="6"/>
      <c r="L652" s="6" t="s">
        <v>5910</v>
      </c>
      <c r="M652" s="6"/>
      <c r="N652" s="6" t="s">
        <v>5911</v>
      </c>
      <c r="O652" s="6" t="str">
        <f>HYPERLINK("https://ceds.ed.gov/cedselementdetails.aspx?termid=5300")</f>
        <v>https://ceds.ed.gov/cedselementdetails.aspx?termid=5300</v>
      </c>
      <c r="P652" s="6" t="str">
        <f>HYPERLINK("https://ceds.ed.gov/elementComment.aspx?elementName=Web Site Address &amp;elementID=5300", "Click here to submit comment")</f>
        <v>Click here to submit comment</v>
      </c>
    </row>
    <row r="653" spans="1:16" ht="120">
      <c r="A653" s="6" t="s">
        <v>6788</v>
      </c>
      <c r="B653" s="6" t="s">
        <v>6796</v>
      </c>
      <c r="C653" s="6" t="s">
        <v>6790</v>
      </c>
      <c r="D653" s="6" t="s">
        <v>2598</v>
      </c>
      <c r="E653" s="6" t="s">
        <v>2599</v>
      </c>
      <c r="F653" s="6" t="s">
        <v>13</v>
      </c>
      <c r="G653" s="6"/>
      <c r="H653" s="6"/>
      <c r="I653" s="6" t="s">
        <v>149</v>
      </c>
      <c r="J653" s="6"/>
      <c r="K653" s="6"/>
      <c r="L653" s="6" t="s">
        <v>2600</v>
      </c>
      <c r="M653" s="6"/>
      <c r="N653" s="6" t="s">
        <v>2601</v>
      </c>
      <c r="O653" s="6" t="str">
        <f>HYPERLINK("https://ceds.ed.gov/cedselementdetails.aspx?termid=5495")</f>
        <v>https://ceds.ed.gov/cedselementdetails.aspx?termid=5495</v>
      </c>
      <c r="P653" s="6" t="str">
        <f>HYPERLINK("https://ceds.ed.gov/elementComment.aspx?elementName=Facilities Identifier &amp;elementID=5495", "Click here to submit comment")</f>
        <v>Click here to submit comment</v>
      </c>
    </row>
    <row r="654" spans="1:16" ht="75">
      <c r="A654" s="6" t="s">
        <v>6788</v>
      </c>
      <c r="B654" s="6" t="s">
        <v>6796</v>
      </c>
      <c r="C654" s="6" t="s">
        <v>6792</v>
      </c>
      <c r="D654" s="6" t="s">
        <v>216</v>
      </c>
      <c r="E654" s="6" t="s">
        <v>217</v>
      </c>
      <c r="F654" s="7" t="s">
        <v>6356</v>
      </c>
      <c r="G654" s="6" t="s">
        <v>218</v>
      </c>
      <c r="H654" s="6"/>
      <c r="I654" s="6"/>
      <c r="J654" s="6"/>
      <c r="K654" s="6"/>
      <c r="L654" s="6" t="s">
        <v>219</v>
      </c>
      <c r="M654" s="6" t="s">
        <v>220</v>
      </c>
      <c r="N654" s="6" t="s">
        <v>221</v>
      </c>
      <c r="O654" s="6" t="str">
        <f>HYPERLINK("https://ceds.ed.gov/cedselementdetails.aspx?termid=5011")</f>
        <v>https://ceds.ed.gov/cedselementdetails.aspx?termid=5011</v>
      </c>
      <c r="P654" s="6" t="str">
        <f>HYPERLINK("https://ceds.ed.gov/elementComment.aspx?elementName=Adequate Yearly Progress Status &amp;elementID=5011", "Click here to submit comment")</f>
        <v>Click here to submit comment</v>
      </c>
    </row>
    <row r="655" spans="1:16" ht="60">
      <c r="A655" s="6" t="s">
        <v>6788</v>
      </c>
      <c r="B655" s="6" t="s">
        <v>6796</v>
      </c>
      <c r="C655" s="6" t="s">
        <v>6792</v>
      </c>
      <c r="D655" s="6" t="s">
        <v>331</v>
      </c>
      <c r="E655" s="6" t="s">
        <v>332</v>
      </c>
      <c r="F655" s="6" t="s">
        <v>5963</v>
      </c>
      <c r="G655" s="6" t="s">
        <v>218</v>
      </c>
      <c r="H655" s="6"/>
      <c r="I655" s="6"/>
      <c r="J655" s="6"/>
      <c r="K655" s="6"/>
      <c r="L655" s="6" t="s">
        <v>333</v>
      </c>
      <c r="M655" s="6" t="s">
        <v>334</v>
      </c>
      <c r="N655" s="6" t="s">
        <v>335</v>
      </c>
      <c r="O655" s="6" t="str">
        <f>HYPERLINK("https://ceds.ed.gov/cedselementdetails.aspx?termid=5014")</f>
        <v>https://ceds.ed.gov/cedselementdetails.aspx?termid=5014</v>
      </c>
      <c r="P655" s="6" t="str">
        <f>HYPERLINK("https://ceds.ed.gov/elementComment.aspx?elementName=Alternate Adequate Yearly Progress Approach Indicator &amp;elementID=5014", "Click here to submit comment")</f>
        <v>Click here to submit comment</v>
      </c>
    </row>
    <row r="656" spans="1:16" ht="105">
      <c r="A656" s="6" t="s">
        <v>6788</v>
      </c>
      <c r="B656" s="6" t="s">
        <v>6796</v>
      </c>
      <c r="C656" s="6" t="s">
        <v>6792</v>
      </c>
      <c r="D656" s="6" t="s">
        <v>361</v>
      </c>
      <c r="E656" s="6" t="s">
        <v>362</v>
      </c>
      <c r="F656" s="7" t="s">
        <v>6374</v>
      </c>
      <c r="G656" s="6" t="s">
        <v>218</v>
      </c>
      <c r="H656" s="6"/>
      <c r="I656" s="6"/>
      <c r="J656" s="6"/>
      <c r="K656" s="6"/>
      <c r="L656" s="6" t="s">
        <v>363</v>
      </c>
      <c r="M656" s="6" t="s">
        <v>364</v>
      </c>
      <c r="N656" s="6" t="s">
        <v>365</v>
      </c>
      <c r="O656" s="6" t="str">
        <f>HYPERLINK("https://ceds.ed.gov/cedselementdetails.aspx?termid=5572")</f>
        <v>https://ceds.ed.gov/cedselementdetails.aspx?termid=5572</v>
      </c>
      <c r="P656" s="6" t="str">
        <f>HYPERLINK("https://ceds.ed.gov/elementComment.aspx?elementName=Annual Measurable Achievement Objective AYP Progress Attainment Status for LEP Students &amp;elementID=5572", "Click here to submit comment")</f>
        <v>Click here to submit comment</v>
      </c>
    </row>
    <row r="657" spans="1:16" ht="105">
      <c r="A657" s="6" t="s">
        <v>6788</v>
      </c>
      <c r="B657" s="6" t="s">
        <v>6796</v>
      </c>
      <c r="C657" s="6" t="s">
        <v>6792</v>
      </c>
      <c r="D657" s="6" t="s">
        <v>366</v>
      </c>
      <c r="E657" s="6" t="s">
        <v>367</v>
      </c>
      <c r="F657" s="7" t="s">
        <v>6374</v>
      </c>
      <c r="G657" s="6" t="s">
        <v>218</v>
      </c>
      <c r="H657" s="6"/>
      <c r="I657" s="6"/>
      <c r="J657" s="6"/>
      <c r="K657" s="6"/>
      <c r="L657" s="6" t="s">
        <v>368</v>
      </c>
      <c r="M657" s="6" t="s">
        <v>369</v>
      </c>
      <c r="N657" s="6" t="s">
        <v>370</v>
      </c>
      <c r="O657" s="6" t="str">
        <f>HYPERLINK("https://ceds.ed.gov/cedselementdetails.aspx?termid=5535")</f>
        <v>https://ceds.ed.gov/cedselementdetails.aspx?termid=5535</v>
      </c>
      <c r="P657" s="6" t="str">
        <f>HYPERLINK("https://ceds.ed.gov/elementComment.aspx?elementName=Annual Measurable Achievement Objective Proficiency Attainment Status for LEP Students &amp;elementID=5535", "Click here to submit comment")</f>
        <v>Click here to submit comment</v>
      </c>
    </row>
    <row r="658" spans="1:16" ht="105">
      <c r="A658" s="6" t="s">
        <v>6788</v>
      </c>
      <c r="B658" s="6" t="s">
        <v>6796</v>
      </c>
      <c r="C658" s="6" t="s">
        <v>6792</v>
      </c>
      <c r="D658" s="6" t="s">
        <v>371</v>
      </c>
      <c r="E658" s="6" t="s">
        <v>372</v>
      </c>
      <c r="F658" s="7" t="s">
        <v>6374</v>
      </c>
      <c r="G658" s="6" t="s">
        <v>218</v>
      </c>
      <c r="H658" s="6"/>
      <c r="I658" s="6"/>
      <c r="J658" s="6"/>
      <c r="K658" s="6"/>
      <c r="L658" s="6" t="s">
        <v>373</v>
      </c>
      <c r="M658" s="6" t="s">
        <v>374</v>
      </c>
      <c r="N658" s="6" t="s">
        <v>375</v>
      </c>
      <c r="O658" s="6" t="str">
        <f>HYPERLINK("https://ceds.ed.gov/cedselementdetails.aspx?termid=5545")</f>
        <v>https://ceds.ed.gov/cedselementdetails.aspx?termid=5545</v>
      </c>
      <c r="P658" s="6" t="str">
        <f>HYPERLINK("https://ceds.ed.gov/elementComment.aspx?elementName=Annual Measurable Achievement Objective Progress Attainment Status for LEP Students &amp;elementID=5545", "Click here to submit comment")</f>
        <v>Click here to submit comment</v>
      </c>
    </row>
    <row r="659" spans="1:16" ht="60">
      <c r="A659" s="6" t="s">
        <v>6788</v>
      </c>
      <c r="B659" s="6" t="s">
        <v>6796</v>
      </c>
      <c r="C659" s="6" t="s">
        <v>6792</v>
      </c>
      <c r="D659" s="6" t="s">
        <v>376</v>
      </c>
      <c r="E659" s="6" t="s">
        <v>377</v>
      </c>
      <c r="F659" s="6" t="s">
        <v>5963</v>
      </c>
      <c r="G659" s="6" t="s">
        <v>207</v>
      </c>
      <c r="H659" s="6"/>
      <c r="I659" s="6"/>
      <c r="J659" s="6"/>
      <c r="K659" s="6"/>
      <c r="L659" s="6" t="s">
        <v>378</v>
      </c>
      <c r="M659" s="6" t="s">
        <v>379</v>
      </c>
      <c r="N659" s="6" t="s">
        <v>380</v>
      </c>
      <c r="O659" s="6" t="str">
        <f>HYPERLINK("https://ceds.ed.gov/cedselementdetails.aspx?termid=5432")</f>
        <v>https://ceds.ed.gov/cedselementdetails.aspx?termid=5432</v>
      </c>
      <c r="P659" s="6" t="str">
        <f>HYPERLINK("https://ceds.ed.gov/elementComment.aspx?elementName=Appealed Adequate Yearly Progress Designation &amp;elementID=5432", "Click here to submit comment")</f>
        <v>Click here to submit comment</v>
      </c>
    </row>
    <row r="660" spans="1:16" ht="60">
      <c r="A660" s="6" t="s">
        <v>6788</v>
      </c>
      <c r="B660" s="6" t="s">
        <v>6796</v>
      </c>
      <c r="C660" s="6" t="s">
        <v>6792</v>
      </c>
      <c r="D660" s="6" t="s">
        <v>205</v>
      </c>
      <c r="E660" s="6" t="s">
        <v>206</v>
      </c>
      <c r="F660" s="6" t="s">
        <v>5963</v>
      </c>
      <c r="G660" s="6" t="s">
        <v>207</v>
      </c>
      <c r="H660" s="6"/>
      <c r="I660" s="6"/>
      <c r="J660" s="6"/>
      <c r="K660" s="6"/>
      <c r="L660" s="6" t="s">
        <v>208</v>
      </c>
      <c r="M660" s="6" t="s">
        <v>209</v>
      </c>
      <c r="N660" s="6" t="s">
        <v>210</v>
      </c>
      <c r="O660" s="6" t="str">
        <f>HYPERLINK("https://ceds.ed.gov/cedselementdetails.aspx?termid=5433")</f>
        <v>https://ceds.ed.gov/cedselementdetails.aspx?termid=5433</v>
      </c>
      <c r="P660" s="6" t="str">
        <f>HYPERLINK("https://ceds.ed.gov/elementComment.aspx?elementName=Adequate Yearly Progress Appeal Changed Designation &amp;elementID=5433", "Click here to submit comment")</f>
        <v>Click here to submit comment</v>
      </c>
    </row>
    <row r="661" spans="1:16" ht="45">
      <c r="A661" s="6" t="s">
        <v>6788</v>
      </c>
      <c r="B661" s="6" t="s">
        <v>6796</v>
      </c>
      <c r="C661" s="6" t="s">
        <v>6792</v>
      </c>
      <c r="D661" s="6" t="s">
        <v>211</v>
      </c>
      <c r="E661" s="6" t="s">
        <v>212</v>
      </c>
      <c r="F661" s="6" t="s">
        <v>13</v>
      </c>
      <c r="G661" s="6" t="s">
        <v>207</v>
      </c>
      <c r="H661" s="6"/>
      <c r="I661" s="6" t="s">
        <v>73</v>
      </c>
      <c r="J661" s="6"/>
      <c r="K661" s="6"/>
      <c r="L661" s="6" t="s">
        <v>213</v>
      </c>
      <c r="M661" s="6" t="s">
        <v>214</v>
      </c>
      <c r="N661" s="6" t="s">
        <v>215</v>
      </c>
      <c r="O661" s="6" t="str">
        <f>HYPERLINK("https://ceds.ed.gov/cedselementdetails.aspx?termid=5434")</f>
        <v>https://ceds.ed.gov/cedselementdetails.aspx?termid=5434</v>
      </c>
      <c r="P661" s="6" t="str">
        <f>HYPERLINK("https://ceds.ed.gov/elementComment.aspx?elementName=Adequate Yearly Progress Appeal Process Date &amp;elementID=5434", "Click here to submit comment")</f>
        <v>Click here to submit comment</v>
      </c>
    </row>
    <row r="662" spans="1:16" ht="30">
      <c r="A662" s="6" t="s">
        <v>6788</v>
      </c>
      <c r="B662" s="6" t="s">
        <v>6796</v>
      </c>
      <c r="C662" s="6" t="s">
        <v>6792</v>
      </c>
      <c r="D662" s="6" t="s">
        <v>57</v>
      </c>
      <c r="E662" s="6" t="s">
        <v>58</v>
      </c>
      <c r="F662" s="6" t="s">
        <v>13</v>
      </c>
      <c r="G662" s="6"/>
      <c r="H662" s="6"/>
      <c r="I662" s="6" t="s">
        <v>25</v>
      </c>
      <c r="J662" s="6"/>
      <c r="K662" s="6"/>
      <c r="L662" s="6" t="s">
        <v>60</v>
      </c>
      <c r="M662" s="6"/>
      <c r="N662" s="6" t="s">
        <v>61</v>
      </c>
      <c r="O662" s="6" t="str">
        <f>HYPERLINK("https://ceds.ed.gov/cedselementdetails.aspx?termid=5005")</f>
        <v>https://ceds.ed.gov/cedselementdetails.aspx?termid=5005</v>
      </c>
      <c r="P662" s="6" t="str">
        <f>HYPERLINK("https://ceds.ed.gov/elementComment.aspx?elementName=Accountability Report Title &amp;elementID=5005", "Click here to submit comment")</f>
        <v>Click here to submit comment</v>
      </c>
    </row>
    <row r="663" spans="1:16" ht="135">
      <c r="A663" s="6" t="s">
        <v>6788</v>
      </c>
      <c r="B663" s="6" t="s">
        <v>6796</v>
      </c>
      <c r="C663" s="6" t="s">
        <v>6792</v>
      </c>
      <c r="D663" s="6" t="s">
        <v>2462</v>
      </c>
      <c r="E663" s="6" t="s">
        <v>2463</v>
      </c>
      <c r="F663" s="7" t="s">
        <v>6490</v>
      </c>
      <c r="G663" s="6" t="s">
        <v>218</v>
      </c>
      <c r="H663" s="6"/>
      <c r="I663" s="6"/>
      <c r="J663" s="6"/>
      <c r="K663" s="6"/>
      <c r="L663" s="6" t="s">
        <v>2464</v>
      </c>
      <c r="M663" s="6"/>
      <c r="N663" s="6" t="s">
        <v>2465</v>
      </c>
      <c r="O663" s="6" t="str">
        <f>HYPERLINK("https://ceds.ed.gov/cedselementdetails.aspx?termid=5091")</f>
        <v>https://ceds.ed.gov/cedselementdetails.aspx?termid=5091</v>
      </c>
      <c r="P663" s="6" t="str">
        <f>HYPERLINK("https://ceds.ed.gov/elementComment.aspx?elementName=Elementary-Middle Additional Indicator Status &amp;elementID=5091", "Click here to submit comment")</f>
        <v>Click here to submit comment</v>
      </c>
    </row>
    <row r="664" spans="1:16" ht="150">
      <c r="A664" s="6" t="s">
        <v>6788</v>
      </c>
      <c r="B664" s="6" t="s">
        <v>6796</v>
      </c>
      <c r="C664" s="6" t="s">
        <v>6792</v>
      </c>
      <c r="D664" s="6" t="s">
        <v>2916</v>
      </c>
      <c r="E664" s="6" t="s">
        <v>2917</v>
      </c>
      <c r="F664" s="7" t="s">
        <v>6525</v>
      </c>
      <c r="G664" s="6" t="s">
        <v>218</v>
      </c>
      <c r="H664" s="6"/>
      <c r="I664" s="6"/>
      <c r="J664" s="6"/>
      <c r="K664" s="6"/>
      <c r="L664" s="6" t="s">
        <v>2918</v>
      </c>
      <c r="M664" s="6"/>
      <c r="N664" s="6" t="s">
        <v>2919</v>
      </c>
      <c r="O664" s="6" t="str">
        <f>HYPERLINK("https://ceds.ed.gov/cedselementdetails.aspx?termid=5134")</f>
        <v>https://ceds.ed.gov/cedselementdetails.aspx?termid=5134</v>
      </c>
      <c r="P664" s="6" t="str">
        <f>HYPERLINK("https://ceds.ed.gov/elementComment.aspx?elementName=Gun Free Schools Act Reporting Status &amp;elementID=5134", "Click here to submit comment")</f>
        <v>Click here to submit comment</v>
      </c>
    </row>
    <row r="665" spans="1:16" ht="165">
      <c r="A665" s="6" t="s">
        <v>6788</v>
      </c>
      <c r="B665" s="6" t="s">
        <v>6796</v>
      </c>
      <c r="C665" s="6" t="s">
        <v>6792</v>
      </c>
      <c r="D665" s="6" t="s">
        <v>2953</v>
      </c>
      <c r="E665" s="6" t="s">
        <v>2954</v>
      </c>
      <c r="F665" s="7" t="s">
        <v>6529</v>
      </c>
      <c r="G665" s="6" t="s">
        <v>218</v>
      </c>
      <c r="H665" s="6"/>
      <c r="I665" s="6"/>
      <c r="J665" s="6"/>
      <c r="K665" s="6"/>
      <c r="L665" s="6" t="s">
        <v>2955</v>
      </c>
      <c r="M665" s="6"/>
      <c r="N665" s="6" t="s">
        <v>2956</v>
      </c>
      <c r="O665" s="6" t="str">
        <f>HYPERLINK("https://ceds.ed.gov/cedselementdetails.aspx?termid=5140")</f>
        <v>https://ceds.ed.gov/cedselementdetails.aspx?termid=5140</v>
      </c>
      <c r="P665" s="6" t="str">
        <f>HYPERLINK("https://ceds.ed.gov/elementComment.aspx?elementName=High School Graduation Rate Indicator Status &amp;elementID=5140", "Click here to submit comment")</f>
        <v>Click here to submit comment</v>
      </c>
    </row>
    <row r="666" spans="1:16" ht="150">
      <c r="A666" s="6" t="s">
        <v>6788</v>
      </c>
      <c r="B666" s="6" t="s">
        <v>6796</v>
      </c>
      <c r="C666" s="6" t="s">
        <v>6792</v>
      </c>
      <c r="D666" s="6" t="s">
        <v>4027</v>
      </c>
      <c r="E666" s="6" t="s">
        <v>4028</v>
      </c>
      <c r="F666" s="7" t="s">
        <v>6578</v>
      </c>
      <c r="G666" s="6" t="s">
        <v>218</v>
      </c>
      <c r="H666" s="6"/>
      <c r="I666" s="6"/>
      <c r="J666" s="6"/>
      <c r="K666" s="6"/>
      <c r="L666" s="6" t="s">
        <v>4029</v>
      </c>
      <c r="M666" s="6" t="s">
        <v>4030</v>
      </c>
      <c r="N666" s="6" t="s">
        <v>4031</v>
      </c>
      <c r="O666" s="6" t="str">
        <f>HYPERLINK("https://ceds.ed.gov/cedselementdetails.aspx?termid=5173")</f>
        <v>https://ceds.ed.gov/cedselementdetails.aspx?termid=5173</v>
      </c>
      <c r="P666" s="6" t="str">
        <f>HYPERLINK("https://ceds.ed.gov/elementComment.aspx?elementName=Local Education Agency Improvement Status &amp;elementID=5173", "Click here to submit comment")</f>
        <v>Click here to submit comment</v>
      </c>
    </row>
    <row r="667" spans="1:16" ht="150">
      <c r="A667" s="6" t="s">
        <v>6788</v>
      </c>
      <c r="B667" s="6" t="s">
        <v>6796</v>
      </c>
      <c r="C667" s="6" t="s">
        <v>6792</v>
      </c>
      <c r="D667" s="6" t="s">
        <v>4427</v>
      </c>
      <c r="E667" s="6" t="s">
        <v>4428</v>
      </c>
      <c r="F667" s="7" t="s">
        <v>6597</v>
      </c>
      <c r="G667" s="6" t="s">
        <v>218</v>
      </c>
      <c r="H667" s="6"/>
      <c r="I667" s="6"/>
      <c r="J667" s="6"/>
      <c r="K667" s="6"/>
      <c r="L667" s="6" t="s">
        <v>4429</v>
      </c>
      <c r="M667" s="6"/>
      <c r="N667" s="6" t="s">
        <v>4430</v>
      </c>
      <c r="O667" s="6" t="str">
        <f>HYPERLINK("https://ceds.ed.gov/cedselementdetails.aspx?termid=5208")</f>
        <v>https://ceds.ed.gov/cedselementdetails.aspx?termid=5208</v>
      </c>
      <c r="P667" s="6" t="str">
        <f>HYPERLINK("https://ceds.ed.gov/elementComment.aspx?elementName=Participation Status for Math &amp;elementID=5208", "Click here to submit comment")</f>
        <v>Click here to submit comment</v>
      </c>
    </row>
    <row r="668" spans="1:16" ht="150">
      <c r="A668" s="6" t="s">
        <v>6788</v>
      </c>
      <c r="B668" s="6" t="s">
        <v>6796</v>
      </c>
      <c r="C668" s="6" t="s">
        <v>6792</v>
      </c>
      <c r="D668" s="6" t="s">
        <v>4431</v>
      </c>
      <c r="E668" s="6" t="s">
        <v>4432</v>
      </c>
      <c r="F668" s="7" t="s">
        <v>6597</v>
      </c>
      <c r="G668" s="6" t="s">
        <v>218</v>
      </c>
      <c r="H668" s="6"/>
      <c r="I668" s="6"/>
      <c r="J668" s="6"/>
      <c r="K668" s="6"/>
      <c r="L668" s="6" t="s">
        <v>4433</v>
      </c>
      <c r="M668" s="6"/>
      <c r="N668" s="6" t="s">
        <v>4434</v>
      </c>
      <c r="O668" s="6" t="str">
        <f>HYPERLINK("https://ceds.ed.gov/cedselementdetails.aspx?termid=5209")</f>
        <v>https://ceds.ed.gov/cedselementdetails.aspx?termid=5209</v>
      </c>
      <c r="P668" s="6" t="str">
        <f>HYPERLINK("https://ceds.ed.gov/elementComment.aspx?elementName=Participation Status for Reading and Language Arts &amp;elementID=5209", "Click here to submit comment")</f>
        <v>Click here to submit comment</v>
      </c>
    </row>
    <row r="669" spans="1:16" ht="240">
      <c r="A669" s="6" t="s">
        <v>6788</v>
      </c>
      <c r="B669" s="6" t="s">
        <v>6796</v>
      </c>
      <c r="C669" s="6" t="s">
        <v>6792</v>
      </c>
      <c r="D669" s="6" t="s">
        <v>4771</v>
      </c>
      <c r="E669" s="6" t="s">
        <v>4772</v>
      </c>
      <c r="F669" s="7" t="s">
        <v>6622</v>
      </c>
      <c r="G669" s="6" t="s">
        <v>218</v>
      </c>
      <c r="H669" s="6"/>
      <c r="I669" s="6"/>
      <c r="J669" s="6"/>
      <c r="K669" s="6"/>
      <c r="L669" s="6" t="s">
        <v>4773</v>
      </c>
      <c r="M669" s="6"/>
      <c r="N669" s="6" t="s">
        <v>4774</v>
      </c>
      <c r="O669" s="6" t="str">
        <f>HYPERLINK("https://ceds.ed.gov/cedselementdetails.aspx?termid=5221")</f>
        <v>https://ceds.ed.gov/cedselementdetails.aspx?termid=5221</v>
      </c>
      <c r="P669" s="6" t="str">
        <f>HYPERLINK("https://ceds.ed.gov/elementComment.aspx?elementName=Proficiency Target Status for Math &amp;elementID=5221", "Click here to submit comment")</f>
        <v>Click here to submit comment</v>
      </c>
    </row>
    <row r="670" spans="1:16" ht="240">
      <c r="A670" s="6" t="s">
        <v>6788</v>
      </c>
      <c r="B670" s="6" t="s">
        <v>6796</v>
      </c>
      <c r="C670" s="6" t="s">
        <v>6792</v>
      </c>
      <c r="D670" s="6" t="s">
        <v>4775</v>
      </c>
      <c r="E670" s="6" t="s">
        <v>4776</v>
      </c>
      <c r="F670" s="7" t="s">
        <v>6622</v>
      </c>
      <c r="G670" s="6" t="s">
        <v>218</v>
      </c>
      <c r="H670" s="6"/>
      <c r="I670" s="6"/>
      <c r="J670" s="6"/>
      <c r="K670" s="6"/>
      <c r="L670" s="6" t="s">
        <v>4777</v>
      </c>
      <c r="M670" s="6"/>
      <c r="N670" s="6" t="s">
        <v>4778</v>
      </c>
      <c r="O670" s="6" t="str">
        <f>HYPERLINK("https://ceds.ed.gov/cedselementdetails.aspx?termid=5544")</f>
        <v>https://ceds.ed.gov/cedselementdetails.aspx?termid=5544</v>
      </c>
      <c r="P670" s="6" t="str">
        <f>HYPERLINK("https://ceds.ed.gov/elementComment.aspx?elementName=Proficiency Target Status for Reading and Language Arts &amp;elementID=5544", "Click here to submit comment")</f>
        <v>Click here to submit comment</v>
      </c>
    </row>
    <row r="671" spans="1:16" ht="210">
      <c r="A671" s="6" t="s">
        <v>6788</v>
      </c>
      <c r="B671" s="6" t="s">
        <v>6796</v>
      </c>
      <c r="C671" s="6" t="s">
        <v>6792</v>
      </c>
      <c r="D671" s="6" t="s">
        <v>4891</v>
      </c>
      <c r="E671" s="6" t="s">
        <v>4892</v>
      </c>
      <c r="F671" s="7" t="s">
        <v>6630</v>
      </c>
      <c r="G671" s="6" t="s">
        <v>218</v>
      </c>
      <c r="H671" s="6"/>
      <c r="I671" s="6"/>
      <c r="J671" s="6"/>
      <c r="K671" s="6"/>
      <c r="L671" s="6" t="s">
        <v>4893</v>
      </c>
      <c r="M671" s="6"/>
      <c r="N671" s="6" t="s">
        <v>4894</v>
      </c>
      <c r="O671" s="6" t="str">
        <f>HYPERLINK("https://ceds.ed.gov/cedselementdetails.aspx?termid=5227")</f>
        <v>https://ceds.ed.gov/cedselementdetails.aspx?termid=5227</v>
      </c>
      <c r="P671" s="6" t="str">
        <f>HYPERLINK("https://ceds.ed.gov/elementComment.aspx?elementName=Public School Choice Implementation Status &amp;elementID=5227", "Click here to submit comment")</f>
        <v>Click here to submit comment</v>
      </c>
    </row>
    <row r="672" spans="1:16" ht="195">
      <c r="A672" s="6" t="s">
        <v>6788</v>
      </c>
      <c r="B672" s="6" t="s">
        <v>6796</v>
      </c>
      <c r="C672" s="6" t="s">
        <v>6792</v>
      </c>
      <c r="D672" s="6" t="s">
        <v>5821</v>
      </c>
      <c r="E672" s="6" t="s">
        <v>5822</v>
      </c>
      <c r="F672" s="7" t="s">
        <v>6684</v>
      </c>
      <c r="G672" s="6" t="s">
        <v>207</v>
      </c>
      <c r="H672" s="6"/>
      <c r="I672" s="6"/>
      <c r="J672" s="6"/>
      <c r="K672" s="6"/>
      <c r="L672" s="6" t="s">
        <v>5823</v>
      </c>
      <c r="M672" s="6"/>
      <c r="N672" s="6" t="s">
        <v>5824</v>
      </c>
      <c r="O672" s="6" t="str">
        <f>HYPERLINK("https://ceds.ed.gov/cedselementdetails.aspx?termid=5478")</f>
        <v>https://ceds.ed.gov/cedselementdetails.aspx?termid=5478</v>
      </c>
      <c r="P672" s="6" t="str">
        <f>HYPERLINK("https://ceds.ed.gov/elementComment.aspx?elementName=Title III Professional Development Type &amp;elementID=5478", "Click here to submit comment")</f>
        <v>Click here to submit comment</v>
      </c>
    </row>
    <row r="673" spans="1:16" ht="135">
      <c r="A673" s="6" t="s">
        <v>6788</v>
      </c>
      <c r="B673" s="6" t="s">
        <v>6796</v>
      </c>
      <c r="C673" s="6" t="s">
        <v>6793</v>
      </c>
      <c r="D673" s="6" t="s">
        <v>2657</v>
      </c>
      <c r="E673" s="6" t="s">
        <v>2658</v>
      </c>
      <c r="F673" s="6" t="s">
        <v>13</v>
      </c>
      <c r="G673" s="6" t="s">
        <v>218</v>
      </c>
      <c r="H673" s="6" t="s">
        <v>3</v>
      </c>
      <c r="I673" s="6" t="s">
        <v>1461</v>
      </c>
      <c r="J673" s="6"/>
      <c r="K673" s="6"/>
      <c r="L673" s="6" t="s">
        <v>2659</v>
      </c>
      <c r="M673" s="6"/>
      <c r="N673" s="6" t="s">
        <v>2660</v>
      </c>
      <c r="O673" s="6" t="str">
        <f>HYPERLINK("https://ceds.ed.gov/cedselementdetails.aspx?termid=5540")</f>
        <v>https://ceds.ed.gov/cedselementdetails.aspx?termid=5540</v>
      </c>
      <c r="P673" s="6" t="str">
        <f>HYPERLINK("https://ceds.ed.gov/elementComment.aspx?elementName=Federal Programs Funding Allocation &amp;elementID=5540", "Click here to submit comment")</f>
        <v>Click here to submit comment</v>
      </c>
    </row>
    <row r="674" spans="1:16" ht="45">
      <c r="A674" s="6" t="s">
        <v>6788</v>
      </c>
      <c r="B674" s="6" t="s">
        <v>6796</v>
      </c>
      <c r="C674" s="6" t="s">
        <v>6793</v>
      </c>
      <c r="D674" s="6" t="s">
        <v>2820</v>
      </c>
      <c r="E674" s="6" t="s">
        <v>2821</v>
      </c>
      <c r="F674" s="6" t="s">
        <v>13</v>
      </c>
      <c r="G674" s="6" t="s">
        <v>207</v>
      </c>
      <c r="H674" s="6"/>
      <c r="I674" s="6" t="s">
        <v>1461</v>
      </c>
      <c r="J674" s="6"/>
      <c r="K674" s="6"/>
      <c r="L674" s="6" t="s">
        <v>2823</v>
      </c>
      <c r="M674" s="6"/>
      <c r="N674" s="6" t="s">
        <v>2824</v>
      </c>
      <c r="O674" s="6" t="str">
        <f>HYPERLINK("https://ceds.ed.gov/cedselementdetails.aspx?termid=5442")</f>
        <v>https://ceds.ed.gov/cedselementdetails.aspx?termid=5442</v>
      </c>
      <c r="P674" s="6" t="str">
        <f>HYPERLINK("https://ceds.ed.gov/elementComment.aspx?elementName=Funds Transfer Amount &amp;elementID=5442", "Click here to submit comment")</f>
        <v>Click here to submit comment</v>
      </c>
    </row>
    <row r="675" spans="1:16" ht="45">
      <c r="A675" s="6" t="s">
        <v>6788</v>
      </c>
      <c r="B675" s="6" t="s">
        <v>6796</v>
      </c>
      <c r="C675" s="6" t="s">
        <v>6793</v>
      </c>
      <c r="D675" s="6" t="s">
        <v>3279</v>
      </c>
      <c r="E675" s="6" t="s">
        <v>3280</v>
      </c>
      <c r="F675" s="6" t="s">
        <v>13</v>
      </c>
      <c r="G675" s="6" t="s">
        <v>207</v>
      </c>
      <c r="H675" s="6"/>
      <c r="I675" s="6" t="s">
        <v>1461</v>
      </c>
      <c r="J675" s="6"/>
      <c r="K675" s="6"/>
      <c r="L675" s="6" t="s">
        <v>3281</v>
      </c>
      <c r="M675" s="6"/>
      <c r="N675" s="6" t="s">
        <v>3282</v>
      </c>
      <c r="O675" s="6" t="str">
        <f>HYPERLINK("https://ceds.ed.gov/cedselementdetails.aspx?termid=5454")</f>
        <v>https://ceds.ed.gov/cedselementdetails.aspx?termid=5454</v>
      </c>
      <c r="P675" s="6" t="str">
        <f>HYPERLINK("https://ceds.ed.gov/elementComment.aspx?elementName=Innovative Programs Funds Received &amp;elementID=5454", "Click here to submit comment")</f>
        <v>Click here to submit comment</v>
      </c>
    </row>
    <row r="676" spans="1:16" ht="30">
      <c r="A676" s="6" t="s">
        <v>6788</v>
      </c>
      <c r="B676" s="6" t="s">
        <v>6796</v>
      </c>
      <c r="C676" s="6" t="s">
        <v>6793</v>
      </c>
      <c r="D676" s="6" t="s">
        <v>3271</v>
      </c>
      <c r="E676" s="6" t="s">
        <v>3272</v>
      </c>
      <c r="F676" s="6" t="s">
        <v>13</v>
      </c>
      <c r="G676" s="6" t="s">
        <v>207</v>
      </c>
      <c r="H676" s="6"/>
      <c r="I676" s="6" t="s">
        <v>1461</v>
      </c>
      <c r="J676" s="6"/>
      <c r="K676" s="6"/>
      <c r="L676" s="6" t="s">
        <v>3273</v>
      </c>
      <c r="M676" s="6"/>
      <c r="N676" s="6" t="s">
        <v>3274</v>
      </c>
      <c r="O676" s="6" t="str">
        <f>HYPERLINK("https://ceds.ed.gov/cedselementdetails.aspx?termid=5451")</f>
        <v>https://ceds.ed.gov/cedselementdetails.aspx?termid=5451</v>
      </c>
      <c r="P676" s="6" t="str">
        <f>HYPERLINK("https://ceds.ed.gov/elementComment.aspx?elementName=Innovative Dollars Spent &amp;elementID=5451", "Click here to submit comment")</f>
        <v>Click here to submit comment</v>
      </c>
    </row>
    <row r="677" spans="1:16" ht="45">
      <c r="A677" s="6" t="s">
        <v>6788</v>
      </c>
      <c r="B677" s="6" t="s">
        <v>6796</v>
      </c>
      <c r="C677" s="6" t="s">
        <v>6793</v>
      </c>
      <c r="D677" s="6" t="s">
        <v>3275</v>
      </c>
      <c r="E677" s="6" t="s">
        <v>3276</v>
      </c>
      <c r="F677" s="6" t="s">
        <v>13</v>
      </c>
      <c r="G677" s="6" t="s">
        <v>207</v>
      </c>
      <c r="H677" s="6"/>
      <c r="I677" s="6" t="s">
        <v>1461</v>
      </c>
      <c r="J677" s="6"/>
      <c r="K677" s="6"/>
      <c r="L677" s="6" t="s">
        <v>3277</v>
      </c>
      <c r="M677" s="6"/>
      <c r="N677" s="6" t="s">
        <v>3278</v>
      </c>
      <c r="O677" s="6" t="str">
        <f>HYPERLINK("https://ceds.ed.gov/cedselementdetails.aspx?termid=5452")</f>
        <v>https://ceds.ed.gov/cedselementdetails.aspx?termid=5452</v>
      </c>
      <c r="P677" s="6" t="str">
        <f>HYPERLINK("https://ceds.ed.gov/elementComment.aspx?elementName=Innovative Dollars Spent on Strategic Priorities &amp;elementID=5452", "Click here to submit comment")</f>
        <v>Click here to submit comment</v>
      </c>
    </row>
    <row r="678" spans="1:16" ht="60">
      <c r="A678" s="6" t="s">
        <v>6788</v>
      </c>
      <c r="B678" s="6" t="s">
        <v>6796</v>
      </c>
      <c r="C678" s="6" t="s">
        <v>6793</v>
      </c>
      <c r="D678" s="6" t="s">
        <v>4044</v>
      </c>
      <c r="E678" s="6" t="s">
        <v>4045</v>
      </c>
      <c r="F678" s="6" t="s">
        <v>5963</v>
      </c>
      <c r="G678" s="6" t="s">
        <v>207</v>
      </c>
      <c r="H678" s="6"/>
      <c r="I678" s="6"/>
      <c r="J678" s="6"/>
      <c r="K678" s="6"/>
      <c r="L678" s="6" t="s">
        <v>4046</v>
      </c>
      <c r="M678" s="6" t="s">
        <v>4047</v>
      </c>
      <c r="N678" s="6" t="s">
        <v>4048</v>
      </c>
      <c r="O678" s="6" t="str">
        <f>HYPERLINK("https://ceds.ed.gov/cedselementdetails.aspx?termid=5436")</f>
        <v>https://ceds.ed.gov/cedselementdetails.aspx?termid=5436</v>
      </c>
      <c r="P678" s="6" t="str">
        <f>HYPERLINK("https://ceds.ed.gov/elementComment.aspx?elementName=Local Education Agency Transferability of Funds &amp;elementID=5436", "Click here to submit comment")</f>
        <v>Click here to submit comment</v>
      </c>
    </row>
    <row r="679" spans="1:16" ht="75">
      <c r="A679" s="6" t="s">
        <v>6788</v>
      </c>
      <c r="B679" s="6" t="s">
        <v>6796</v>
      </c>
      <c r="C679" s="6" t="s">
        <v>6793</v>
      </c>
      <c r="D679" s="6" t="s">
        <v>4012</v>
      </c>
      <c r="E679" s="6" t="s">
        <v>4013</v>
      </c>
      <c r="F679" s="7" t="s">
        <v>6576</v>
      </c>
      <c r="G679" s="6" t="s">
        <v>207</v>
      </c>
      <c r="H679" s="6"/>
      <c r="I679" s="6"/>
      <c r="J679" s="6"/>
      <c r="K679" s="6"/>
      <c r="L679" s="6" t="s">
        <v>4014</v>
      </c>
      <c r="M679" s="6" t="s">
        <v>4015</v>
      </c>
      <c r="N679" s="6" t="s">
        <v>4016</v>
      </c>
      <c r="O679" s="6" t="str">
        <f>HYPERLINK("https://ceds.ed.gov/cedselementdetails.aspx?termid=5441")</f>
        <v>https://ceds.ed.gov/cedselementdetails.aspx?termid=5441</v>
      </c>
      <c r="P679" s="6" t="str">
        <f>HYPERLINK("https://ceds.ed.gov/elementComment.aspx?elementName=Local Education Agency Funds Transfer Type &amp;elementID=5441", "Click here to submit comment")</f>
        <v>Click here to submit comment</v>
      </c>
    </row>
    <row r="680" spans="1:16" ht="60">
      <c r="A680" s="6" t="s">
        <v>6788</v>
      </c>
      <c r="B680" s="6" t="s">
        <v>6796</v>
      </c>
      <c r="C680" s="6" t="s">
        <v>6793</v>
      </c>
      <c r="D680" s="6" t="s">
        <v>4887</v>
      </c>
      <c r="E680" s="6" t="s">
        <v>4888</v>
      </c>
      <c r="F680" s="6" t="s">
        <v>13</v>
      </c>
      <c r="G680" s="6" t="s">
        <v>218</v>
      </c>
      <c r="H680" s="6"/>
      <c r="I680" s="6" t="s">
        <v>1461</v>
      </c>
      <c r="J680" s="6"/>
      <c r="K680" s="6"/>
      <c r="L680" s="6" t="s">
        <v>4889</v>
      </c>
      <c r="M680" s="6"/>
      <c r="N680" s="6" t="s">
        <v>4890</v>
      </c>
      <c r="O680" s="6" t="str">
        <f>HYPERLINK("https://ceds.ed.gov/cedselementdetails.aspx?termid=5560")</f>
        <v>https://ceds.ed.gov/cedselementdetails.aspx?termid=5560</v>
      </c>
      <c r="P680" s="6" t="str">
        <f>HYPERLINK("https://ceds.ed.gov/elementComment.aspx?elementName=Public School Choice Funds Spent &amp;elementID=5560", "Click here to submit comment")</f>
        <v>Click here to submit comment</v>
      </c>
    </row>
    <row r="681" spans="1:16" ht="105">
      <c r="A681" s="6" t="s">
        <v>6788</v>
      </c>
      <c r="B681" s="6" t="s">
        <v>6796</v>
      </c>
      <c r="C681" s="6" t="s">
        <v>6793</v>
      </c>
      <c r="D681" s="6" t="s">
        <v>5243</v>
      </c>
      <c r="E681" s="6" t="s">
        <v>5244</v>
      </c>
      <c r="F681" s="6" t="s">
        <v>13</v>
      </c>
      <c r="G681" s="6" t="s">
        <v>207</v>
      </c>
      <c r="H681" s="6"/>
      <c r="I681" s="6" t="s">
        <v>740</v>
      </c>
      <c r="J681" s="6"/>
      <c r="K681" s="6"/>
      <c r="L681" s="6" t="s">
        <v>5245</v>
      </c>
      <c r="M681" s="6"/>
      <c r="N681" s="6" t="s">
        <v>5246</v>
      </c>
      <c r="O681" s="6" t="str">
        <f>HYPERLINK("https://ceds.ed.gov/cedselementdetails.aspx?termid=5470")</f>
        <v>https://ceds.ed.gov/cedselementdetails.aspx?termid=5470</v>
      </c>
      <c r="P681" s="6" t="str">
        <f>HYPERLINK("https://ceds.ed.gov/elementComment.aspx?elementName=School Improvement Reserved Funds Percentage &amp;elementID=5470", "Click here to submit comment")</f>
        <v>Click here to submit comment</v>
      </c>
    </row>
    <row r="682" spans="1:16" ht="45">
      <c r="A682" s="6" t="s">
        <v>6788</v>
      </c>
      <c r="B682" s="6" t="s">
        <v>6796</v>
      </c>
      <c r="C682" s="6" t="s">
        <v>6793</v>
      </c>
      <c r="D682" s="6" t="s">
        <v>5227</v>
      </c>
      <c r="E682" s="6" t="s">
        <v>5228</v>
      </c>
      <c r="F682" s="6" t="s">
        <v>13</v>
      </c>
      <c r="G682" s="6" t="s">
        <v>207</v>
      </c>
      <c r="H682" s="6"/>
      <c r="I682" s="6" t="s">
        <v>1461</v>
      </c>
      <c r="J682" s="6"/>
      <c r="K682" s="6"/>
      <c r="L682" s="6" t="s">
        <v>5229</v>
      </c>
      <c r="M682" s="6"/>
      <c r="N682" s="6" t="s">
        <v>5230</v>
      </c>
      <c r="O682" s="6" t="str">
        <f>HYPERLINK("https://ceds.ed.gov/cedselementdetails.aspx?termid=5471")</f>
        <v>https://ceds.ed.gov/cedselementdetails.aspx?termid=5471</v>
      </c>
      <c r="P682" s="6" t="str">
        <f>HYPERLINK("https://ceds.ed.gov/elementComment.aspx?elementName=School Improvement Allocation &amp;elementID=5471", "Click here to submit comment")</f>
        <v>Click here to submit comment</v>
      </c>
    </row>
    <row r="683" spans="1:16" ht="75">
      <c r="A683" s="6" t="s">
        <v>6788</v>
      </c>
      <c r="B683" s="6" t="s">
        <v>6796</v>
      </c>
      <c r="C683" s="6" t="s">
        <v>6793</v>
      </c>
      <c r="D683" s="6" t="s">
        <v>5639</v>
      </c>
      <c r="E683" s="6" t="s">
        <v>5640</v>
      </c>
      <c r="F683" s="6" t="s">
        <v>13</v>
      </c>
      <c r="G683" s="6" t="s">
        <v>218</v>
      </c>
      <c r="H683" s="6"/>
      <c r="I683" s="6" t="s">
        <v>1461</v>
      </c>
      <c r="J683" s="6"/>
      <c r="K683" s="6"/>
      <c r="L683" s="6" t="s">
        <v>5641</v>
      </c>
      <c r="M683" s="6" t="s">
        <v>5642</v>
      </c>
      <c r="N683" s="6" t="s">
        <v>5643</v>
      </c>
      <c r="O683" s="6" t="str">
        <f>HYPERLINK("https://ceds.ed.gov/cedselementdetails.aspx?termid=5559")</f>
        <v>https://ceds.ed.gov/cedselementdetails.aspx?termid=5559</v>
      </c>
      <c r="P683" s="6" t="str">
        <f>HYPERLINK("https://ceds.ed.gov/elementComment.aspx?elementName=Supplemental Educational Services Funds Spent &amp;elementID=5559", "Click here to submit comment")</f>
        <v>Click here to submit comment</v>
      </c>
    </row>
    <row r="684" spans="1:16" ht="60">
      <c r="A684" s="6" t="s">
        <v>6788</v>
      </c>
      <c r="B684" s="6" t="s">
        <v>6796</v>
      </c>
      <c r="C684" s="6" t="s">
        <v>6793</v>
      </c>
      <c r="D684" s="6" t="s">
        <v>5644</v>
      </c>
      <c r="E684" s="6" t="s">
        <v>5645</v>
      </c>
      <c r="F684" s="6" t="s">
        <v>13</v>
      </c>
      <c r="G684" s="6" t="s">
        <v>218</v>
      </c>
      <c r="H684" s="6"/>
      <c r="I684" s="6" t="s">
        <v>1461</v>
      </c>
      <c r="J684" s="6"/>
      <c r="K684" s="6"/>
      <c r="L684" s="6" t="s">
        <v>5646</v>
      </c>
      <c r="M684" s="6" t="s">
        <v>5647</v>
      </c>
      <c r="N684" s="6" t="s">
        <v>5648</v>
      </c>
      <c r="O684" s="6" t="str">
        <f>HYPERLINK("https://ceds.ed.gov/cedselementdetails.aspx?termid=5567")</f>
        <v>https://ceds.ed.gov/cedselementdetails.aspx?termid=5567</v>
      </c>
      <c r="P684" s="6" t="str">
        <f>HYPERLINK("https://ceds.ed.gov/elementComment.aspx?elementName=Supplemental Educational Services Per Pupil Expenditure &amp;elementID=5567", "Click here to submit comment")</f>
        <v>Click here to submit comment</v>
      </c>
    </row>
    <row r="685" spans="1:16" ht="75">
      <c r="A685" s="6" t="s">
        <v>6788</v>
      </c>
      <c r="B685" s="6" t="s">
        <v>6796</v>
      </c>
      <c r="C685" s="6" t="s">
        <v>6793</v>
      </c>
      <c r="D685" s="6" t="s">
        <v>5634</v>
      </c>
      <c r="E685" s="6" t="s">
        <v>5635</v>
      </c>
      <c r="F685" s="6" t="s">
        <v>13</v>
      </c>
      <c r="G685" s="6" t="s">
        <v>218</v>
      </c>
      <c r="H685" s="6"/>
      <c r="I685" s="6" t="s">
        <v>1461</v>
      </c>
      <c r="J685" s="6"/>
      <c r="K685" s="6"/>
      <c r="L685" s="6" t="s">
        <v>5636</v>
      </c>
      <c r="M685" s="6" t="s">
        <v>5637</v>
      </c>
      <c r="N685" s="6" t="s">
        <v>5638</v>
      </c>
      <c r="O685" s="6" t="str">
        <f>HYPERLINK("https://ceds.ed.gov/cedselementdetails.aspx?termid=5566")</f>
        <v>https://ceds.ed.gov/cedselementdetails.aspx?termid=5566</v>
      </c>
      <c r="P685" s="6" t="str">
        <f>HYPERLINK("https://ceds.ed.gov/elementComment.aspx?elementName=Supplemental Education Services Public School Choice Twenty Percent Obligation &amp;elementID=5566", "Click here to submit comment")</f>
        <v>Click here to submit comment</v>
      </c>
    </row>
    <row r="686" spans="1:16" ht="285">
      <c r="A686" s="6" t="s">
        <v>6788</v>
      </c>
      <c r="B686" s="6" t="s">
        <v>6796</v>
      </c>
      <c r="C686" s="6" t="s">
        <v>6793</v>
      </c>
      <c r="D686" s="6" t="s">
        <v>5854</v>
      </c>
      <c r="E686" s="6" t="s">
        <v>5855</v>
      </c>
      <c r="F686" s="7" t="s">
        <v>6688</v>
      </c>
      <c r="G686" s="6" t="s">
        <v>207</v>
      </c>
      <c r="H686" s="6"/>
      <c r="I686" s="6"/>
      <c r="J686" s="6"/>
      <c r="K686" s="6"/>
      <c r="L686" s="6" t="s">
        <v>5856</v>
      </c>
      <c r="M686" s="6" t="s">
        <v>5857</v>
      </c>
      <c r="N686" s="6" t="s">
        <v>5858</v>
      </c>
      <c r="O686" s="6" t="str">
        <f>HYPERLINK("https://ceds.ed.gov/cedselementdetails.aspx?termid=5477")</f>
        <v>https://ceds.ed.gov/cedselementdetails.aspx?termid=5477</v>
      </c>
      <c r="P686" s="6" t="str">
        <f>HYPERLINK("https://ceds.ed.gov/elementComment.aspx?elementName=Type of Use of the Rural Low-Income Schools Program &amp;elementID=5477", "Click here to submit comment")</f>
        <v>Click here to submit comment</v>
      </c>
    </row>
    <row r="687" spans="1:16" ht="75">
      <c r="A687" s="6" t="s">
        <v>6788</v>
      </c>
      <c r="B687" s="6" t="s">
        <v>6796</v>
      </c>
      <c r="C687" s="6" t="s">
        <v>6793</v>
      </c>
      <c r="D687" s="6" t="s">
        <v>2653</v>
      </c>
      <c r="E687" s="6" t="s">
        <v>2654</v>
      </c>
      <c r="F687" s="6" t="s">
        <v>13</v>
      </c>
      <c r="G687" s="6" t="s">
        <v>218</v>
      </c>
      <c r="H687" s="6" t="s">
        <v>3</v>
      </c>
      <c r="I687" s="6"/>
      <c r="J687" s="6"/>
      <c r="K687" s="6"/>
      <c r="L687" s="6" t="s">
        <v>2655</v>
      </c>
      <c r="M687" s="6"/>
      <c r="N687" s="6" t="s">
        <v>2656</v>
      </c>
      <c r="O687" s="6" t="str">
        <f>HYPERLINK("https://ceds.ed.gov/cedselementdetails.aspx?termid=5538")</f>
        <v>https://ceds.ed.gov/cedselementdetails.aspx?termid=5538</v>
      </c>
      <c r="P687" s="6" t="str">
        <f>HYPERLINK("https://ceds.ed.gov/elementComment.aspx?elementName=Federal Program Code &amp;elementID=5538", "Click here to submit comment")</f>
        <v>Click here to submit comment</v>
      </c>
    </row>
    <row r="688" spans="1:16" ht="225">
      <c r="A688" s="6" t="s">
        <v>6788</v>
      </c>
      <c r="B688" s="6" t="s">
        <v>6796</v>
      </c>
      <c r="C688" s="6" t="s">
        <v>6797</v>
      </c>
      <c r="D688" s="6" t="s">
        <v>1469</v>
      </c>
      <c r="E688" s="6" t="s">
        <v>1470</v>
      </c>
      <c r="F688" s="7" t="s">
        <v>6409</v>
      </c>
      <c r="G688" s="6" t="s">
        <v>207</v>
      </c>
      <c r="H688" s="6"/>
      <c r="I688" s="6"/>
      <c r="J688" s="6"/>
      <c r="K688" s="6"/>
      <c r="L688" s="6" t="s">
        <v>1472</v>
      </c>
      <c r="M688" s="6"/>
      <c r="N688" s="6" t="s">
        <v>1473</v>
      </c>
      <c r="O688" s="6" t="str">
        <f>HYPERLINK("https://ceds.ed.gov/cedselementdetails.aspx?termid=5439")</f>
        <v>https://ceds.ed.gov/cedselementdetails.aspx?termid=5439</v>
      </c>
      <c r="P688" s="6" t="str">
        <f>HYPERLINK("https://ceds.ed.gov/elementComment.aspx?elementName=Barrier to Educating Homeless &amp;elementID=5439", "Click here to submit comment")</f>
        <v>Click here to submit comment</v>
      </c>
    </row>
    <row r="689" spans="1:16" ht="75">
      <c r="A689" s="6" t="s">
        <v>6788</v>
      </c>
      <c r="B689" s="6" t="s">
        <v>6796</v>
      </c>
      <c r="C689" s="6" t="s">
        <v>6797</v>
      </c>
      <c r="D689" s="6" t="s">
        <v>2165</v>
      </c>
      <c r="E689" s="6" t="s">
        <v>2166</v>
      </c>
      <c r="F689" s="6" t="s">
        <v>5963</v>
      </c>
      <c r="G689" s="6" t="s">
        <v>2</v>
      </c>
      <c r="H689" s="6"/>
      <c r="I689" s="6"/>
      <c r="J689" s="6"/>
      <c r="K689" s="6"/>
      <c r="L689" s="6" t="s">
        <v>2167</v>
      </c>
      <c r="M689" s="6"/>
      <c r="N689" s="6" t="s">
        <v>2168</v>
      </c>
      <c r="O689" s="6" t="str">
        <f>HYPERLINK("https://ceds.ed.gov/cedselementdetails.aspx?termid=5080")</f>
        <v>https://ceds.ed.gov/cedselementdetails.aspx?termid=5080</v>
      </c>
      <c r="P689" s="6" t="str">
        <f>HYPERLINK("https://ceds.ed.gov/elementComment.aspx?elementName=Desegregation Order or Plan &amp;elementID=5080", "Click here to submit comment")</f>
        <v>Click here to submit comment</v>
      </c>
    </row>
    <row r="690" spans="1:16" ht="60">
      <c r="A690" s="6" t="s">
        <v>6788</v>
      </c>
      <c r="B690" s="6" t="s">
        <v>6796</v>
      </c>
      <c r="C690" s="6" t="s">
        <v>6797</v>
      </c>
      <c r="D690" s="6" t="s">
        <v>2920</v>
      </c>
      <c r="E690" s="6" t="s">
        <v>2921</v>
      </c>
      <c r="F690" s="6" t="s">
        <v>5963</v>
      </c>
      <c r="G690" s="6" t="s">
        <v>2</v>
      </c>
      <c r="H690" s="6"/>
      <c r="I690" s="6"/>
      <c r="J690" s="6"/>
      <c r="K690" s="6"/>
      <c r="L690" s="6" t="s">
        <v>2922</v>
      </c>
      <c r="M690" s="6"/>
      <c r="N690" s="6" t="s">
        <v>2923</v>
      </c>
      <c r="O690" s="6" t="str">
        <f>HYPERLINK("https://ceds.ed.gov/cedselementdetails.aspx?termid=5135")</f>
        <v>https://ceds.ed.gov/cedselementdetails.aspx?termid=5135</v>
      </c>
      <c r="P690" s="6" t="str">
        <f>HYPERLINK("https://ceds.ed.gov/elementComment.aspx?elementName=Harassment or Bullying Policy Status &amp;elementID=5135", "Click here to submit comment")</f>
        <v>Click here to submit comment</v>
      </c>
    </row>
    <row r="691" spans="1:16" ht="135">
      <c r="A691" s="6" t="s">
        <v>6788</v>
      </c>
      <c r="B691" s="6" t="s">
        <v>6796</v>
      </c>
      <c r="C691" s="6" t="s">
        <v>6797</v>
      </c>
      <c r="D691" s="6" t="s">
        <v>3343</v>
      </c>
      <c r="E691" s="6" t="s">
        <v>3344</v>
      </c>
      <c r="F691" s="7" t="s">
        <v>6557</v>
      </c>
      <c r="G691" s="6" t="s">
        <v>218</v>
      </c>
      <c r="H691" s="6"/>
      <c r="I691" s="6"/>
      <c r="J691" s="6"/>
      <c r="K691" s="6"/>
      <c r="L691" s="6" t="s">
        <v>3345</v>
      </c>
      <c r="M691" s="6"/>
      <c r="N691" s="6" t="s">
        <v>3346</v>
      </c>
      <c r="O691" s="6" t="str">
        <f>HYPERLINK("https://ceds.ed.gov/cedselementdetails.aspx?termid=5170")</f>
        <v>https://ceds.ed.gov/cedselementdetails.aspx?termid=5170</v>
      </c>
      <c r="P691" s="6" t="str">
        <f>HYPERLINK("https://ceds.ed.gov/elementComment.aspx?elementName=Integrated Technology Status &amp;elementID=5170", "Click here to submit comment")</f>
        <v>Click here to submit comment</v>
      </c>
    </row>
    <row r="692" spans="1:16" ht="105">
      <c r="A692" s="6" t="s">
        <v>6788</v>
      </c>
      <c r="B692" s="6" t="s">
        <v>6796</v>
      </c>
      <c r="C692" s="6" t="s">
        <v>6797</v>
      </c>
      <c r="D692" s="6" t="s">
        <v>5126</v>
      </c>
      <c r="E692" s="6" t="s">
        <v>5127</v>
      </c>
      <c r="F692" s="7" t="s">
        <v>6371</v>
      </c>
      <c r="G692" s="6" t="s">
        <v>218</v>
      </c>
      <c r="H692" s="6"/>
      <c r="I692" s="6"/>
      <c r="J692" s="6"/>
      <c r="K692" s="6"/>
      <c r="L692" s="6" t="s">
        <v>5128</v>
      </c>
      <c r="M692" s="6" t="s">
        <v>5129</v>
      </c>
      <c r="N692" s="6" t="s">
        <v>5130</v>
      </c>
      <c r="O692" s="6" t="str">
        <f>HYPERLINK("https://ceds.ed.gov/cedselementdetails.aspx?termid=5552")</f>
        <v>https://ceds.ed.gov/cedselementdetails.aspx?termid=5552</v>
      </c>
      <c r="P692" s="6" t="str">
        <f>HYPERLINK("https://ceds.ed.gov/elementComment.aspx?elementName=Rural Education Achievement Program Alternative Funding Status &amp;elementID=5552", "Click here to submit comment")</f>
        <v>Click here to submit comment</v>
      </c>
    </row>
    <row r="693" spans="1:16" ht="120">
      <c r="A693" s="6" t="s">
        <v>6788</v>
      </c>
      <c r="B693" s="6" t="s">
        <v>6796</v>
      </c>
      <c r="C693" s="6" t="s">
        <v>6797</v>
      </c>
      <c r="D693" s="6" t="s">
        <v>5559</v>
      </c>
      <c r="E693" s="6" t="s">
        <v>5560</v>
      </c>
      <c r="F693" s="6" t="s">
        <v>13</v>
      </c>
      <c r="G693" s="6" t="s">
        <v>207</v>
      </c>
      <c r="H693" s="6"/>
      <c r="I693" s="6" t="s">
        <v>740</v>
      </c>
      <c r="J693" s="6"/>
      <c r="K693" s="6"/>
      <c r="L693" s="6" t="s">
        <v>5561</v>
      </c>
      <c r="M693" s="6"/>
      <c r="N693" s="6" t="s">
        <v>5562</v>
      </c>
      <c r="O693" s="6" t="str">
        <f>HYPERLINK("https://ceds.ed.gov/cedselementdetails.aspx?termid=5444")</f>
        <v>https://ceds.ed.gov/cedselementdetails.aspx?termid=5444</v>
      </c>
      <c r="P693" s="6" t="str">
        <f>HYPERLINK("https://ceds.ed.gov/elementComment.aspx?elementName=State Assessment Administration Funding &amp;elementID=5444", "Click here to submit comment")</f>
        <v>Click here to submit comment</v>
      </c>
    </row>
    <row r="694" spans="1:16" ht="60">
      <c r="A694" s="6" t="s">
        <v>6788</v>
      </c>
      <c r="B694" s="6" t="s">
        <v>6796</v>
      </c>
      <c r="C694" s="6" t="s">
        <v>6797</v>
      </c>
      <c r="D694" s="6" t="s">
        <v>5563</v>
      </c>
      <c r="E694" s="6" t="s">
        <v>5564</v>
      </c>
      <c r="F694" s="6" t="s">
        <v>13</v>
      </c>
      <c r="G694" s="6" t="s">
        <v>6327</v>
      </c>
      <c r="H694" s="6"/>
      <c r="I694" s="6" t="s">
        <v>740</v>
      </c>
      <c r="J694" s="6"/>
      <c r="K694" s="6"/>
      <c r="L694" s="6" t="s">
        <v>5565</v>
      </c>
      <c r="M694" s="6"/>
      <c r="N694" s="6" t="s">
        <v>5566</v>
      </c>
      <c r="O694" s="6" t="str">
        <f>HYPERLINK("https://ceds.ed.gov/cedselementdetails.aspx?termid=5443")</f>
        <v>https://ceds.ed.gov/cedselementdetails.aspx?termid=5443</v>
      </c>
      <c r="P694" s="6" t="str">
        <f>HYPERLINK("https://ceds.ed.gov/elementComment.aspx?elementName=State Assessment Standards Funding &amp;elementID=5443", "Click here to submit comment")</f>
        <v>Click here to submit comment</v>
      </c>
    </row>
    <row r="695" spans="1:16" ht="45">
      <c r="A695" s="6" t="s">
        <v>6788</v>
      </c>
      <c r="B695" s="6" t="s">
        <v>6796</v>
      </c>
      <c r="C695" s="6" t="s">
        <v>6797</v>
      </c>
      <c r="D695" s="6" t="s">
        <v>5740</v>
      </c>
      <c r="E695" s="6" t="s">
        <v>5741</v>
      </c>
      <c r="F695" s="6" t="s">
        <v>5963</v>
      </c>
      <c r="G695" s="6" t="s">
        <v>207</v>
      </c>
      <c r="H695" s="6" t="s">
        <v>66</v>
      </c>
      <c r="I695" s="6"/>
      <c r="J695" s="6" t="s">
        <v>2177</v>
      </c>
      <c r="K695" s="6"/>
      <c r="L695" s="6" t="s">
        <v>5742</v>
      </c>
      <c r="M695" s="6"/>
      <c r="N695" s="6" t="s">
        <v>5743</v>
      </c>
      <c r="O695" s="6" t="str">
        <f>HYPERLINK("https://ceds.ed.gov/cedselementdetails.aspx?termid=5473")</f>
        <v>https://ceds.ed.gov/cedselementdetails.aspx?termid=5473</v>
      </c>
      <c r="P695" s="6" t="str">
        <f>HYPERLINK("https://ceds.ed.gov/elementComment.aspx?elementName=Terminated Title III Programs Due to Failure &amp;elementID=5473", "Click here to submit comment")</f>
        <v>Click here to submit comment</v>
      </c>
    </row>
    <row r="696" spans="1:16" ht="75">
      <c r="A696" s="6" t="s">
        <v>6788</v>
      </c>
      <c r="B696" s="6" t="s">
        <v>6796</v>
      </c>
      <c r="C696" s="6" t="s">
        <v>6797</v>
      </c>
      <c r="D696" s="6" t="s">
        <v>3367</v>
      </c>
      <c r="E696" s="6" t="s">
        <v>3368</v>
      </c>
      <c r="F696" s="6" t="s">
        <v>13</v>
      </c>
      <c r="G696" s="6"/>
      <c r="H696" s="6"/>
      <c r="I696" s="6" t="s">
        <v>308</v>
      </c>
      <c r="J696" s="6"/>
      <c r="K696" s="6"/>
      <c r="L696" s="6" t="s">
        <v>3369</v>
      </c>
      <c r="M696" s="6"/>
      <c r="N696" s="6" t="s">
        <v>3370</v>
      </c>
      <c r="O696" s="6" t="str">
        <f>HYPERLINK("https://ceds.ed.gov/cedselementdetails.aspx?termid=5660")</f>
        <v>https://ceds.ed.gov/cedselementdetails.aspx?termid=5660</v>
      </c>
      <c r="P696" s="6" t="str">
        <f>HYPERLINK("https://ceds.ed.gov/elementComment.aspx?elementName=Interscholastic Sports - Male Only &amp;elementID=5660", "Click here to submit comment")</f>
        <v>Click here to submit comment</v>
      </c>
    </row>
    <row r="697" spans="1:16" ht="90">
      <c r="A697" s="6" t="s">
        <v>6788</v>
      </c>
      <c r="B697" s="6" t="s">
        <v>6796</v>
      </c>
      <c r="C697" s="6" t="s">
        <v>6797</v>
      </c>
      <c r="D697" s="6" t="s">
        <v>3363</v>
      </c>
      <c r="E697" s="6" t="s">
        <v>3364</v>
      </c>
      <c r="F697" s="6" t="s">
        <v>13</v>
      </c>
      <c r="G697" s="6"/>
      <c r="H697" s="6"/>
      <c r="I697" s="6" t="s">
        <v>308</v>
      </c>
      <c r="J697" s="6"/>
      <c r="K697" s="6"/>
      <c r="L697" s="6" t="s">
        <v>3365</v>
      </c>
      <c r="M697" s="6"/>
      <c r="N697" s="6" t="s">
        <v>3366</v>
      </c>
      <c r="O697" s="6" t="str">
        <f>HYPERLINK("https://ceds.ed.gov/cedselementdetails.aspx?termid=5661")</f>
        <v>https://ceds.ed.gov/cedselementdetails.aspx?termid=5661</v>
      </c>
      <c r="P697" s="6" t="str">
        <f>HYPERLINK("https://ceds.ed.gov/elementComment.aspx?elementName=Interscholastic Sports - Female Only &amp;elementID=5661", "Click here to submit comment")</f>
        <v>Click here to submit comment</v>
      </c>
    </row>
    <row r="698" spans="1:16" ht="105">
      <c r="A698" s="6" t="s">
        <v>6788</v>
      </c>
      <c r="B698" s="6" t="s">
        <v>6796</v>
      </c>
      <c r="C698" s="6" t="s">
        <v>6797</v>
      </c>
      <c r="D698" s="6" t="s">
        <v>3375</v>
      </c>
      <c r="E698" s="6" t="s">
        <v>3376</v>
      </c>
      <c r="F698" s="6" t="s">
        <v>13</v>
      </c>
      <c r="G698" s="6"/>
      <c r="H698" s="6"/>
      <c r="I698" s="6" t="s">
        <v>308</v>
      </c>
      <c r="J698" s="6"/>
      <c r="K698" s="6"/>
      <c r="L698" s="6" t="s">
        <v>3377</v>
      </c>
      <c r="M698" s="6"/>
      <c r="N698" s="6" t="s">
        <v>3378</v>
      </c>
      <c r="O698" s="6" t="str">
        <f>HYPERLINK("https://ceds.ed.gov/cedselementdetails.aspx?termid=5662")</f>
        <v>https://ceds.ed.gov/cedselementdetails.aspx?termid=5662</v>
      </c>
      <c r="P698" s="6" t="str">
        <f>HYPERLINK("https://ceds.ed.gov/elementComment.aspx?elementName=Interscholastic Teams - Male Only &amp;elementID=5662", "Click here to submit comment")</f>
        <v>Click here to submit comment</v>
      </c>
    </row>
    <row r="699" spans="1:16" ht="105">
      <c r="A699" s="6" t="s">
        <v>6788</v>
      </c>
      <c r="B699" s="6" t="s">
        <v>6796</v>
      </c>
      <c r="C699" s="6" t="s">
        <v>6797</v>
      </c>
      <c r="D699" s="6" t="s">
        <v>3371</v>
      </c>
      <c r="E699" s="6" t="s">
        <v>3372</v>
      </c>
      <c r="F699" s="6" t="s">
        <v>13</v>
      </c>
      <c r="G699" s="6"/>
      <c r="H699" s="6"/>
      <c r="I699" s="6" t="s">
        <v>308</v>
      </c>
      <c r="J699" s="6"/>
      <c r="K699" s="6"/>
      <c r="L699" s="6" t="s">
        <v>3373</v>
      </c>
      <c r="M699" s="6"/>
      <c r="N699" s="6" t="s">
        <v>3374</v>
      </c>
      <c r="O699" s="6" t="str">
        <f>HYPERLINK("https://ceds.ed.gov/cedselementdetails.aspx?termid=5663")</f>
        <v>https://ceds.ed.gov/cedselementdetails.aspx?termid=5663</v>
      </c>
      <c r="P699" s="6" t="str">
        <f>HYPERLINK("https://ceds.ed.gov/elementComment.aspx?elementName=Interscholastic Teams - Female Only &amp;elementID=5663", "Click here to submit comment")</f>
        <v>Click here to submit comment</v>
      </c>
    </row>
    <row r="700" spans="1:16" ht="60">
      <c r="A700" s="6" t="s">
        <v>6788</v>
      </c>
      <c r="B700" s="6" t="s">
        <v>6796</v>
      </c>
      <c r="C700" s="6" t="s">
        <v>6797</v>
      </c>
      <c r="D700" s="6" t="s">
        <v>3359</v>
      </c>
      <c r="E700" s="6" t="s">
        <v>3360</v>
      </c>
      <c r="F700" s="6" t="s">
        <v>13</v>
      </c>
      <c r="G700" s="6"/>
      <c r="H700" s="6"/>
      <c r="I700" s="6" t="s">
        <v>308</v>
      </c>
      <c r="J700" s="6"/>
      <c r="K700" s="6"/>
      <c r="L700" s="6" t="s">
        <v>3361</v>
      </c>
      <c r="M700" s="6"/>
      <c r="N700" s="6" t="s">
        <v>3362</v>
      </c>
      <c r="O700" s="6" t="str">
        <f>HYPERLINK("https://ceds.ed.gov/cedselementdetails.aspx?termid=5664")</f>
        <v>https://ceds.ed.gov/cedselementdetails.aspx?termid=5664</v>
      </c>
      <c r="P700" s="6" t="str">
        <f>HYPERLINK("https://ceds.ed.gov/elementComment.aspx?elementName=Interscholastic Sport Participants - Male Only &amp;elementID=5664", "Click here to submit comment")</f>
        <v>Click here to submit comment</v>
      </c>
    </row>
    <row r="701" spans="1:16" ht="60">
      <c r="A701" s="6" t="s">
        <v>6788</v>
      </c>
      <c r="B701" s="6" t="s">
        <v>6796</v>
      </c>
      <c r="C701" s="6" t="s">
        <v>6797</v>
      </c>
      <c r="D701" s="6" t="s">
        <v>3355</v>
      </c>
      <c r="E701" s="6" t="s">
        <v>3356</v>
      </c>
      <c r="F701" s="6" t="s">
        <v>13</v>
      </c>
      <c r="G701" s="6"/>
      <c r="H701" s="6"/>
      <c r="I701" s="6" t="s">
        <v>308</v>
      </c>
      <c r="J701" s="6"/>
      <c r="K701" s="6"/>
      <c r="L701" s="6" t="s">
        <v>3357</v>
      </c>
      <c r="M701" s="6"/>
      <c r="N701" s="6" t="s">
        <v>3358</v>
      </c>
      <c r="O701" s="6" t="str">
        <f>HYPERLINK("https://ceds.ed.gov/cedselementdetails.aspx?termid=5665")</f>
        <v>https://ceds.ed.gov/cedselementdetails.aspx?termid=5665</v>
      </c>
      <c r="P701" s="6" t="str">
        <f>HYPERLINK("https://ceds.ed.gov/elementComment.aspx?elementName=Interscholastic Sport Participants - Female Only &amp;elementID=5665", "Click here to submit comment")</f>
        <v>Click here to submit comment</v>
      </c>
    </row>
    <row r="702" spans="1:16" ht="60">
      <c r="A702" s="6" t="s">
        <v>6788</v>
      </c>
      <c r="B702" s="6" t="s">
        <v>6796</v>
      </c>
      <c r="C702" s="6" t="s">
        <v>6798</v>
      </c>
      <c r="D702" s="6" t="s">
        <v>5135</v>
      </c>
      <c r="E702" s="6" t="s">
        <v>5136</v>
      </c>
      <c r="F702" s="6" t="s">
        <v>13</v>
      </c>
      <c r="G702" s="6" t="s">
        <v>207</v>
      </c>
      <c r="H702" s="6"/>
      <c r="I702" s="6" t="s">
        <v>106</v>
      </c>
      <c r="J702" s="6"/>
      <c r="K702" s="6"/>
      <c r="L702" s="6" t="s">
        <v>5138</v>
      </c>
      <c r="M702" s="6"/>
      <c r="N702" s="6" t="s">
        <v>5139</v>
      </c>
      <c r="O702" s="6" t="str">
        <f>HYPERLINK("https://ceds.ed.gov/cedselementdetails.aspx?termid=5468")</f>
        <v>https://ceds.ed.gov/cedselementdetails.aspx?termid=5468</v>
      </c>
      <c r="P702" s="6" t="str">
        <f>HYPERLINK("https://ceds.ed.gov/elementComment.aspx?elementName=Safe and Drug Free Baseline &amp;elementID=5468", "Click here to submit comment")</f>
        <v>Click here to submit comment</v>
      </c>
    </row>
    <row r="703" spans="1:16" ht="30">
      <c r="A703" s="6" t="s">
        <v>6788</v>
      </c>
      <c r="B703" s="6" t="s">
        <v>6796</v>
      </c>
      <c r="C703" s="6" t="s">
        <v>6798</v>
      </c>
      <c r="D703" s="6" t="s">
        <v>5140</v>
      </c>
      <c r="E703" s="6" t="s">
        <v>5141</v>
      </c>
      <c r="F703" s="6" t="s">
        <v>13</v>
      </c>
      <c r="G703" s="6" t="s">
        <v>207</v>
      </c>
      <c r="H703" s="6"/>
      <c r="I703" s="6" t="s">
        <v>1127</v>
      </c>
      <c r="J703" s="6"/>
      <c r="K703" s="6"/>
      <c r="L703" s="6" t="s">
        <v>5142</v>
      </c>
      <c r="M703" s="6"/>
      <c r="N703" s="6" t="s">
        <v>5143</v>
      </c>
      <c r="O703" s="6" t="str">
        <f>HYPERLINK("https://ceds.ed.gov/cedselementdetails.aspx?termid=5469")</f>
        <v>https://ceds.ed.gov/cedselementdetails.aspx?termid=5469</v>
      </c>
      <c r="P703" s="6" t="str">
        <f>HYPERLINK("https://ceds.ed.gov/elementComment.aspx?elementName=Safe and Drug Free Baseline Year &amp;elementID=5469", "Click here to submit comment")</f>
        <v>Click here to submit comment</v>
      </c>
    </row>
    <row r="704" spans="1:16" ht="60">
      <c r="A704" s="6" t="s">
        <v>6788</v>
      </c>
      <c r="B704" s="6" t="s">
        <v>6796</v>
      </c>
      <c r="C704" s="6" t="s">
        <v>6798</v>
      </c>
      <c r="D704" s="6" t="s">
        <v>5144</v>
      </c>
      <c r="E704" s="6" t="s">
        <v>5145</v>
      </c>
      <c r="F704" s="6" t="s">
        <v>13</v>
      </c>
      <c r="G704" s="6" t="s">
        <v>207</v>
      </c>
      <c r="H704" s="6"/>
      <c r="I704" s="6" t="s">
        <v>106</v>
      </c>
      <c r="J704" s="6"/>
      <c r="K704" s="6"/>
      <c r="L704" s="6" t="s">
        <v>5146</v>
      </c>
      <c r="M704" s="6"/>
      <c r="N704" s="6" t="s">
        <v>5147</v>
      </c>
      <c r="O704" s="6" t="str">
        <f>HYPERLINK("https://ceds.ed.gov/cedselementdetails.aspx?termid=5463")</f>
        <v>https://ceds.ed.gov/cedselementdetails.aspx?termid=5463</v>
      </c>
      <c r="P704" s="6" t="str">
        <f>HYPERLINK("https://ceds.ed.gov/elementComment.aspx?elementName=Safe and Drug Free Collection Frequency &amp;elementID=5463", "Click here to submit comment")</f>
        <v>Click here to submit comment</v>
      </c>
    </row>
    <row r="705" spans="1:16" ht="60">
      <c r="A705" s="6" t="s">
        <v>6788</v>
      </c>
      <c r="B705" s="6" t="s">
        <v>6796</v>
      </c>
      <c r="C705" s="6" t="s">
        <v>6798</v>
      </c>
      <c r="D705" s="6" t="s">
        <v>5148</v>
      </c>
      <c r="E705" s="6" t="s">
        <v>5149</v>
      </c>
      <c r="F705" s="6" t="s">
        <v>13</v>
      </c>
      <c r="G705" s="6" t="s">
        <v>207</v>
      </c>
      <c r="H705" s="6"/>
      <c r="I705" s="6" t="s">
        <v>106</v>
      </c>
      <c r="J705" s="6"/>
      <c r="K705" s="6"/>
      <c r="L705" s="6" t="s">
        <v>5150</v>
      </c>
      <c r="M705" s="6"/>
      <c r="N705" s="6" t="s">
        <v>5151</v>
      </c>
      <c r="O705" s="6" t="str">
        <f>HYPERLINK("https://ceds.ed.gov/cedselementdetails.aspx?termid=5461")</f>
        <v>https://ceds.ed.gov/cedselementdetails.aspx?termid=5461</v>
      </c>
      <c r="P705" s="6" t="str">
        <f>HYPERLINK("https://ceds.ed.gov/elementComment.aspx?elementName=Safe and Drug Free Indicator Name &amp;elementID=5461", "Click here to submit comment")</f>
        <v>Click here to submit comment</v>
      </c>
    </row>
    <row r="706" spans="1:16" ht="75">
      <c r="A706" s="6" t="s">
        <v>6788</v>
      </c>
      <c r="B706" s="6" t="s">
        <v>6796</v>
      </c>
      <c r="C706" s="6" t="s">
        <v>6798</v>
      </c>
      <c r="D706" s="6" t="s">
        <v>5152</v>
      </c>
      <c r="E706" s="6" t="s">
        <v>5153</v>
      </c>
      <c r="F706" s="6" t="s">
        <v>13</v>
      </c>
      <c r="G706" s="6" t="s">
        <v>207</v>
      </c>
      <c r="H706" s="6"/>
      <c r="I706" s="6" t="s">
        <v>745</v>
      </c>
      <c r="J706" s="6"/>
      <c r="K706" s="6"/>
      <c r="L706" s="6" t="s">
        <v>5154</v>
      </c>
      <c r="M706" s="6"/>
      <c r="N706" s="6" t="s">
        <v>5155</v>
      </c>
      <c r="O706" s="6" t="str">
        <f>HYPERLINK("https://ceds.ed.gov/cedselementdetails.aspx?termid=5462")</f>
        <v>https://ceds.ed.gov/cedselementdetails.aspx?termid=5462</v>
      </c>
      <c r="P706" s="6" t="str">
        <f>HYPERLINK("https://ceds.ed.gov/elementComment.aspx?elementName=Safe and Drug Free Instrument &amp;elementID=5462", "Click here to submit comment")</f>
        <v>Click here to submit comment</v>
      </c>
    </row>
    <row r="707" spans="1:16" ht="60">
      <c r="A707" s="6" t="s">
        <v>6788</v>
      </c>
      <c r="B707" s="6" t="s">
        <v>6796</v>
      </c>
      <c r="C707" s="6" t="s">
        <v>6798</v>
      </c>
      <c r="D707" s="6" t="s">
        <v>5156</v>
      </c>
      <c r="E707" s="6" t="s">
        <v>5157</v>
      </c>
      <c r="F707" s="6" t="s">
        <v>13</v>
      </c>
      <c r="G707" s="6" t="s">
        <v>207</v>
      </c>
      <c r="H707" s="6"/>
      <c r="I707" s="6" t="s">
        <v>1127</v>
      </c>
      <c r="J707" s="6"/>
      <c r="K707" s="6"/>
      <c r="L707" s="6" t="s">
        <v>5158</v>
      </c>
      <c r="M707" s="6"/>
      <c r="N707" s="6" t="s">
        <v>5159</v>
      </c>
      <c r="O707" s="6" t="str">
        <f>HYPERLINK("https://ceds.ed.gov/cedselementdetails.aspx?termid=5466")</f>
        <v>https://ceds.ed.gov/cedselementdetails.aspx?termid=5466</v>
      </c>
      <c r="P707" s="6" t="str">
        <f>HYPERLINK("https://ceds.ed.gov/elementComment.aspx?elementName=Safe and Drug Free Performance &amp;elementID=5466", "Click here to submit comment")</f>
        <v>Click here to submit comment</v>
      </c>
    </row>
    <row r="708" spans="1:16" ht="60">
      <c r="A708" s="6" t="s">
        <v>6788</v>
      </c>
      <c r="B708" s="6" t="s">
        <v>6796</v>
      </c>
      <c r="C708" s="6" t="s">
        <v>6798</v>
      </c>
      <c r="D708" s="6" t="s">
        <v>5160</v>
      </c>
      <c r="E708" s="6" t="s">
        <v>5161</v>
      </c>
      <c r="F708" s="6" t="s">
        <v>13</v>
      </c>
      <c r="G708" s="6" t="s">
        <v>207</v>
      </c>
      <c r="H708" s="6"/>
      <c r="I708" s="6" t="s">
        <v>1127</v>
      </c>
      <c r="J708" s="6"/>
      <c r="K708" s="6"/>
      <c r="L708" s="6" t="s">
        <v>5162</v>
      </c>
      <c r="M708" s="6"/>
      <c r="N708" s="6" t="s">
        <v>5163</v>
      </c>
      <c r="O708" s="6" t="str">
        <f>HYPERLINK("https://ceds.ed.gov/cedselementdetails.aspx?termid=5465")</f>
        <v>https://ceds.ed.gov/cedselementdetails.aspx?termid=5465</v>
      </c>
      <c r="P708" s="6" t="str">
        <f>HYPERLINK("https://ceds.ed.gov/elementComment.aspx?elementName=Safe and Drug Free Target &amp;elementID=5465", "Click here to submit comment")</f>
        <v>Click here to submit comment</v>
      </c>
    </row>
    <row r="709" spans="1:16" ht="60">
      <c r="A709" s="6" t="s">
        <v>6788</v>
      </c>
      <c r="B709" s="6" t="s">
        <v>6796</v>
      </c>
      <c r="C709" s="6" t="s">
        <v>6798</v>
      </c>
      <c r="D709" s="6" t="s">
        <v>5164</v>
      </c>
      <c r="E709" s="6" t="s">
        <v>5165</v>
      </c>
      <c r="F709" s="6" t="s">
        <v>13</v>
      </c>
      <c r="G709" s="6" t="s">
        <v>207</v>
      </c>
      <c r="H709" s="6"/>
      <c r="I709" s="6" t="s">
        <v>1127</v>
      </c>
      <c r="J709" s="6"/>
      <c r="K709" s="6"/>
      <c r="L709" s="6" t="s">
        <v>5166</v>
      </c>
      <c r="M709" s="6"/>
      <c r="N709" s="6" t="s">
        <v>5167</v>
      </c>
      <c r="O709" s="6" t="str">
        <f>HYPERLINK("https://ceds.ed.gov/cedselementdetails.aspx?termid=5464")</f>
        <v>https://ceds.ed.gov/cedselementdetails.aspx?termid=5464</v>
      </c>
      <c r="P709" s="6" t="str">
        <f>HYPERLINK("https://ceds.ed.gov/elementComment.aspx?elementName=Safe and Drug Free Year Most Recent Collection &amp;elementID=5464", "Click here to submit comment")</f>
        <v>Click here to submit comment</v>
      </c>
    </row>
    <row r="710" spans="1:16" ht="135">
      <c r="A710" s="6" t="s">
        <v>6788</v>
      </c>
      <c r="B710" s="6" t="s">
        <v>6796</v>
      </c>
      <c r="C710" s="6" t="s">
        <v>6799</v>
      </c>
      <c r="D710" s="6" t="s">
        <v>4563</v>
      </c>
      <c r="E710" s="6" t="s">
        <v>4564</v>
      </c>
      <c r="F710" s="7" t="s">
        <v>6604</v>
      </c>
      <c r="G710" s="6" t="s">
        <v>2</v>
      </c>
      <c r="H710" s="6"/>
      <c r="I710" s="6"/>
      <c r="J710" s="6"/>
      <c r="K710" s="6"/>
      <c r="L710" s="6" t="s">
        <v>4565</v>
      </c>
      <c r="M710" s="6"/>
      <c r="N710" s="6" t="s">
        <v>4566</v>
      </c>
      <c r="O710" s="6" t="str">
        <f>HYPERLINK("https://ceds.ed.gov/cedselementdetails.aspx?termid=5216")</f>
        <v>https://ceds.ed.gov/cedselementdetails.aspx?termid=5216</v>
      </c>
      <c r="P710" s="6" t="str">
        <f>HYPERLINK("https://ceds.ed.gov/elementComment.aspx?elementName=Prekindergarten Eligibility &amp;elementID=5216", "Click here to submit comment")</f>
        <v>Click here to submit comment</v>
      </c>
    </row>
    <row r="711" spans="1:16" ht="120">
      <c r="A711" s="6" t="s">
        <v>6788</v>
      </c>
      <c r="B711" s="6" t="s">
        <v>6796</v>
      </c>
      <c r="C711" s="6" t="s">
        <v>6799</v>
      </c>
      <c r="D711" s="6" t="s">
        <v>4567</v>
      </c>
      <c r="E711" s="6" t="s">
        <v>4568</v>
      </c>
      <c r="F711" s="7" t="s">
        <v>6605</v>
      </c>
      <c r="G711" s="6" t="s">
        <v>2</v>
      </c>
      <c r="H711" s="6"/>
      <c r="I711" s="6"/>
      <c r="J711" s="6"/>
      <c r="K711" s="6"/>
      <c r="L711" s="6" t="s">
        <v>4569</v>
      </c>
      <c r="M711" s="6"/>
      <c r="N711" s="6" t="s">
        <v>4570</v>
      </c>
      <c r="O711" s="6" t="str">
        <f>HYPERLINK("https://ceds.ed.gov/cedselementdetails.aspx?termid=5217")</f>
        <v>https://ceds.ed.gov/cedselementdetails.aspx?termid=5217</v>
      </c>
      <c r="P711" s="6" t="str">
        <f>HYPERLINK("https://ceds.ed.gov/elementComment.aspx?elementName=Prekindergarten Eligible Ages for Non-IDEA Students &amp;elementID=5217", "Click here to submit comment")</f>
        <v>Click here to submit comment</v>
      </c>
    </row>
    <row r="712" spans="1:16" ht="75">
      <c r="A712" s="6" t="s">
        <v>6788</v>
      </c>
      <c r="B712" s="6" t="s">
        <v>6796</v>
      </c>
      <c r="C712" s="6" t="s">
        <v>6799</v>
      </c>
      <c r="D712" s="6" t="s">
        <v>4559</v>
      </c>
      <c r="E712" s="6" t="s">
        <v>4560</v>
      </c>
      <c r="F712" s="7" t="s">
        <v>6561</v>
      </c>
      <c r="G712" s="6" t="s">
        <v>2</v>
      </c>
      <c r="H712" s="6"/>
      <c r="I712" s="6"/>
      <c r="J712" s="6"/>
      <c r="K712" s="6"/>
      <c r="L712" s="6" t="s">
        <v>4561</v>
      </c>
      <c r="M712" s="6"/>
      <c r="N712" s="6" t="s">
        <v>4562</v>
      </c>
      <c r="O712" s="6" t="str">
        <f>HYPERLINK("https://ceds.ed.gov/cedselementdetails.aspx?termid=5481")</f>
        <v>https://ceds.ed.gov/cedselementdetails.aspx?termid=5481</v>
      </c>
      <c r="P712" s="6" t="str">
        <f>HYPERLINK("https://ceds.ed.gov/elementComment.aspx?elementName=Prekindergarten Daily Length &amp;elementID=5481", "Click here to submit comment")</f>
        <v>Click here to submit comment</v>
      </c>
    </row>
    <row r="713" spans="1:16" ht="75">
      <c r="A713" s="6" t="s">
        <v>6788</v>
      </c>
      <c r="B713" s="6" t="s">
        <v>6796</v>
      </c>
      <c r="C713" s="6" t="s">
        <v>6799</v>
      </c>
      <c r="D713" s="6" t="s">
        <v>3397</v>
      </c>
      <c r="E713" s="6" t="s">
        <v>3398</v>
      </c>
      <c r="F713" s="7" t="s">
        <v>6561</v>
      </c>
      <c r="G713" s="6" t="s">
        <v>2</v>
      </c>
      <c r="H713" s="6"/>
      <c r="I713" s="6"/>
      <c r="J713" s="6"/>
      <c r="K713" s="6"/>
      <c r="L713" s="6" t="s">
        <v>3400</v>
      </c>
      <c r="M713" s="6"/>
      <c r="N713" s="6" t="s">
        <v>3401</v>
      </c>
      <c r="O713" s="6" t="str">
        <f>HYPERLINK("https://ceds.ed.gov/cedselementdetails.aspx?termid=5482")</f>
        <v>https://ceds.ed.gov/cedselementdetails.aspx?termid=5482</v>
      </c>
      <c r="P713" s="6" t="str">
        <f>HYPERLINK("https://ceds.ed.gov/elementComment.aspx?elementName=Kindergarten Daily Length &amp;elementID=5482", "Click here to submit comment")</f>
        <v>Click here to submit comment</v>
      </c>
    </row>
    <row r="714" spans="1:16" ht="409.5">
      <c r="A714" s="6" t="s">
        <v>6788</v>
      </c>
      <c r="B714" s="6" t="s">
        <v>6796</v>
      </c>
      <c r="C714" s="6" t="s">
        <v>6799</v>
      </c>
      <c r="D714" s="6" t="s">
        <v>4788</v>
      </c>
      <c r="E714" s="6" t="s">
        <v>4789</v>
      </c>
      <c r="F714" s="7" t="s">
        <v>6623</v>
      </c>
      <c r="G714" s="6"/>
      <c r="H714" s="6" t="s">
        <v>66</v>
      </c>
      <c r="I714" s="6"/>
      <c r="J714" s="6" t="s">
        <v>94</v>
      </c>
      <c r="K714" s="6"/>
      <c r="L714" s="6" t="s">
        <v>4790</v>
      </c>
      <c r="M714" s="6"/>
      <c r="N714" s="6" t="s">
        <v>4791</v>
      </c>
      <c r="O714" s="6" t="str">
        <f>HYPERLINK("https://ceds.ed.gov/cedselementdetails.aspx?termid=6210")</f>
        <v>https://ceds.ed.gov/cedselementdetails.aspx?termid=6210</v>
      </c>
      <c r="P714" s="6" t="str">
        <f>HYPERLINK("https://ceds.ed.gov/elementComment.aspx?elementName=Program Gifted Eligibility Criteria &amp;elementID=6210", "Click here to submit comment")</f>
        <v>Click here to submit comment</v>
      </c>
    </row>
    <row r="715" spans="1:16" ht="75">
      <c r="A715" s="6" t="s">
        <v>6788</v>
      </c>
      <c r="B715" s="6" t="s">
        <v>6796</v>
      </c>
      <c r="C715" s="6" t="s">
        <v>6799</v>
      </c>
      <c r="D715" s="6" t="s">
        <v>4132</v>
      </c>
      <c r="E715" s="6" t="s">
        <v>4133</v>
      </c>
      <c r="F715" s="7" t="s">
        <v>6586</v>
      </c>
      <c r="G715" s="6" t="s">
        <v>218</v>
      </c>
      <c r="H715" s="6"/>
      <c r="I715" s="6"/>
      <c r="J715" s="6"/>
      <c r="K715" s="6"/>
      <c r="L715" s="6" t="s">
        <v>4134</v>
      </c>
      <c r="M715" s="6" t="s">
        <v>4135</v>
      </c>
      <c r="N715" s="6" t="s">
        <v>4136</v>
      </c>
      <c r="O715" s="6" t="str">
        <f>HYPERLINK("https://ceds.ed.gov/cedselementdetails.aspx?termid=5187")</f>
        <v>https://ceds.ed.gov/cedselementdetails.aspx?termid=5187</v>
      </c>
      <c r="P715" s="6" t="str">
        <f>HYPERLINK("https://ceds.ed.gov/elementComment.aspx?elementName=Migrant Education Program Session Type &amp;elementID=5187", "Click here to submit comment")</f>
        <v>Click here to submit comment</v>
      </c>
    </row>
    <row r="716" spans="1:16" ht="165">
      <c r="A716" s="6" t="s">
        <v>6788</v>
      </c>
      <c r="B716" s="6" t="s">
        <v>6796</v>
      </c>
      <c r="C716" s="6" t="s">
        <v>6799</v>
      </c>
      <c r="D716" s="6" t="s">
        <v>4122</v>
      </c>
      <c r="E716" s="6" t="s">
        <v>4123</v>
      </c>
      <c r="F716" s="7" t="s">
        <v>6584</v>
      </c>
      <c r="G716" s="6" t="s">
        <v>207</v>
      </c>
      <c r="H716" s="6"/>
      <c r="I716" s="6"/>
      <c r="J716" s="6"/>
      <c r="K716" s="6"/>
      <c r="L716" s="6" t="s">
        <v>4124</v>
      </c>
      <c r="M716" s="6" t="s">
        <v>4125</v>
      </c>
      <c r="N716" s="6" t="s">
        <v>4126</v>
      </c>
      <c r="O716" s="6" t="str">
        <f>HYPERLINK("https://ceds.ed.gov/cedselementdetails.aspx?termid=5453")</f>
        <v>https://ceds.ed.gov/cedselementdetails.aspx?termid=5453</v>
      </c>
      <c r="P716" s="6" t="str">
        <f>HYPERLINK("https://ceds.ed.gov/elementComment.aspx?elementName=Migrant Education Program Project Type &amp;elementID=5453", "Click here to submit comment")</f>
        <v>Click here to submit comment</v>
      </c>
    </row>
    <row r="717" spans="1:16" ht="45">
      <c r="A717" s="6" t="s">
        <v>6788</v>
      </c>
      <c r="B717" s="6" t="s">
        <v>6796</v>
      </c>
      <c r="C717" s="6" t="s">
        <v>6799</v>
      </c>
      <c r="D717" s="6" t="s">
        <v>4290</v>
      </c>
      <c r="E717" s="6" t="s">
        <v>4291</v>
      </c>
      <c r="F717" s="6" t="s">
        <v>13</v>
      </c>
      <c r="G717" s="6" t="s">
        <v>207</v>
      </c>
      <c r="H717" s="6"/>
      <c r="I717" s="6" t="s">
        <v>308</v>
      </c>
      <c r="J717" s="6"/>
      <c r="K717" s="6"/>
      <c r="L717" s="6" t="s">
        <v>4292</v>
      </c>
      <c r="M717" s="6"/>
      <c r="N717" s="6" t="s">
        <v>4293</v>
      </c>
      <c r="O717" s="6" t="str">
        <f>HYPERLINK("https://ceds.ed.gov/cedselementdetails.aspx?termid=5460")</f>
        <v>https://ceds.ed.gov/cedselementdetails.aspx?termid=5460</v>
      </c>
      <c r="P717" s="6" t="str">
        <f>HYPERLINK("https://ceds.ed.gov/elementComment.aspx?elementName=Number of Immigrant Program Subgrants &amp;elementID=5460", "Click here to submit comment")</f>
        <v>Click here to submit comment</v>
      </c>
    </row>
    <row r="718" spans="1:16" ht="90">
      <c r="A718" s="6" t="s">
        <v>6788</v>
      </c>
      <c r="B718" s="6" t="s">
        <v>6796</v>
      </c>
      <c r="C718" s="6" t="s">
        <v>6799</v>
      </c>
      <c r="D718" s="6" t="s">
        <v>4801</v>
      </c>
      <c r="E718" s="6" t="s">
        <v>4802</v>
      </c>
      <c r="F718" s="6" t="s">
        <v>5963</v>
      </c>
      <c r="G718" s="6" t="s">
        <v>207</v>
      </c>
      <c r="H718" s="6"/>
      <c r="I718" s="6"/>
      <c r="J718" s="6"/>
      <c r="K718" s="6"/>
      <c r="L718" s="6" t="s">
        <v>4803</v>
      </c>
      <c r="M718" s="6"/>
      <c r="N718" s="6" t="s">
        <v>4804</v>
      </c>
      <c r="O718" s="6" t="str">
        <f>HYPERLINK("https://ceds.ed.gov/cedselementdetails.aspx?termid=5476")</f>
        <v>https://ceds.ed.gov/cedselementdetails.aspx?termid=5476</v>
      </c>
      <c r="P718" s="6" t="str">
        <f>HYPERLINK("https://ceds.ed.gov/elementComment.aspx?elementName=Program in Multiple Purpose Facility &amp;elementID=5476", "Click here to submit comment")</f>
        <v>Click here to submit comment</v>
      </c>
    </row>
    <row r="719" spans="1:16" ht="180">
      <c r="A719" s="6" t="s">
        <v>6788</v>
      </c>
      <c r="B719" s="6" t="s">
        <v>6796</v>
      </c>
      <c r="C719" s="6" t="s">
        <v>6799</v>
      </c>
      <c r="D719" s="6" t="s">
        <v>5756</v>
      </c>
      <c r="E719" s="6" t="s">
        <v>5757</v>
      </c>
      <c r="F719" s="7" t="s">
        <v>6677</v>
      </c>
      <c r="G719" s="6" t="s">
        <v>218</v>
      </c>
      <c r="H719" s="6"/>
      <c r="I719" s="6"/>
      <c r="J719" s="6"/>
      <c r="K719" s="6"/>
      <c r="L719" s="6" t="s">
        <v>5758</v>
      </c>
      <c r="M719" s="6"/>
      <c r="N719" s="6" t="s">
        <v>5759</v>
      </c>
      <c r="O719" s="6" t="str">
        <f>HYPERLINK("https://ceds.ed.gov/cedselementdetails.aspx?termid=5282")</f>
        <v>https://ceds.ed.gov/cedselementdetails.aspx?termid=5282</v>
      </c>
      <c r="P719" s="6" t="str">
        <f>HYPERLINK("https://ceds.ed.gov/elementComment.aspx?elementName=Title I Instructional Services &amp;elementID=5282", "Click here to submit comment")</f>
        <v>Click here to submit comment</v>
      </c>
    </row>
    <row r="720" spans="1:16" ht="180">
      <c r="A720" s="6" t="s">
        <v>6788</v>
      </c>
      <c r="B720" s="6" t="s">
        <v>6796</v>
      </c>
      <c r="C720" s="6" t="s">
        <v>6799</v>
      </c>
      <c r="D720" s="6" t="s">
        <v>5764</v>
      </c>
      <c r="E720" s="6" t="s">
        <v>5765</v>
      </c>
      <c r="F720" s="7" t="s">
        <v>6679</v>
      </c>
      <c r="G720" s="6" t="s">
        <v>218</v>
      </c>
      <c r="H720" s="6"/>
      <c r="I720" s="6"/>
      <c r="J720" s="6"/>
      <c r="K720" s="6"/>
      <c r="L720" s="6" t="s">
        <v>5766</v>
      </c>
      <c r="M720" s="6"/>
      <c r="N720" s="6" t="s">
        <v>5767</v>
      </c>
      <c r="O720" s="6" t="str">
        <f>HYPERLINK("https://ceds.ed.gov/cedselementdetails.aspx?termid=5284")</f>
        <v>https://ceds.ed.gov/cedselementdetails.aspx?termid=5284</v>
      </c>
      <c r="P720" s="6" t="str">
        <f>HYPERLINK("https://ceds.ed.gov/elementComment.aspx?elementName=Title I Program Type &amp;elementID=5284", "Click here to submit comment")</f>
        <v>Click here to submit comment</v>
      </c>
    </row>
    <row r="721" spans="1:16" ht="120">
      <c r="A721" s="6" t="s">
        <v>6788</v>
      </c>
      <c r="B721" s="6" t="s">
        <v>6796</v>
      </c>
      <c r="C721" s="6" t="s">
        <v>6799</v>
      </c>
      <c r="D721" s="6" t="s">
        <v>5788</v>
      </c>
      <c r="E721" s="6" t="s">
        <v>5789</v>
      </c>
      <c r="F721" s="7" t="s">
        <v>6681</v>
      </c>
      <c r="G721" s="6" t="s">
        <v>218</v>
      </c>
      <c r="H721" s="6"/>
      <c r="I721" s="6"/>
      <c r="J721" s="6"/>
      <c r="K721" s="6"/>
      <c r="L721" s="6" t="s">
        <v>5790</v>
      </c>
      <c r="M721" s="6"/>
      <c r="N721" s="6" t="s">
        <v>5791</v>
      </c>
      <c r="O721" s="6" t="str">
        <f>HYPERLINK("https://ceds.ed.gov/cedselementdetails.aspx?termid=5289")</f>
        <v>https://ceds.ed.gov/cedselementdetails.aspx?termid=5289</v>
      </c>
      <c r="P721" s="6" t="str">
        <f>HYPERLINK("https://ceds.ed.gov/elementComment.aspx?elementName=Title I Support Services &amp;elementID=5289", "Click here to submit comment")</f>
        <v>Click here to submit comment</v>
      </c>
    </row>
    <row r="722" spans="1:16" ht="375">
      <c r="A722" s="6" t="s">
        <v>6788</v>
      </c>
      <c r="B722" s="6" t="s">
        <v>6796</v>
      </c>
      <c r="C722" s="6" t="s">
        <v>6799</v>
      </c>
      <c r="D722" s="6" t="s">
        <v>5812</v>
      </c>
      <c r="E722" s="6" t="s">
        <v>5813</v>
      </c>
      <c r="F722" s="7" t="s">
        <v>6683</v>
      </c>
      <c r="G722" s="6" t="s">
        <v>207</v>
      </c>
      <c r="H722" s="6"/>
      <c r="I722" s="6"/>
      <c r="J722" s="6"/>
      <c r="K722" s="6"/>
      <c r="L722" s="6" t="s">
        <v>5814</v>
      </c>
      <c r="M722" s="6"/>
      <c r="N722" s="6" t="s">
        <v>5815</v>
      </c>
      <c r="O722" s="6" t="str">
        <f>HYPERLINK("https://ceds.ed.gov/cedselementdetails.aspx?termid=5437")</f>
        <v>https://ceds.ed.gov/cedselementdetails.aspx?termid=5437</v>
      </c>
      <c r="P722" s="6" t="str">
        <f>HYPERLINK("https://ceds.ed.gov/elementComment.aspx?elementName=Title III Language Instruction Program Type &amp;elementID=5437", "Click here to submit comment")</f>
        <v>Click here to submit comment</v>
      </c>
    </row>
    <row r="723" spans="1:16" ht="120">
      <c r="A723" s="6" t="s">
        <v>6788</v>
      </c>
      <c r="B723" s="6" t="s">
        <v>6796</v>
      </c>
      <c r="C723" s="6" t="s">
        <v>6737</v>
      </c>
      <c r="D723" s="6" t="s">
        <v>2670</v>
      </c>
      <c r="E723" s="6" t="s">
        <v>2671</v>
      </c>
      <c r="F723" s="7" t="s">
        <v>6508</v>
      </c>
      <c r="G723" s="6"/>
      <c r="H723" s="6" t="s">
        <v>54</v>
      </c>
      <c r="I723" s="6"/>
      <c r="J723" s="6"/>
      <c r="K723" s="6"/>
      <c r="L723" s="6" t="s">
        <v>2672</v>
      </c>
      <c r="M723" s="6"/>
      <c r="N723" s="6" t="s">
        <v>2673</v>
      </c>
      <c r="O723" s="6" t="str">
        <f>HYPERLINK("https://ceds.ed.gov/cedselementdetails.aspx?termid=6312")</f>
        <v>https://ceds.ed.gov/cedselementdetails.aspx?termid=6312</v>
      </c>
      <c r="P723" s="6" t="str">
        <f>HYPERLINK("https://ceds.ed.gov/elementComment.aspx?elementName=Financial Account Category &amp;elementID=6312", "Click here to submit comment")</f>
        <v>Click here to submit comment</v>
      </c>
    </row>
    <row r="724" spans="1:16" ht="45">
      <c r="A724" s="6" t="s">
        <v>6788</v>
      </c>
      <c r="B724" s="6" t="s">
        <v>6796</v>
      </c>
      <c r="C724" s="6" t="s">
        <v>6737</v>
      </c>
      <c r="D724" s="6" t="s">
        <v>2674</v>
      </c>
      <c r="E724" s="6" t="s">
        <v>2675</v>
      </c>
      <c r="F724" s="6" t="s">
        <v>13</v>
      </c>
      <c r="G724" s="6"/>
      <c r="H724" s="6" t="s">
        <v>54</v>
      </c>
      <c r="I724" s="6" t="s">
        <v>93</v>
      </c>
      <c r="J724" s="6"/>
      <c r="K724" s="6"/>
      <c r="L724" s="6" t="s">
        <v>2676</v>
      </c>
      <c r="M724" s="6"/>
      <c r="N724" s="6" t="s">
        <v>2677</v>
      </c>
      <c r="O724" s="6" t="str">
        <f>HYPERLINK("https://ceds.ed.gov/cedselementdetails.aspx?termid=6313")</f>
        <v>https://ceds.ed.gov/cedselementdetails.aspx?termid=6313</v>
      </c>
      <c r="P724" s="6" t="str">
        <f>HYPERLINK("https://ceds.ed.gov/elementComment.aspx?elementName=Financial Account Description &amp;elementID=6313", "Click here to submit comment")</f>
        <v>Click here to submit comment</v>
      </c>
    </row>
    <row r="725" spans="1:16" ht="150">
      <c r="A725" s="6" t="s">
        <v>6788</v>
      </c>
      <c r="B725" s="6" t="s">
        <v>6796</v>
      </c>
      <c r="C725" s="6" t="s">
        <v>6737</v>
      </c>
      <c r="D725" s="6" t="s">
        <v>2678</v>
      </c>
      <c r="E725" s="6" t="s">
        <v>2679</v>
      </c>
      <c r="F725" s="7" t="s">
        <v>6509</v>
      </c>
      <c r="G725" s="6"/>
      <c r="H725" s="6" t="s">
        <v>54</v>
      </c>
      <c r="I725" s="6"/>
      <c r="J725" s="6"/>
      <c r="K725" s="6" t="s">
        <v>2680</v>
      </c>
      <c r="L725" s="6" t="s">
        <v>2681</v>
      </c>
      <c r="M725" s="6"/>
      <c r="N725" s="6" t="s">
        <v>2682</v>
      </c>
      <c r="O725" s="6" t="str">
        <f>HYPERLINK("https://ceds.ed.gov/cedselementdetails.aspx?termid=6314")</f>
        <v>https://ceds.ed.gov/cedselementdetails.aspx?termid=6314</v>
      </c>
      <c r="P725" s="6" t="str">
        <f>HYPERLINK("https://ceds.ed.gov/elementComment.aspx?elementName=Financial Account Fund Classification &amp;elementID=6314", "Click here to submit comment")</f>
        <v>Click here to submit comment</v>
      </c>
    </row>
    <row r="726" spans="1:16" ht="45">
      <c r="A726" s="6" t="s">
        <v>6788</v>
      </c>
      <c r="B726" s="6" t="s">
        <v>6796</v>
      </c>
      <c r="C726" s="6" t="s">
        <v>6737</v>
      </c>
      <c r="D726" s="6" t="s">
        <v>2683</v>
      </c>
      <c r="E726" s="6" t="s">
        <v>2684</v>
      </c>
      <c r="F726" s="6" t="s">
        <v>13</v>
      </c>
      <c r="G726" s="6"/>
      <c r="H726" s="6" t="s">
        <v>54</v>
      </c>
      <c r="I726" s="6" t="s">
        <v>745</v>
      </c>
      <c r="J726" s="6"/>
      <c r="K726" s="6"/>
      <c r="L726" s="6" t="s">
        <v>2685</v>
      </c>
      <c r="M726" s="6"/>
      <c r="N726" s="6" t="s">
        <v>2686</v>
      </c>
      <c r="O726" s="6" t="str">
        <f>HYPERLINK("https://ceds.ed.gov/cedselementdetails.aspx?termid=6315")</f>
        <v>https://ceds.ed.gov/cedselementdetails.aspx?termid=6315</v>
      </c>
      <c r="P726" s="6" t="str">
        <f>HYPERLINK("https://ceds.ed.gov/elementComment.aspx?elementName=Financial Account Name &amp;elementID=6315", "Click here to submit comment")</f>
        <v>Click here to submit comment</v>
      </c>
    </row>
    <row r="727" spans="1:16" ht="315">
      <c r="A727" s="6" t="s">
        <v>6788</v>
      </c>
      <c r="B727" s="6" t="s">
        <v>6796</v>
      </c>
      <c r="C727" s="6" t="s">
        <v>6737</v>
      </c>
      <c r="D727" s="6" t="s">
        <v>2687</v>
      </c>
      <c r="E727" s="6" t="s">
        <v>2688</v>
      </c>
      <c r="F727" s="7" t="s">
        <v>6510</v>
      </c>
      <c r="G727" s="6"/>
      <c r="H727" s="6" t="s">
        <v>54</v>
      </c>
      <c r="I727" s="6"/>
      <c r="J727" s="6"/>
      <c r="K727" s="6"/>
      <c r="L727" s="6" t="s">
        <v>2689</v>
      </c>
      <c r="M727" s="6"/>
      <c r="N727" s="6" t="s">
        <v>2690</v>
      </c>
      <c r="O727" s="6" t="str">
        <f>HYPERLINK("https://ceds.ed.gov/cedselementdetails.aspx?termid=6316")</f>
        <v>https://ceds.ed.gov/cedselementdetails.aspx?termid=6316</v>
      </c>
      <c r="P727" s="6" t="str">
        <f>HYPERLINK("https://ceds.ed.gov/elementComment.aspx?elementName=Financial Account Program Code &amp;elementID=6316", "Click here to submit comment")</f>
        <v>Click here to submit comment</v>
      </c>
    </row>
    <row r="728" spans="1:16" ht="45">
      <c r="A728" s="6" t="s">
        <v>6788</v>
      </c>
      <c r="B728" s="6" t="s">
        <v>6796</v>
      </c>
      <c r="C728" s="6" t="s">
        <v>6737</v>
      </c>
      <c r="D728" s="6" t="s">
        <v>2691</v>
      </c>
      <c r="E728" s="6" t="s">
        <v>2692</v>
      </c>
      <c r="F728" s="6" t="s">
        <v>13</v>
      </c>
      <c r="G728" s="6"/>
      <c r="H728" s="6" t="s">
        <v>54</v>
      </c>
      <c r="I728" s="6" t="s">
        <v>1461</v>
      </c>
      <c r="J728" s="6"/>
      <c r="K728" s="6"/>
      <c r="L728" s="6" t="s">
        <v>2693</v>
      </c>
      <c r="M728" s="6"/>
      <c r="N728" s="6" t="s">
        <v>2694</v>
      </c>
      <c r="O728" s="6" t="str">
        <f>HYPERLINK("https://ceds.ed.gov/cedselementdetails.aspx?termid=6317")</f>
        <v>https://ceds.ed.gov/cedselementdetails.aspx?termid=6317</v>
      </c>
      <c r="P728" s="6" t="str">
        <f>HYPERLINK("https://ceds.ed.gov/elementComment.aspx?elementName=Financial Accounting Period Actual Value &amp;elementID=6317", "Click here to submit comment")</f>
        <v>Click here to submit comment</v>
      </c>
    </row>
    <row r="729" spans="1:16" ht="45">
      <c r="A729" s="6" t="s">
        <v>6788</v>
      </c>
      <c r="B729" s="6" t="s">
        <v>6796</v>
      </c>
      <c r="C729" s="6" t="s">
        <v>6737</v>
      </c>
      <c r="D729" s="6" t="s">
        <v>2695</v>
      </c>
      <c r="E729" s="6" t="s">
        <v>2696</v>
      </c>
      <c r="F729" s="6" t="s">
        <v>13</v>
      </c>
      <c r="G729" s="6"/>
      <c r="H729" s="6" t="s">
        <v>54</v>
      </c>
      <c r="I729" s="6" t="s">
        <v>1461</v>
      </c>
      <c r="J729" s="6"/>
      <c r="K729" s="6"/>
      <c r="L729" s="6" t="s">
        <v>2697</v>
      </c>
      <c r="M729" s="6"/>
      <c r="N729" s="6" t="s">
        <v>2698</v>
      </c>
      <c r="O729" s="6" t="str">
        <f>HYPERLINK("https://ceds.ed.gov/cedselementdetails.aspx?termid=6318")</f>
        <v>https://ceds.ed.gov/cedselementdetails.aspx?termid=6318</v>
      </c>
      <c r="P729" s="6" t="str">
        <f>HYPERLINK("https://ceds.ed.gov/elementComment.aspx?elementName=Financial Accounting Period Budgeted Value &amp;elementID=6318", "Click here to submit comment")</f>
        <v>Click here to submit comment</v>
      </c>
    </row>
    <row r="730" spans="1:16" ht="409.5">
      <c r="A730" s="6" t="s">
        <v>6788</v>
      </c>
      <c r="B730" s="6" t="s">
        <v>6796</v>
      </c>
      <c r="C730" s="6" t="s">
        <v>6737</v>
      </c>
      <c r="D730" s="6" t="s">
        <v>2730</v>
      </c>
      <c r="E730" s="6" t="s">
        <v>2731</v>
      </c>
      <c r="F730" s="7" t="s">
        <v>6513</v>
      </c>
      <c r="G730" s="6"/>
      <c r="H730" s="6" t="s">
        <v>54</v>
      </c>
      <c r="I730" s="6"/>
      <c r="J730" s="6"/>
      <c r="K730" s="6" t="s">
        <v>2732</v>
      </c>
      <c r="L730" s="6" t="s">
        <v>2733</v>
      </c>
      <c r="M730" s="6"/>
      <c r="N730" s="6" t="s">
        <v>2734</v>
      </c>
      <c r="O730" s="6" t="str">
        <f>HYPERLINK("https://ceds.ed.gov/cedselementdetails.aspx?termid=6320")</f>
        <v>https://ceds.ed.gov/cedselementdetails.aspx?termid=6320</v>
      </c>
      <c r="P730" s="6" t="str">
        <f>HYPERLINK("https://ceds.ed.gov/elementComment.aspx?elementName=Financial Balance Sheet Account Code &amp;elementID=6320", "Click here to submit comment")</f>
        <v>Click here to submit comment</v>
      </c>
    </row>
    <row r="731" spans="1:16" ht="409.5">
      <c r="A731" s="6" t="s">
        <v>6788</v>
      </c>
      <c r="B731" s="6" t="s">
        <v>6796</v>
      </c>
      <c r="C731" s="6" t="s">
        <v>6737</v>
      </c>
      <c r="D731" s="6" t="s">
        <v>2735</v>
      </c>
      <c r="E731" s="6" t="s">
        <v>2736</v>
      </c>
      <c r="F731" s="7" t="s">
        <v>6514</v>
      </c>
      <c r="G731" s="6"/>
      <c r="H731" s="6" t="s">
        <v>54</v>
      </c>
      <c r="I731" s="6"/>
      <c r="J731" s="6"/>
      <c r="K731" s="6" t="s">
        <v>2732</v>
      </c>
      <c r="L731" s="6" t="s">
        <v>2737</v>
      </c>
      <c r="M731" s="6"/>
      <c r="N731" s="6" t="s">
        <v>2738</v>
      </c>
      <c r="O731" s="6" t="str">
        <f>HYPERLINK("https://ceds.ed.gov/cedselementdetails.aspx?termid=6321")</f>
        <v>https://ceds.ed.gov/cedselementdetails.aspx?termid=6321</v>
      </c>
      <c r="P731" s="6" t="str">
        <f>HYPERLINK("https://ceds.ed.gov/elementComment.aspx?elementName=Financial Expenditure Function Code &amp;elementID=6321", "Click here to submit comment")</f>
        <v>Click here to submit comment</v>
      </c>
    </row>
    <row r="732" spans="1:16" ht="409.5">
      <c r="A732" s="6" t="s">
        <v>6788</v>
      </c>
      <c r="B732" s="6" t="s">
        <v>6796</v>
      </c>
      <c r="C732" s="6" t="s">
        <v>6737</v>
      </c>
      <c r="D732" s="6" t="s">
        <v>2739</v>
      </c>
      <c r="E732" s="6" t="s">
        <v>2740</v>
      </c>
      <c r="F732" s="7" t="s">
        <v>6515</v>
      </c>
      <c r="G732" s="6"/>
      <c r="H732" s="6" t="s">
        <v>54</v>
      </c>
      <c r="I732" s="6"/>
      <c r="J732" s="6"/>
      <c r="K732" s="6" t="s">
        <v>2741</v>
      </c>
      <c r="L732" s="6" t="s">
        <v>2742</v>
      </c>
      <c r="M732" s="6"/>
      <c r="N732" s="6" t="s">
        <v>2743</v>
      </c>
      <c r="O732" s="6" t="str">
        <f>HYPERLINK("https://ceds.ed.gov/cedselementdetails.aspx?termid=6322")</f>
        <v>https://ceds.ed.gov/cedselementdetails.aspx?termid=6322</v>
      </c>
      <c r="P732" s="6" t="str">
        <f>HYPERLINK("https://ceds.ed.gov/elementComment.aspx?elementName=Financial Expenditure Object Code &amp;elementID=6322", "Click here to submit comment")</f>
        <v>Click here to submit comment</v>
      </c>
    </row>
    <row r="733" spans="1:16" ht="60">
      <c r="A733" s="6" t="s">
        <v>6788</v>
      </c>
      <c r="B733" s="6" t="s">
        <v>6796</v>
      </c>
      <c r="C733" s="6" t="s">
        <v>6795</v>
      </c>
      <c r="D733" s="6" t="s">
        <v>5707</v>
      </c>
      <c r="E733" s="6" t="s">
        <v>5708</v>
      </c>
      <c r="F733" s="6" t="s">
        <v>5963</v>
      </c>
      <c r="G733" s="6"/>
      <c r="H733" s="6" t="s">
        <v>54</v>
      </c>
      <c r="I733" s="6"/>
      <c r="J733" s="6"/>
      <c r="K733" s="6"/>
      <c r="L733" s="6" t="s">
        <v>5709</v>
      </c>
      <c r="M733" s="6"/>
      <c r="N733" s="6" t="s">
        <v>5710</v>
      </c>
      <c r="O733" s="6" t="str">
        <f>HYPERLINK("https://ceds.ed.gov/cedselementdetails.aspx?termid=6465")</f>
        <v>https://ceds.ed.gov/cedselementdetails.aspx?termid=6465</v>
      </c>
      <c r="P733" s="6" t="str">
        <f>HYPERLINK("https://ceds.ed.gov/elementComment.aspx?elementName=Technical Assistance Approved Indicator &amp;elementID=6465", "Click here to submit comment")</f>
        <v>Click here to submit comment</v>
      </c>
    </row>
    <row r="734" spans="1:16" ht="90">
      <c r="A734" s="6" t="s">
        <v>6788</v>
      </c>
      <c r="B734" s="6" t="s">
        <v>6796</v>
      </c>
      <c r="C734" s="6" t="s">
        <v>6795</v>
      </c>
      <c r="D734" s="6" t="s">
        <v>5711</v>
      </c>
      <c r="E734" s="6" t="s">
        <v>5712</v>
      </c>
      <c r="F734" s="7" t="s">
        <v>6616</v>
      </c>
      <c r="G734" s="6"/>
      <c r="H734" s="6" t="s">
        <v>54</v>
      </c>
      <c r="I734" s="6"/>
      <c r="J734" s="6"/>
      <c r="K734" s="6"/>
      <c r="L734" s="6" t="s">
        <v>5713</v>
      </c>
      <c r="M734" s="6"/>
      <c r="N734" s="6" t="s">
        <v>5714</v>
      </c>
      <c r="O734" s="6" t="str">
        <f>HYPERLINK("https://ceds.ed.gov/cedselementdetails.aspx?termid=6466")</f>
        <v>https://ceds.ed.gov/cedselementdetails.aspx?termid=6466</v>
      </c>
      <c r="P734" s="6" t="str">
        <f>HYPERLINK("https://ceds.ed.gov/elementComment.aspx?elementName=Technical Assistance Delivery Type &amp;elementID=6466", "Click here to submit comment")</f>
        <v>Click here to submit comment</v>
      </c>
    </row>
    <row r="735" spans="1:16" ht="409.5">
      <c r="A735" s="6" t="s">
        <v>6788</v>
      </c>
      <c r="B735" s="6" t="s">
        <v>6796</v>
      </c>
      <c r="C735" s="6" t="s">
        <v>6795</v>
      </c>
      <c r="D735" s="6" t="s">
        <v>5715</v>
      </c>
      <c r="E735" s="6" t="s">
        <v>5716</v>
      </c>
      <c r="F735" s="7" t="s">
        <v>6673</v>
      </c>
      <c r="G735" s="6"/>
      <c r="H735" s="6" t="s">
        <v>54</v>
      </c>
      <c r="I735" s="6"/>
      <c r="J735" s="6"/>
      <c r="K735" s="6"/>
      <c r="L735" s="6" t="s">
        <v>5717</v>
      </c>
      <c r="M735" s="6"/>
      <c r="N735" s="6" t="s">
        <v>5718</v>
      </c>
      <c r="O735" s="6" t="str">
        <f>HYPERLINK("https://ceds.ed.gov/cedselementdetails.aspx?termid=6467")</f>
        <v>https://ceds.ed.gov/cedselementdetails.aspx?termid=6467</v>
      </c>
      <c r="P735" s="6" t="str">
        <f>HYPERLINK("https://ceds.ed.gov/elementComment.aspx?elementName=Technical Assistance Type &amp;elementID=6467", "Click here to submit comment")</f>
        <v>Click here to submit comment</v>
      </c>
    </row>
    <row r="736" spans="1:16" ht="45">
      <c r="A736" s="6" t="s">
        <v>6788</v>
      </c>
      <c r="B736" s="6" t="s">
        <v>6800</v>
      </c>
      <c r="C736" s="6" t="s">
        <v>6780</v>
      </c>
      <c r="D736" s="6" t="s">
        <v>5537</v>
      </c>
      <c r="E736" s="6" t="s">
        <v>5538</v>
      </c>
      <c r="F736" s="6" t="s">
        <v>6325</v>
      </c>
      <c r="G736" s="6"/>
      <c r="H736" s="6" t="s">
        <v>54</v>
      </c>
      <c r="I736" s="6"/>
      <c r="J736" s="6"/>
      <c r="K736" s="6"/>
      <c r="L736" s="6" t="s">
        <v>5540</v>
      </c>
      <c r="M736" s="6"/>
      <c r="N736" s="6" t="s">
        <v>5541</v>
      </c>
      <c r="O736" s="6" t="str">
        <f>HYPERLINK("https://ceds.ed.gov/cedselementdetails.aspx?termid=6463")</f>
        <v>https://ceds.ed.gov/cedselementdetails.aspx?termid=6463</v>
      </c>
      <c r="P736" s="6" t="str">
        <f>HYPERLINK("https://ceds.ed.gov/elementComment.aspx?elementName=State Agency Identification System &amp;elementID=6463", "Click here to submit comment")</f>
        <v>Click here to submit comment</v>
      </c>
    </row>
    <row r="737" spans="1:16" ht="30">
      <c r="A737" s="6" t="s">
        <v>6788</v>
      </c>
      <c r="B737" s="6" t="s">
        <v>6800</v>
      </c>
      <c r="C737" s="6" t="s">
        <v>6780</v>
      </c>
      <c r="D737" s="6" t="s">
        <v>5542</v>
      </c>
      <c r="E737" s="6" t="s">
        <v>5543</v>
      </c>
      <c r="F737" s="6" t="s">
        <v>13</v>
      </c>
      <c r="G737" s="6"/>
      <c r="H737" s="6" t="s">
        <v>54</v>
      </c>
      <c r="I737" s="6" t="s">
        <v>100</v>
      </c>
      <c r="J737" s="6"/>
      <c r="K737" s="6"/>
      <c r="L737" s="6" t="s">
        <v>5544</v>
      </c>
      <c r="M737" s="6"/>
      <c r="N737" s="6" t="s">
        <v>5545</v>
      </c>
      <c r="O737" s="6" t="str">
        <f>HYPERLINK("https://ceds.ed.gov/cedselementdetails.aspx?termid=6462")</f>
        <v>https://ceds.ed.gov/cedselementdetails.aspx?termid=6462</v>
      </c>
      <c r="P737" s="6" t="str">
        <f>HYPERLINK("https://ceds.ed.gov/elementComment.aspx?elementName=State Agency Identifier &amp;elementID=6462", "Click here to submit comment")</f>
        <v>Click here to submit comment</v>
      </c>
    </row>
    <row r="738" spans="1:16" ht="45">
      <c r="A738" s="6" t="s">
        <v>6788</v>
      </c>
      <c r="B738" s="6" t="s">
        <v>6800</v>
      </c>
      <c r="C738" s="6" t="s">
        <v>6780</v>
      </c>
      <c r="D738" s="6" t="s">
        <v>4349</v>
      </c>
      <c r="E738" s="6" t="s">
        <v>4350</v>
      </c>
      <c r="F738" s="6" t="s">
        <v>13</v>
      </c>
      <c r="G738" s="6" t="s">
        <v>202</v>
      </c>
      <c r="H738" s="6" t="s">
        <v>3</v>
      </c>
      <c r="I738" s="6" t="s">
        <v>106</v>
      </c>
      <c r="J738" s="6"/>
      <c r="K738" s="6"/>
      <c r="L738" s="6" t="s">
        <v>4351</v>
      </c>
      <c r="M738" s="6"/>
      <c r="N738" s="6" t="s">
        <v>4352</v>
      </c>
      <c r="O738" s="6" t="str">
        <f>HYPERLINK("https://ceds.ed.gov/cedselementdetails.aspx?termid=5204")</f>
        <v>https://ceds.ed.gov/cedselementdetails.aspx?termid=5204</v>
      </c>
      <c r="P738" s="6" t="str">
        <f>HYPERLINK("https://ceds.ed.gov/elementComment.aspx?elementName=Organization Name &amp;elementID=5204", "Click here to submit comment")</f>
        <v>Click here to submit comment</v>
      </c>
    </row>
    <row r="739" spans="1:16" ht="409.5">
      <c r="A739" s="6" t="s">
        <v>6788</v>
      </c>
      <c r="B739" s="6" t="s">
        <v>6800</v>
      </c>
      <c r="C739" s="6" t="s">
        <v>6780</v>
      </c>
      <c r="D739" s="6" t="s">
        <v>4361</v>
      </c>
      <c r="E739" s="6" t="s">
        <v>4362</v>
      </c>
      <c r="F739" s="7" t="s">
        <v>6592</v>
      </c>
      <c r="G739" s="6"/>
      <c r="H739" s="6" t="s">
        <v>66</v>
      </c>
      <c r="I739" s="6" t="s">
        <v>149</v>
      </c>
      <c r="J739" s="6" t="s">
        <v>4363</v>
      </c>
      <c r="K739" s="6" t="s">
        <v>4364</v>
      </c>
      <c r="L739" s="6" t="s">
        <v>4365</v>
      </c>
      <c r="M739" s="6"/>
      <c r="N739" s="6" t="s">
        <v>4366</v>
      </c>
      <c r="O739" s="6" t="str">
        <f>HYPERLINK("https://ceds.ed.gov/cedselementdetails.aspx?termid=6165")</f>
        <v>https://ceds.ed.gov/cedselementdetails.aspx?termid=6165</v>
      </c>
      <c r="P739" s="6" t="str">
        <f>HYPERLINK("https://ceds.ed.gov/elementComment.aspx?elementName=Organization Type &amp;elementID=6165", "Click here to submit comment")</f>
        <v>Click here to submit comment</v>
      </c>
    </row>
    <row r="740" spans="1:16" ht="90">
      <c r="A740" s="6" t="s">
        <v>6788</v>
      </c>
      <c r="B740" s="6" t="s">
        <v>6800</v>
      </c>
      <c r="C740" s="6" t="s">
        <v>6749</v>
      </c>
      <c r="D740" s="6" t="s">
        <v>196</v>
      </c>
      <c r="E740" s="6" t="s">
        <v>197</v>
      </c>
      <c r="F740" s="7" t="s">
        <v>6354</v>
      </c>
      <c r="G740" s="6" t="s">
        <v>5968</v>
      </c>
      <c r="H740" s="6" t="s">
        <v>3</v>
      </c>
      <c r="I740" s="6" t="s">
        <v>100</v>
      </c>
      <c r="J740" s="6"/>
      <c r="K740" s="6"/>
      <c r="L740" s="6" t="s">
        <v>198</v>
      </c>
      <c r="M740" s="6"/>
      <c r="N740" s="6" t="s">
        <v>199</v>
      </c>
      <c r="O740" s="6" t="str">
        <f>HYPERLINK("https://ceds.ed.gov/cedselementdetails.aspx?termid=5644")</f>
        <v>https://ceds.ed.gov/cedselementdetails.aspx?termid=5644</v>
      </c>
      <c r="P740" s="6" t="str">
        <f>HYPERLINK("https://ceds.ed.gov/elementComment.aspx?elementName=Address Type for Organization &amp;elementID=5644", "Click here to submit comment")</f>
        <v>Click here to submit comment</v>
      </c>
    </row>
    <row r="741" spans="1:16" ht="225">
      <c r="A741" s="6" t="s">
        <v>6788</v>
      </c>
      <c r="B741" s="6" t="s">
        <v>6800</v>
      </c>
      <c r="C741" s="6" t="s">
        <v>6749</v>
      </c>
      <c r="D741" s="6" t="s">
        <v>187</v>
      </c>
      <c r="E741" s="6" t="s">
        <v>188</v>
      </c>
      <c r="F741" s="6" t="s">
        <v>13</v>
      </c>
      <c r="G741" s="6" t="s">
        <v>5973</v>
      </c>
      <c r="H741" s="6" t="s">
        <v>3</v>
      </c>
      <c r="I741" s="6" t="s">
        <v>149</v>
      </c>
      <c r="J741" s="6"/>
      <c r="K741" s="6"/>
      <c r="L741" s="6" t="s">
        <v>189</v>
      </c>
      <c r="M741" s="6"/>
      <c r="N741" s="6" t="s">
        <v>190</v>
      </c>
      <c r="O741" s="6" t="str">
        <f>HYPERLINK("https://ceds.ed.gov/cedselementdetails.aspx?termid=5269")</f>
        <v>https://ceds.ed.gov/cedselementdetails.aspx?termid=5269</v>
      </c>
      <c r="P741" s="6" t="str">
        <f>HYPERLINK("https://ceds.ed.gov/elementComment.aspx?elementName=Address Street Number and Name &amp;elementID=5269", "Click here to submit comment")</f>
        <v>Click here to submit comment</v>
      </c>
    </row>
    <row r="742" spans="1:16" ht="225">
      <c r="A742" s="6" t="s">
        <v>6788</v>
      </c>
      <c r="B742" s="6" t="s">
        <v>6800</v>
      </c>
      <c r="C742" s="6" t="s">
        <v>6749</v>
      </c>
      <c r="D742" s="6" t="s">
        <v>170</v>
      </c>
      <c r="E742" s="6" t="s">
        <v>171</v>
      </c>
      <c r="F742" s="6" t="s">
        <v>13</v>
      </c>
      <c r="G742" s="6" t="s">
        <v>5973</v>
      </c>
      <c r="H742" s="6" t="s">
        <v>3</v>
      </c>
      <c r="I742" s="6" t="s">
        <v>100</v>
      </c>
      <c r="J742" s="6"/>
      <c r="K742" s="6"/>
      <c r="L742" s="6" t="s">
        <v>172</v>
      </c>
      <c r="M742" s="6"/>
      <c r="N742" s="6" t="s">
        <v>173</v>
      </c>
      <c r="O742" s="6" t="str">
        <f>HYPERLINK("https://ceds.ed.gov/cedselementdetails.aspx?termid=5019")</f>
        <v>https://ceds.ed.gov/cedselementdetails.aspx?termid=5019</v>
      </c>
      <c r="P742" s="6" t="str">
        <f>HYPERLINK("https://ceds.ed.gov/elementComment.aspx?elementName=Address Apartment Room or Suite Number &amp;elementID=5019", "Click here to submit comment")</f>
        <v>Click here to submit comment</v>
      </c>
    </row>
    <row r="743" spans="1:16" ht="225">
      <c r="A743" s="6" t="s">
        <v>6788</v>
      </c>
      <c r="B743" s="6" t="s">
        <v>6800</v>
      </c>
      <c r="C743" s="6" t="s">
        <v>6749</v>
      </c>
      <c r="D743" s="6" t="s">
        <v>174</v>
      </c>
      <c r="E743" s="6" t="s">
        <v>175</v>
      </c>
      <c r="F743" s="6" t="s">
        <v>13</v>
      </c>
      <c r="G743" s="6" t="s">
        <v>5973</v>
      </c>
      <c r="H743" s="6" t="s">
        <v>3</v>
      </c>
      <c r="I743" s="6" t="s">
        <v>100</v>
      </c>
      <c r="J743" s="6"/>
      <c r="K743" s="6"/>
      <c r="L743" s="6" t="s">
        <v>176</v>
      </c>
      <c r="M743" s="6"/>
      <c r="N743" s="6" t="s">
        <v>177</v>
      </c>
      <c r="O743" s="6" t="str">
        <f>HYPERLINK("https://ceds.ed.gov/cedselementdetails.aspx?termid=5040")</f>
        <v>https://ceds.ed.gov/cedselementdetails.aspx?termid=5040</v>
      </c>
      <c r="P743" s="6" t="str">
        <f>HYPERLINK("https://ceds.ed.gov/elementComment.aspx?elementName=Address City &amp;elementID=5040", "Click here to submit comment")</f>
        <v>Click here to submit comment</v>
      </c>
    </row>
    <row r="744" spans="1:16" ht="409.5">
      <c r="A744" s="6" t="s">
        <v>6788</v>
      </c>
      <c r="B744" s="6" t="s">
        <v>6800</v>
      </c>
      <c r="C744" s="6" t="s">
        <v>6749</v>
      </c>
      <c r="D744" s="6" t="s">
        <v>5533</v>
      </c>
      <c r="E744" s="6" t="s">
        <v>5534</v>
      </c>
      <c r="F744" s="7" t="s">
        <v>6633</v>
      </c>
      <c r="G744" s="6" t="s">
        <v>6324</v>
      </c>
      <c r="H744" s="6" t="s">
        <v>3</v>
      </c>
      <c r="I744" s="6"/>
      <c r="J744" s="6"/>
      <c r="K744" s="6"/>
      <c r="L744" s="6" t="s">
        <v>5535</v>
      </c>
      <c r="M744" s="6"/>
      <c r="N744" s="6" t="s">
        <v>5536</v>
      </c>
      <c r="O744" s="6" t="str">
        <f>HYPERLINK("https://ceds.ed.gov/cedselementdetails.aspx?termid=5267")</f>
        <v>https://ceds.ed.gov/cedselementdetails.aspx?termid=5267</v>
      </c>
      <c r="P744" s="6" t="str">
        <f>HYPERLINK("https://ceds.ed.gov/elementComment.aspx?elementName=State Abbreviation &amp;elementID=5267", "Click here to submit comment")</f>
        <v>Click here to submit comment</v>
      </c>
    </row>
    <row r="745" spans="1:16" ht="225">
      <c r="A745" s="6" t="s">
        <v>6788</v>
      </c>
      <c r="B745" s="6" t="s">
        <v>6800</v>
      </c>
      <c r="C745" s="6" t="s">
        <v>6749</v>
      </c>
      <c r="D745" s="6" t="s">
        <v>182</v>
      </c>
      <c r="E745" s="6" t="s">
        <v>183</v>
      </c>
      <c r="F745" s="6" t="s">
        <v>13</v>
      </c>
      <c r="G745" s="6" t="s">
        <v>5973</v>
      </c>
      <c r="H745" s="6" t="s">
        <v>3</v>
      </c>
      <c r="I745" s="6" t="s">
        <v>184</v>
      </c>
      <c r="J745" s="6"/>
      <c r="K745" s="6"/>
      <c r="L745" s="6" t="s">
        <v>185</v>
      </c>
      <c r="M745" s="6"/>
      <c r="N745" s="6" t="s">
        <v>186</v>
      </c>
      <c r="O745" s="6" t="str">
        <f>HYPERLINK("https://ceds.ed.gov/cedselementdetails.aspx?termid=5214")</f>
        <v>https://ceds.ed.gov/cedselementdetails.aspx?termid=5214</v>
      </c>
      <c r="P745" s="6" t="str">
        <f>HYPERLINK("https://ceds.ed.gov/elementComment.aspx?elementName=Address Postal Code &amp;elementID=5214", "Click here to submit comment")</f>
        <v>Click here to submit comment</v>
      </c>
    </row>
    <row r="746" spans="1:16" ht="409.5">
      <c r="A746" s="6" t="s">
        <v>6788</v>
      </c>
      <c r="B746" s="6" t="s">
        <v>6800</v>
      </c>
      <c r="C746" s="6" t="s">
        <v>6749</v>
      </c>
      <c r="D746" s="6" t="s">
        <v>5546</v>
      </c>
      <c r="E746" s="6" t="s">
        <v>5547</v>
      </c>
      <c r="F746" s="7" t="s">
        <v>6663</v>
      </c>
      <c r="G746" s="6" t="s">
        <v>6326</v>
      </c>
      <c r="H746" s="6"/>
      <c r="I746" s="6"/>
      <c r="J746" s="6"/>
      <c r="K746" s="6"/>
      <c r="L746" s="6" t="s">
        <v>5549</v>
      </c>
      <c r="M746" s="6"/>
      <c r="N746" s="6" t="s">
        <v>5550</v>
      </c>
      <c r="O746" s="6" t="str">
        <f>HYPERLINK("https://ceds.ed.gov/cedselementdetails.aspx?termid=5414")</f>
        <v>https://ceds.ed.gov/cedselementdetails.aspx?termid=5414</v>
      </c>
      <c r="P746" s="6" t="str">
        <f>HYPERLINK("https://ceds.ed.gov/elementComment.aspx?elementName=State ANSI Code &amp;elementID=5414", "Click here to submit comment")</f>
        <v>Click here to submit comment</v>
      </c>
    </row>
    <row r="747" spans="1:16" ht="90">
      <c r="A747" s="6" t="s">
        <v>6788</v>
      </c>
      <c r="B747" s="6" t="s">
        <v>6800</v>
      </c>
      <c r="C747" s="6" t="s">
        <v>6801</v>
      </c>
      <c r="D747" s="6" t="s">
        <v>4507</v>
      </c>
      <c r="E747" s="6" t="s">
        <v>4508</v>
      </c>
      <c r="F747" s="6" t="s">
        <v>13</v>
      </c>
      <c r="G747" s="6" t="s">
        <v>5968</v>
      </c>
      <c r="H747" s="6" t="s">
        <v>3</v>
      </c>
      <c r="I747" s="6" t="s">
        <v>1249</v>
      </c>
      <c r="J747" s="6"/>
      <c r="K747" s="6"/>
      <c r="L747" s="6" t="s">
        <v>4509</v>
      </c>
      <c r="M747" s="6"/>
      <c r="N747" s="6" t="s">
        <v>4510</v>
      </c>
      <c r="O747" s="6" t="str">
        <f>HYPERLINK("https://ceds.ed.gov/cedselementdetails.aspx?termid=5213")</f>
        <v>https://ceds.ed.gov/cedselementdetails.aspx?termid=5213</v>
      </c>
      <c r="P747" s="6" t="str">
        <f>HYPERLINK("https://ceds.ed.gov/elementComment.aspx?elementName=Position Title &amp;elementID=5213", "Click here to submit comment")</f>
        <v>Click here to submit comment</v>
      </c>
    </row>
    <row r="748" spans="1:16" ht="90">
      <c r="A748" s="6" t="s">
        <v>6788</v>
      </c>
      <c r="B748" s="6" t="s">
        <v>6800</v>
      </c>
      <c r="C748" s="6" t="s">
        <v>6801</v>
      </c>
      <c r="D748" s="6" t="s">
        <v>4583</v>
      </c>
      <c r="E748" s="6" t="s">
        <v>4584</v>
      </c>
      <c r="F748" s="6" t="s">
        <v>5963</v>
      </c>
      <c r="G748" s="6"/>
      <c r="H748" s="6" t="s">
        <v>54</v>
      </c>
      <c r="I748" s="6"/>
      <c r="J748" s="6"/>
      <c r="K748" s="6"/>
      <c r="L748" s="6" t="s">
        <v>4585</v>
      </c>
      <c r="M748" s="6"/>
      <c r="N748" s="6" t="s">
        <v>4586</v>
      </c>
      <c r="O748" s="6" t="str">
        <f>HYPERLINK("https://ceds.ed.gov/cedselementdetails.aspx?termid=6397")</f>
        <v>https://ceds.ed.gov/cedselementdetails.aspx?termid=6397</v>
      </c>
      <c r="P748" s="6" t="str">
        <f>HYPERLINK("https://ceds.ed.gov/elementComment.aspx?elementName=Primary Contact Indicator &amp;elementID=6397", "Click here to submit comment")</f>
        <v>Click here to submit comment</v>
      </c>
    </row>
    <row r="749" spans="1:16" ht="30">
      <c r="A749" s="6" t="s">
        <v>6788</v>
      </c>
      <c r="B749" s="6" t="s">
        <v>6800</v>
      </c>
      <c r="C749" s="6" t="s">
        <v>6801</v>
      </c>
      <c r="D749" s="6" t="s">
        <v>5908</v>
      </c>
      <c r="E749" s="6" t="s">
        <v>5909</v>
      </c>
      <c r="F749" s="6" t="s">
        <v>13</v>
      </c>
      <c r="G749" s="6" t="s">
        <v>218</v>
      </c>
      <c r="H749" s="6" t="s">
        <v>3</v>
      </c>
      <c r="I749" s="6" t="s">
        <v>93</v>
      </c>
      <c r="J749" s="6"/>
      <c r="K749" s="6"/>
      <c r="L749" s="6" t="s">
        <v>5910</v>
      </c>
      <c r="M749" s="6"/>
      <c r="N749" s="6" t="s">
        <v>5911</v>
      </c>
      <c r="O749" s="6" t="str">
        <f>HYPERLINK("https://ceds.ed.gov/cedselementdetails.aspx?termid=5300")</f>
        <v>https://ceds.ed.gov/cedselementdetails.aspx?termid=5300</v>
      </c>
      <c r="P749" s="6" t="str">
        <f>HYPERLINK("https://ceds.ed.gov/elementComment.aspx?elementName=Web Site Address &amp;elementID=5300", "Click here to submit comment")</f>
        <v>Click here to submit comment</v>
      </c>
    </row>
    <row r="750" spans="1:16" ht="195">
      <c r="A750" s="6" t="s">
        <v>6788</v>
      </c>
      <c r="B750" s="6" t="s">
        <v>6800</v>
      </c>
      <c r="C750" s="6" t="s">
        <v>6802</v>
      </c>
      <c r="D750" s="6" t="s">
        <v>2776</v>
      </c>
      <c r="E750" s="6" t="s">
        <v>2777</v>
      </c>
      <c r="F750" s="6" t="s">
        <v>13</v>
      </c>
      <c r="G750" s="6" t="s">
        <v>6176</v>
      </c>
      <c r="H750" s="6" t="s">
        <v>3</v>
      </c>
      <c r="I750" s="6" t="s">
        <v>1368</v>
      </c>
      <c r="J750" s="6"/>
      <c r="K750" s="6" t="s">
        <v>2778</v>
      </c>
      <c r="L750" s="6" t="s">
        <v>2779</v>
      </c>
      <c r="M750" s="6"/>
      <c r="N750" s="6" t="s">
        <v>2780</v>
      </c>
      <c r="O750" s="6" t="str">
        <f>HYPERLINK("https://ceds.ed.gov/cedselementdetails.aspx?termid=5115")</f>
        <v>https://ceds.ed.gov/cedselementdetails.aspx?termid=5115</v>
      </c>
      <c r="P750" s="6" t="str">
        <f>HYPERLINK("https://ceds.ed.gov/elementComment.aspx?elementName=First Name &amp;elementID=5115", "Click here to submit comment")</f>
        <v>Click here to submit comment</v>
      </c>
    </row>
    <row r="751" spans="1:16" ht="195">
      <c r="A751" s="6" t="s">
        <v>6788</v>
      </c>
      <c r="B751" s="6" t="s">
        <v>6800</v>
      </c>
      <c r="C751" s="6" t="s">
        <v>6802</v>
      </c>
      <c r="D751" s="6" t="s">
        <v>4088</v>
      </c>
      <c r="E751" s="6" t="s">
        <v>4089</v>
      </c>
      <c r="F751" s="6" t="s">
        <v>13</v>
      </c>
      <c r="G751" s="6" t="s">
        <v>6176</v>
      </c>
      <c r="H751" s="6" t="s">
        <v>3</v>
      </c>
      <c r="I751" s="6" t="s">
        <v>1368</v>
      </c>
      <c r="J751" s="6"/>
      <c r="K751" s="6" t="s">
        <v>2778</v>
      </c>
      <c r="L751" s="6" t="s">
        <v>4090</v>
      </c>
      <c r="M751" s="6"/>
      <c r="N751" s="6" t="s">
        <v>4091</v>
      </c>
      <c r="O751" s="6" t="str">
        <f>HYPERLINK("https://ceds.ed.gov/cedselementdetails.aspx?termid=5184")</f>
        <v>https://ceds.ed.gov/cedselementdetails.aspx?termid=5184</v>
      </c>
      <c r="P751" s="6" t="str">
        <f>HYPERLINK("https://ceds.ed.gov/elementComment.aspx?elementName=Middle Name &amp;elementID=5184", "Click here to submit comment")</f>
        <v>Click here to submit comment</v>
      </c>
    </row>
    <row r="752" spans="1:16" ht="195">
      <c r="A752" s="6" t="s">
        <v>6788</v>
      </c>
      <c r="B752" s="6" t="s">
        <v>6800</v>
      </c>
      <c r="C752" s="6" t="s">
        <v>6802</v>
      </c>
      <c r="D752" s="6" t="s">
        <v>3427</v>
      </c>
      <c r="E752" s="6" t="s">
        <v>3428</v>
      </c>
      <c r="F752" s="6" t="s">
        <v>13</v>
      </c>
      <c r="G752" s="6" t="s">
        <v>6176</v>
      </c>
      <c r="H752" s="6" t="s">
        <v>3</v>
      </c>
      <c r="I752" s="6" t="s">
        <v>1368</v>
      </c>
      <c r="J752" s="6"/>
      <c r="K752" s="6" t="s">
        <v>2778</v>
      </c>
      <c r="L752" s="6" t="s">
        <v>3429</v>
      </c>
      <c r="M752" s="6" t="s">
        <v>3430</v>
      </c>
      <c r="N752" s="6" t="s">
        <v>3431</v>
      </c>
      <c r="O752" s="6" t="str">
        <f>HYPERLINK("https://ceds.ed.gov/cedselementdetails.aspx?termid=5172")</f>
        <v>https://ceds.ed.gov/cedselementdetails.aspx?termid=5172</v>
      </c>
      <c r="P752" s="6" t="str">
        <f>HYPERLINK("https://ceds.ed.gov/elementComment.aspx?elementName=Last or Surname &amp;elementID=5172", "Click here to submit comment")</f>
        <v>Click here to submit comment</v>
      </c>
    </row>
    <row r="753" spans="1:16" ht="150">
      <c r="A753" s="6" t="s">
        <v>6788</v>
      </c>
      <c r="B753" s="6" t="s">
        <v>6800</v>
      </c>
      <c r="C753" s="6" t="s">
        <v>6802</v>
      </c>
      <c r="D753" s="6" t="s">
        <v>2829</v>
      </c>
      <c r="E753" s="6" t="s">
        <v>2830</v>
      </c>
      <c r="F753" s="6" t="s">
        <v>13</v>
      </c>
      <c r="G753" s="6" t="s">
        <v>6179</v>
      </c>
      <c r="H753" s="6" t="s">
        <v>3</v>
      </c>
      <c r="I753" s="6" t="s">
        <v>2031</v>
      </c>
      <c r="J753" s="6"/>
      <c r="K753" s="6" t="s">
        <v>2778</v>
      </c>
      <c r="L753" s="6" t="s">
        <v>2831</v>
      </c>
      <c r="M753" s="6"/>
      <c r="N753" s="6" t="s">
        <v>2832</v>
      </c>
      <c r="O753" s="6" t="str">
        <f>HYPERLINK("https://ceds.ed.gov/cedselementdetails.aspx?termid=5121")</f>
        <v>https://ceds.ed.gov/cedselementdetails.aspx?termid=5121</v>
      </c>
      <c r="P753" s="6" t="str">
        <f>HYPERLINK("https://ceds.ed.gov/elementComment.aspx?elementName=Generation Code or Suffix &amp;elementID=5121", "Click here to submit comment")</f>
        <v>Click here to submit comment</v>
      </c>
    </row>
    <row r="754" spans="1:16" ht="105">
      <c r="A754" s="6" t="s">
        <v>6788</v>
      </c>
      <c r="B754" s="6" t="s">
        <v>6800</v>
      </c>
      <c r="C754" s="6" t="s">
        <v>6802</v>
      </c>
      <c r="D754" s="6" t="s">
        <v>4498</v>
      </c>
      <c r="E754" s="6" t="s">
        <v>4499</v>
      </c>
      <c r="F754" s="6" t="s">
        <v>13</v>
      </c>
      <c r="G754" s="6" t="s">
        <v>6280</v>
      </c>
      <c r="H754" s="6" t="s">
        <v>3</v>
      </c>
      <c r="I754" s="6" t="s">
        <v>100</v>
      </c>
      <c r="J754" s="6"/>
      <c r="K754" s="6"/>
      <c r="L754" s="6" t="s">
        <v>4500</v>
      </c>
      <c r="M754" s="6" t="s">
        <v>4501</v>
      </c>
      <c r="N754" s="6" t="s">
        <v>4502</v>
      </c>
      <c r="O754" s="6" t="str">
        <f>HYPERLINK("https://ceds.ed.gov/cedselementdetails.aspx?termid=5212")</f>
        <v>https://ceds.ed.gov/cedselementdetails.aspx?termid=5212</v>
      </c>
      <c r="P754" s="6" t="str">
        <f>HYPERLINK("https://ceds.ed.gov/elementComment.aspx?elementName=Personal Title or Prefix &amp;elementID=5212", "Click here to submit comment")</f>
        <v>Click here to submit comment</v>
      </c>
    </row>
    <row r="755" spans="1:16" ht="150">
      <c r="A755" s="6" t="s">
        <v>6788</v>
      </c>
      <c r="B755" s="6" t="s">
        <v>6800</v>
      </c>
      <c r="C755" s="6" t="s">
        <v>6720</v>
      </c>
      <c r="D755" s="6" t="s">
        <v>200</v>
      </c>
      <c r="E755" s="6" t="s">
        <v>201</v>
      </c>
      <c r="F755" s="7" t="s">
        <v>6355</v>
      </c>
      <c r="G755" s="6" t="s">
        <v>202</v>
      </c>
      <c r="H755" s="6" t="s">
        <v>3</v>
      </c>
      <c r="I755" s="6" t="s">
        <v>100</v>
      </c>
      <c r="J755" s="6"/>
      <c r="K755" s="6"/>
      <c r="L755" s="6" t="s">
        <v>203</v>
      </c>
      <c r="M755" s="6"/>
      <c r="N755" s="6" t="s">
        <v>204</v>
      </c>
      <c r="O755" s="6" t="str">
        <f>HYPERLINK("https://ceds.ed.gov/cedselementdetails.aspx?termid=5698")</f>
        <v>https://ceds.ed.gov/cedselementdetails.aspx?termid=5698</v>
      </c>
      <c r="P755" s="6" t="str">
        <f>HYPERLINK("https://ceds.ed.gov/elementComment.aspx?elementName=Address Type for Staff &amp;elementID=5698", "Click here to submit comment")</f>
        <v>Click here to submit comment</v>
      </c>
    </row>
    <row r="756" spans="1:16" ht="225">
      <c r="A756" s="6" t="s">
        <v>6788</v>
      </c>
      <c r="B756" s="6" t="s">
        <v>6800</v>
      </c>
      <c r="C756" s="6" t="s">
        <v>6720</v>
      </c>
      <c r="D756" s="6" t="s">
        <v>187</v>
      </c>
      <c r="E756" s="6" t="s">
        <v>188</v>
      </c>
      <c r="F756" s="6" t="s">
        <v>13</v>
      </c>
      <c r="G756" s="6" t="s">
        <v>5973</v>
      </c>
      <c r="H756" s="6" t="s">
        <v>3</v>
      </c>
      <c r="I756" s="6" t="s">
        <v>149</v>
      </c>
      <c r="J756" s="6"/>
      <c r="K756" s="6"/>
      <c r="L756" s="6" t="s">
        <v>189</v>
      </c>
      <c r="M756" s="6"/>
      <c r="N756" s="6" t="s">
        <v>190</v>
      </c>
      <c r="O756" s="6" t="str">
        <f>HYPERLINK("https://ceds.ed.gov/cedselementdetails.aspx?termid=5269")</f>
        <v>https://ceds.ed.gov/cedselementdetails.aspx?termid=5269</v>
      </c>
      <c r="P756" s="6" t="str">
        <f>HYPERLINK("https://ceds.ed.gov/elementComment.aspx?elementName=Address Street Number and Name &amp;elementID=5269", "Click here to submit comment")</f>
        <v>Click here to submit comment</v>
      </c>
    </row>
    <row r="757" spans="1:16" ht="225">
      <c r="A757" s="6" t="s">
        <v>6788</v>
      </c>
      <c r="B757" s="6" t="s">
        <v>6800</v>
      </c>
      <c r="C757" s="6" t="s">
        <v>6720</v>
      </c>
      <c r="D757" s="6" t="s">
        <v>170</v>
      </c>
      <c r="E757" s="6" t="s">
        <v>171</v>
      </c>
      <c r="F757" s="6" t="s">
        <v>13</v>
      </c>
      <c r="G757" s="6" t="s">
        <v>5973</v>
      </c>
      <c r="H757" s="6" t="s">
        <v>3</v>
      </c>
      <c r="I757" s="6" t="s">
        <v>100</v>
      </c>
      <c r="J757" s="6"/>
      <c r="K757" s="6"/>
      <c r="L757" s="6" t="s">
        <v>172</v>
      </c>
      <c r="M757" s="6"/>
      <c r="N757" s="6" t="s">
        <v>173</v>
      </c>
      <c r="O757" s="6" t="str">
        <f>HYPERLINK("https://ceds.ed.gov/cedselementdetails.aspx?termid=5019")</f>
        <v>https://ceds.ed.gov/cedselementdetails.aspx?termid=5019</v>
      </c>
      <c r="P757" s="6" t="str">
        <f>HYPERLINK("https://ceds.ed.gov/elementComment.aspx?elementName=Address Apartment Room or Suite Number &amp;elementID=5019", "Click here to submit comment")</f>
        <v>Click here to submit comment</v>
      </c>
    </row>
    <row r="758" spans="1:16" ht="225">
      <c r="A758" s="6" t="s">
        <v>6788</v>
      </c>
      <c r="B758" s="6" t="s">
        <v>6800</v>
      </c>
      <c r="C758" s="6" t="s">
        <v>6720</v>
      </c>
      <c r="D758" s="6" t="s">
        <v>174</v>
      </c>
      <c r="E758" s="6" t="s">
        <v>175</v>
      </c>
      <c r="F758" s="6" t="s">
        <v>13</v>
      </c>
      <c r="G758" s="6" t="s">
        <v>5973</v>
      </c>
      <c r="H758" s="6" t="s">
        <v>3</v>
      </c>
      <c r="I758" s="6" t="s">
        <v>100</v>
      </c>
      <c r="J758" s="6"/>
      <c r="K758" s="6"/>
      <c r="L758" s="6" t="s">
        <v>176</v>
      </c>
      <c r="M758" s="6"/>
      <c r="N758" s="6" t="s">
        <v>177</v>
      </c>
      <c r="O758" s="6" t="str">
        <f>HYPERLINK("https://ceds.ed.gov/cedselementdetails.aspx?termid=5040")</f>
        <v>https://ceds.ed.gov/cedselementdetails.aspx?termid=5040</v>
      </c>
      <c r="P758" s="6" t="str">
        <f>HYPERLINK("https://ceds.ed.gov/elementComment.aspx?elementName=Address City &amp;elementID=5040", "Click here to submit comment")</f>
        <v>Click here to submit comment</v>
      </c>
    </row>
    <row r="759" spans="1:16" ht="409.5">
      <c r="A759" s="6" t="s">
        <v>6788</v>
      </c>
      <c r="B759" s="6" t="s">
        <v>6800</v>
      </c>
      <c r="C759" s="6" t="s">
        <v>6720</v>
      </c>
      <c r="D759" s="6" t="s">
        <v>5533</v>
      </c>
      <c r="E759" s="6" t="s">
        <v>5534</v>
      </c>
      <c r="F759" s="7" t="s">
        <v>6633</v>
      </c>
      <c r="G759" s="6" t="s">
        <v>6324</v>
      </c>
      <c r="H759" s="6" t="s">
        <v>3</v>
      </c>
      <c r="I759" s="6"/>
      <c r="J759" s="6"/>
      <c r="K759" s="6"/>
      <c r="L759" s="6" t="s">
        <v>5535</v>
      </c>
      <c r="M759" s="6"/>
      <c r="N759" s="6" t="s">
        <v>5536</v>
      </c>
      <c r="O759" s="6" t="str">
        <f>HYPERLINK("https://ceds.ed.gov/cedselementdetails.aspx?termid=5267")</f>
        <v>https://ceds.ed.gov/cedselementdetails.aspx?termid=5267</v>
      </c>
      <c r="P759" s="6" t="str">
        <f>HYPERLINK("https://ceds.ed.gov/elementComment.aspx?elementName=State Abbreviation &amp;elementID=5267", "Click here to submit comment")</f>
        <v>Click here to submit comment</v>
      </c>
    </row>
    <row r="760" spans="1:16" ht="225">
      <c r="A760" s="6" t="s">
        <v>6788</v>
      </c>
      <c r="B760" s="6" t="s">
        <v>6800</v>
      </c>
      <c r="C760" s="6" t="s">
        <v>6720</v>
      </c>
      <c r="D760" s="6" t="s">
        <v>182</v>
      </c>
      <c r="E760" s="6" t="s">
        <v>183</v>
      </c>
      <c r="F760" s="6" t="s">
        <v>13</v>
      </c>
      <c r="G760" s="6" t="s">
        <v>5973</v>
      </c>
      <c r="H760" s="6" t="s">
        <v>3</v>
      </c>
      <c r="I760" s="6" t="s">
        <v>184</v>
      </c>
      <c r="J760" s="6"/>
      <c r="K760" s="6"/>
      <c r="L760" s="6" t="s">
        <v>185</v>
      </c>
      <c r="M760" s="6"/>
      <c r="N760" s="6" t="s">
        <v>186</v>
      </c>
      <c r="O760" s="6" t="str">
        <f>HYPERLINK("https://ceds.ed.gov/cedselementdetails.aspx?termid=5214")</f>
        <v>https://ceds.ed.gov/cedselementdetails.aspx?termid=5214</v>
      </c>
      <c r="P760" s="6" t="str">
        <f>HYPERLINK("https://ceds.ed.gov/elementComment.aspx?elementName=Address Postal Code &amp;elementID=5214", "Click here to submit comment")</f>
        <v>Click here to submit comment</v>
      </c>
    </row>
    <row r="761" spans="1:16" ht="225">
      <c r="A761" s="6" t="s">
        <v>6788</v>
      </c>
      <c r="B761" s="6" t="s">
        <v>6800</v>
      </c>
      <c r="C761" s="6" t="s">
        <v>6720</v>
      </c>
      <c r="D761" s="6" t="s">
        <v>178</v>
      </c>
      <c r="E761" s="6" t="s">
        <v>179</v>
      </c>
      <c r="F761" s="6" t="s">
        <v>13</v>
      </c>
      <c r="G761" s="6" t="s">
        <v>5973</v>
      </c>
      <c r="H761" s="6" t="s">
        <v>3</v>
      </c>
      <c r="I761" s="6" t="s">
        <v>100</v>
      </c>
      <c r="J761" s="6"/>
      <c r="K761" s="6"/>
      <c r="L761" s="6" t="s">
        <v>180</v>
      </c>
      <c r="M761" s="6"/>
      <c r="N761" s="6" t="s">
        <v>181</v>
      </c>
      <c r="O761" s="6" t="str">
        <f>HYPERLINK("https://ceds.ed.gov/cedselementdetails.aspx?termid=5190")</f>
        <v>https://ceds.ed.gov/cedselementdetails.aspx?termid=5190</v>
      </c>
      <c r="P761" s="6" t="str">
        <f>HYPERLINK("https://ceds.ed.gov/elementComment.aspx?elementName=Address County Name &amp;elementID=5190", "Click here to submit comment")</f>
        <v>Click here to submit comment</v>
      </c>
    </row>
    <row r="762" spans="1:16" ht="409.5">
      <c r="A762" s="6" t="s">
        <v>6788</v>
      </c>
      <c r="B762" s="6" t="s">
        <v>6800</v>
      </c>
      <c r="C762" s="6" t="s">
        <v>6720</v>
      </c>
      <c r="D762" s="6" t="s">
        <v>1809</v>
      </c>
      <c r="E762" s="6" t="s">
        <v>1810</v>
      </c>
      <c r="F762" s="7" t="s">
        <v>6433</v>
      </c>
      <c r="G762" s="6" t="s">
        <v>6107</v>
      </c>
      <c r="H762" s="6" t="s">
        <v>3</v>
      </c>
      <c r="I762" s="6"/>
      <c r="J762" s="6"/>
      <c r="K762" s="6"/>
      <c r="L762" s="6" t="s">
        <v>1811</v>
      </c>
      <c r="M762" s="6"/>
      <c r="N762" s="6" t="s">
        <v>1812</v>
      </c>
      <c r="O762" s="6" t="str">
        <f>HYPERLINK("https://ceds.ed.gov/cedselementdetails.aspx?termid=5050")</f>
        <v>https://ceds.ed.gov/cedselementdetails.aspx?termid=5050</v>
      </c>
      <c r="P762" s="6" t="str">
        <f>HYPERLINK("https://ceds.ed.gov/elementComment.aspx?elementName=Country Code &amp;elementID=5050", "Click here to submit comment")</f>
        <v>Click here to submit comment</v>
      </c>
    </row>
    <row r="763" spans="1:16" ht="90">
      <c r="A763" s="6" t="s">
        <v>6788</v>
      </c>
      <c r="B763" s="6" t="s">
        <v>6800</v>
      </c>
      <c r="C763" s="6" t="s">
        <v>6742</v>
      </c>
      <c r="D763" s="6" t="s">
        <v>2451</v>
      </c>
      <c r="E763" s="6" t="s">
        <v>2452</v>
      </c>
      <c r="F763" s="6" t="s">
        <v>13</v>
      </c>
      <c r="G763" s="6" t="s">
        <v>5968</v>
      </c>
      <c r="H763" s="6" t="s">
        <v>3</v>
      </c>
      <c r="I763" s="6" t="s">
        <v>2453</v>
      </c>
      <c r="J763" s="6"/>
      <c r="K763" s="6"/>
      <c r="L763" s="6" t="s">
        <v>2454</v>
      </c>
      <c r="M763" s="6" t="s">
        <v>2455</v>
      </c>
      <c r="N763" s="6" t="s">
        <v>2456</v>
      </c>
      <c r="O763" s="6" t="str">
        <f>HYPERLINK("https://ceds.ed.gov/cedselementdetails.aspx?termid=5088")</f>
        <v>https://ceds.ed.gov/cedselementdetails.aspx?termid=5088</v>
      </c>
      <c r="P763" s="6" t="str">
        <f>HYPERLINK("https://ceds.ed.gov/elementComment.aspx?elementName=Electronic Mail Address &amp;elementID=5088", "Click here to submit comment")</f>
        <v>Click here to submit comment</v>
      </c>
    </row>
    <row r="764" spans="1:16" ht="105">
      <c r="A764" s="6" t="s">
        <v>6788</v>
      </c>
      <c r="B764" s="6" t="s">
        <v>6800</v>
      </c>
      <c r="C764" s="6" t="s">
        <v>6742</v>
      </c>
      <c r="D764" s="6" t="s">
        <v>2457</v>
      </c>
      <c r="E764" s="6" t="s">
        <v>2458</v>
      </c>
      <c r="F764" s="7" t="s">
        <v>6489</v>
      </c>
      <c r="G764" s="6" t="s">
        <v>5968</v>
      </c>
      <c r="H764" s="6" t="s">
        <v>3</v>
      </c>
      <c r="I764" s="6"/>
      <c r="J764" s="6"/>
      <c r="K764" s="6"/>
      <c r="L764" s="6" t="s">
        <v>2459</v>
      </c>
      <c r="M764" s="6" t="s">
        <v>2460</v>
      </c>
      <c r="N764" s="6" t="s">
        <v>2461</v>
      </c>
      <c r="O764" s="6" t="str">
        <f>HYPERLINK("https://ceds.ed.gov/cedselementdetails.aspx?termid=5089")</f>
        <v>https://ceds.ed.gov/cedselementdetails.aspx?termid=5089</v>
      </c>
      <c r="P764" s="6" t="str">
        <f>HYPERLINK("https://ceds.ed.gov/elementComment.aspx?elementName=Electronic Mail Address Type &amp;elementID=5089", "Click here to submit comment")</f>
        <v>Click here to submit comment</v>
      </c>
    </row>
    <row r="765" spans="1:16" ht="30">
      <c r="A765" s="6" t="s">
        <v>6788</v>
      </c>
      <c r="B765" s="6" t="s">
        <v>6800</v>
      </c>
      <c r="C765" s="6" t="s">
        <v>6803</v>
      </c>
      <c r="D765" s="6" t="s">
        <v>4375</v>
      </c>
      <c r="E765" s="6" t="s">
        <v>4376</v>
      </c>
      <c r="F765" s="6" t="s">
        <v>13</v>
      </c>
      <c r="G765" s="6"/>
      <c r="H765" s="6" t="s">
        <v>54</v>
      </c>
      <c r="I765" s="6" t="s">
        <v>1368</v>
      </c>
      <c r="J765" s="6"/>
      <c r="K765" s="6" t="s">
        <v>4377</v>
      </c>
      <c r="L765" s="6" t="s">
        <v>4378</v>
      </c>
      <c r="M765" s="6"/>
      <c r="N765" s="6" t="s">
        <v>4379</v>
      </c>
      <c r="O765" s="6" t="str">
        <f>HYPERLINK("https://ceds.ed.gov/cedselementdetails.aspx?termid=6486")</f>
        <v>https://ceds.ed.gov/cedselementdetails.aspx?termid=6486</v>
      </c>
      <c r="P765" s="6" t="str">
        <f>HYPERLINK("https://ceds.ed.gov/elementComment.aspx?elementName=Other First Name &amp;elementID=6486", "Click here to submit comment")</f>
        <v>Click here to submit comment</v>
      </c>
    </row>
    <row r="766" spans="1:16" ht="30">
      <c r="A766" s="6" t="s">
        <v>6788</v>
      </c>
      <c r="B766" s="6" t="s">
        <v>6800</v>
      </c>
      <c r="C766" s="6" t="s">
        <v>6803</v>
      </c>
      <c r="D766" s="6" t="s">
        <v>4380</v>
      </c>
      <c r="E766" s="6" t="s">
        <v>4381</v>
      </c>
      <c r="F766" s="6" t="s">
        <v>13</v>
      </c>
      <c r="G766" s="6"/>
      <c r="H766" s="6" t="s">
        <v>54</v>
      </c>
      <c r="I766" s="6" t="s">
        <v>1368</v>
      </c>
      <c r="J766" s="6"/>
      <c r="K766" s="6" t="s">
        <v>4382</v>
      </c>
      <c r="L766" s="6" t="s">
        <v>4383</v>
      </c>
      <c r="M766" s="6"/>
      <c r="N766" s="6" t="s">
        <v>4384</v>
      </c>
      <c r="O766" s="6" t="str">
        <f>HYPERLINK("https://ceds.ed.gov/cedselementdetails.aspx?termid=6485")</f>
        <v>https://ceds.ed.gov/cedselementdetails.aspx?termid=6485</v>
      </c>
      <c r="P766" s="6" t="str">
        <f>HYPERLINK("https://ceds.ed.gov/elementComment.aspx?elementName=Other Last Name &amp;elementID=6485", "Click here to submit comment")</f>
        <v>Click here to submit comment</v>
      </c>
    </row>
    <row r="767" spans="1:16" ht="30">
      <c r="A767" s="6" t="s">
        <v>6788</v>
      </c>
      <c r="B767" s="6" t="s">
        <v>6800</v>
      </c>
      <c r="C767" s="6" t="s">
        <v>6803</v>
      </c>
      <c r="D767" s="6" t="s">
        <v>4385</v>
      </c>
      <c r="E767" s="6" t="s">
        <v>4386</v>
      </c>
      <c r="F767" s="6" t="s">
        <v>13</v>
      </c>
      <c r="G767" s="6"/>
      <c r="H767" s="6" t="s">
        <v>54</v>
      </c>
      <c r="I767" s="6" t="s">
        <v>1368</v>
      </c>
      <c r="J767" s="6"/>
      <c r="K767" s="6" t="s">
        <v>4387</v>
      </c>
      <c r="L767" s="6" t="s">
        <v>4388</v>
      </c>
      <c r="M767" s="6"/>
      <c r="N767" s="6" t="s">
        <v>4389</v>
      </c>
      <c r="O767" s="6" t="str">
        <f>HYPERLINK("https://ceds.ed.gov/cedselementdetails.aspx?termid=6487")</f>
        <v>https://ceds.ed.gov/cedselementdetails.aspx?termid=6487</v>
      </c>
      <c r="P767" s="6" t="str">
        <f>HYPERLINK("https://ceds.ed.gov/elementComment.aspx?elementName=Other Middle Name &amp;elementID=6487", "Click here to submit comment")</f>
        <v>Click here to submit comment</v>
      </c>
    </row>
    <row r="768" spans="1:16" ht="150">
      <c r="A768" s="6" t="s">
        <v>6788</v>
      </c>
      <c r="B768" s="6" t="s">
        <v>6800</v>
      </c>
      <c r="C768" s="6" t="s">
        <v>6803</v>
      </c>
      <c r="D768" s="6" t="s">
        <v>4390</v>
      </c>
      <c r="E768" s="6" t="s">
        <v>4391</v>
      </c>
      <c r="F768" s="6" t="s">
        <v>13</v>
      </c>
      <c r="G768" s="6" t="s">
        <v>6179</v>
      </c>
      <c r="H768" s="6" t="s">
        <v>3</v>
      </c>
      <c r="I768" s="6" t="s">
        <v>149</v>
      </c>
      <c r="J768" s="6"/>
      <c r="K768" s="6"/>
      <c r="L768" s="6" t="s">
        <v>4392</v>
      </c>
      <c r="M768" s="6"/>
      <c r="N768" s="6" t="s">
        <v>4393</v>
      </c>
      <c r="O768" s="6" t="str">
        <f>HYPERLINK("https://ceds.ed.gov/cedselementdetails.aspx?termid=5206")</f>
        <v>https://ceds.ed.gov/cedselementdetails.aspx?termid=5206</v>
      </c>
      <c r="P768" s="6" t="str">
        <f>HYPERLINK("https://ceds.ed.gov/elementComment.aspx?elementName=Other Name &amp;elementID=5206", "Click here to submit comment")</f>
        <v>Click here to submit comment</v>
      </c>
    </row>
    <row r="769" spans="1:16" ht="90">
      <c r="A769" s="6" t="s">
        <v>6788</v>
      </c>
      <c r="B769" s="6" t="s">
        <v>6800</v>
      </c>
      <c r="C769" s="6" t="s">
        <v>6803</v>
      </c>
      <c r="D769" s="6" t="s">
        <v>4394</v>
      </c>
      <c r="E769" s="6" t="s">
        <v>4395</v>
      </c>
      <c r="F769" s="7" t="s">
        <v>6593</v>
      </c>
      <c r="G769" s="6" t="s">
        <v>6273</v>
      </c>
      <c r="H769" s="6" t="s">
        <v>3</v>
      </c>
      <c r="I769" s="6" t="s">
        <v>100</v>
      </c>
      <c r="J769" s="6"/>
      <c r="K769" s="6"/>
      <c r="L769" s="6" t="s">
        <v>4396</v>
      </c>
      <c r="M769" s="6"/>
      <c r="N769" s="6" t="s">
        <v>4397</v>
      </c>
      <c r="O769" s="6" t="str">
        <f>HYPERLINK("https://ceds.ed.gov/cedselementdetails.aspx?termid=5627")</f>
        <v>https://ceds.ed.gov/cedselementdetails.aspx?termid=5627</v>
      </c>
      <c r="P769" s="6" t="str">
        <f>HYPERLINK("https://ceds.ed.gov/elementComment.aspx?elementName=Other Name Type &amp;elementID=5627", "Click here to submit comment")</f>
        <v>Click here to submit comment</v>
      </c>
    </row>
    <row r="770" spans="1:16" ht="90">
      <c r="A770" s="6" t="s">
        <v>6788</v>
      </c>
      <c r="B770" s="6" t="s">
        <v>6800</v>
      </c>
      <c r="C770" s="6" t="s">
        <v>6721</v>
      </c>
      <c r="D770" s="6" t="s">
        <v>5727</v>
      </c>
      <c r="E770" s="6" t="s">
        <v>5728</v>
      </c>
      <c r="F770" s="6" t="s">
        <v>13</v>
      </c>
      <c r="G770" s="6" t="s">
        <v>5968</v>
      </c>
      <c r="H770" s="6" t="s">
        <v>3</v>
      </c>
      <c r="I770" s="6" t="s">
        <v>5729</v>
      </c>
      <c r="J770" s="6"/>
      <c r="K770" s="6"/>
      <c r="L770" s="6" t="s">
        <v>5730</v>
      </c>
      <c r="M770" s="6"/>
      <c r="N770" s="6" t="s">
        <v>5731</v>
      </c>
      <c r="O770" s="6" t="str">
        <f>HYPERLINK("https://ceds.ed.gov/cedselementdetails.aspx?termid=5279")</f>
        <v>https://ceds.ed.gov/cedselementdetails.aspx?termid=5279</v>
      </c>
      <c r="P770" s="6" t="str">
        <f>HYPERLINK("https://ceds.ed.gov/elementComment.aspx?elementName=Telephone Number &amp;elementID=5279", "Click here to submit comment")</f>
        <v>Click here to submit comment</v>
      </c>
    </row>
    <row r="771" spans="1:16" ht="135">
      <c r="A771" s="6" t="s">
        <v>6788</v>
      </c>
      <c r="B771" s="6" t="s">
        <v>6800</v>
      </c>
      <c r="C771" s="6" t="s">
        <v>6721</v>
      </c>
      <c r="D771" s="6" t="s">
        <v>5732</v>
      </c>
      <c r="E771" s="6" t="s">
        <v>5733</v>
      </c>
      <c r="F771" s="7" t="s">
        <v>6675</v>
      </c>
      <c r="G771" s="6" t="s">
        <v>5968</v>
      </c>
      <c r="H771" s="6" t="s">
        <v>3</v>
      </c>
      <c r="I771" s="6" t="s">
        <v>2844</v>
      </c>
      <c r="J771" s="6"/>
      <c r="K771" s="6"/>
      <c r="L771" s="6" t="s">
        <v>5734</v>
      </c>
      <c r="M771" s="6"/>
      <c r="N771" s="6" t="s">
        <v>5735</v>
      </c>
      <c r="O771" s="6" t="str">
        <f>HYPERLINK("https://ceds.ed.gov/cedselementdetails.aspx?termid=5280")</f>
        <v>https://ceds.ed.gov/cedselementdetails.aspx?termid=5280</v>
      </c>
      <c r="P771" s="6" t="str">
        <f>HYPERLINK("https://ceds.ed.gov/elementComment.aspx?elementName=Telephone Number Type &amp;elementID=5280", "Click here to submit comment")</f>
        <v>Click here to submit comment</v>
      </c>
    </row>
    <row r="772" spans="1:16" ht="90">
      <c r="A772" s="6" t="s">
        <v>6788</v>
      </c>
      <c r="B772" s="6" t="s">
        <v>6800</v>
      </c>
      <c r="C772" s="6" t="s">
        <v>6721</v>
      </c>
      <c r="D772" s="6" t="s">
        <v>4591</v>
      </c>
      <c r="E772" s="6" t="s">
        <v>4592</v>
      </c>
      <c r="F772" s="6" t="s">
        <v>5963</v>
      </c>
      <c r="G772" s="6" t="s">
        <v>5968</v>
      </c>
      <c r="H772" s="6" t="s">
        <v>3</v>
      </c>
      <c r="I772" s="6"/>
      <c r="J772" s="6"/>
      <c r="K772" s="6"/>
      <c r="L772" s="6" t="s">
        <v>4593</v>
      </c>
      <c r="M772" s="6"/>
      <c r="N772" s="6" t="s">
        <v>4594</v>
      </c>
      <c r="O772" s="6" t="str">
        <f>HYPERLINK("https://ceds.ed.gov/cedselementdetails.aspx?termid=5219")</f>
        <v>https://ceds.ed.gov/cedselementdetails.aspx?termid=5219</v>
      </c>
      <c r="P772" s="6" t="str">
        <f>HYPERLINK("https://ceds.ed.gov/elementComment.aspx?elementName=Primary Telephone Number Indicator &amp;elementID=5219", "Click here to submit comment")</f>
        <v>Click here to submit comment</v>
      </c>
    </row>
    <row r="773" spans="1:16" ht="120">
      <c r="A773" s="6" t="s">
        <v>6788</v>
      </c>
      <c r="B773" s="6" t="s">
        <v>6800</v>
      </c>
      <c r="C773" s="6" t="s">
        <v>6737</v>
      </c>
      <c r="D773" s="6" t="s">
        <v>2670</v>
      </c>
      <c r="E773" s="6" t="s">
        <v>2671</v>
      </c>
      <c r="F773" s="7" t="s">
        <v>6508</v>
      </c>
      <c r="G773" s="6"/>
      <c r="H773" s="6" t="s">
        <v>54</v>
      </c>
      <c r="I773" s="6"/>
      <c r="J773" s="6"/>
      <c r="K773" s="6"/>
      <c r="L773" s="6" t="s">
        <v>2672</v>
      </c>
      <c r="M773" s="6"/>
      <c r="N773" s="6" t="s">
        <v>2673</v>
      </c>
      <c r="O773" s="6" t="str">
        <f>HYPERLINK("https://ceds.ed.gov/cedselementdetails.aspx?termid=6312")</f>
        <v>https://ceds.ed.gov/cedselementdetails.aspx?termid=6312</v>
      </c>
      <c r="P773" s="6" t="str">
        <f>HYPERLINK("https://ceds.ed.gov/elementComment.aspx?elementName=Financial Account Category &amp;elementID=6312", "Click here to submit comment")</f>
        <v>Click here to submit comment</v>
      </c>
    </row>
    <row r="774" spans="1:16" ht="45">
      <c r="A774" s="6" t="s">
        <v>6788</v>
      </c>
      <c r="B774" s="6" t="s">
        <v>6800</v>
      </c>
      <c r="C774" s="6" t="s">
        <v>6737</v>
      </c>
      <c r="D774" s="6" t="s">
        <v>2674</v>
      </c>
      <c r="E774" s="6" t="s">
        <v>2675</v>
      </c>
      <c r="F774" s="6" t="s">
        <v>13</v>
      </c>
      <c r="G774" s="6"/>
      <c r="H774" s="6" t="s">
        <v>54</v>
      </c>
      <c r="I774" s="6" t="s">
        <v>93</v>
      </c>
      <c r="J774" s="6"/>
      <c r="K774" s="6"/>
      <c r="L774" s="6" t="s">
        <v>2676</v>
      </c>
      <c r="M774" s="6"/>
      <c r="N774" s="6" t="s">
        <v>2677</v>
      </c>
      <c r="O774" s="6" t="str">
        <f>HYPERLINK("https://ceds.ed.gov/cedselementdetails.aspx?termid=6313")</f>
        <v>https://ceds.ed.gov/cedselementdetails.aspx?termid=6313</v>
      </c>
      <c r="P774" s="6" t="str">
        <f>HYPERLINK("https://ceds.ed.gov/elementComment.aspx?elementName=Financial Account Description &amp;elementID=6313", "Click here to submit comment")</f>
        <v>Click here to submit comment</v>
      </c>
    </row>
    <row r="775" spans="1:16" ht="150">
      <c r="A775" s="6" t="s">
        <v>6788</v>
      </c>
      <c r="B775" s="6" t="s">
        <v>6800</v>
      </c>
      <c r="C775" s="6" t="s">
        <v>6737</v>
      </c>
      <c r="D775" s="6" t="s">
        <v>2678</v>
      </c>
      <c r="E775" s="6" t="s">
        <v>2679</v>
      </c>
      <c r="F775" s="7" t="s">
        <v>6509</v>
      </c>
      <c r="G775" s="6"/>
      <c r="H775" s="6" t="s">
        <v>54</v>
      </c>
      <c r="I775" s="6"/>
      <c r="J775" s="6"/>
      <c r="K775" s="6" t="s">
        <v>2680</v>
      </c>
      <c r="L775" s="6" t="s">
        <v>2681</v>
      </c>
      <c r="M775" s="6"/>
      <c r="N775" s="6" t="s">
        <v>2682</v>
      </c>
      <c r="O775" s="6" t="str">
        <f>HYPERLINK("https://ceds.ed.gov/cedselementdetails.aspx?termid=6314")</f>
        <v>https://ceds.ed.gov/cedselementdetails.aspx?termid=6314</v>
      </c>
      <c r="P775" s="6" t="str">
        <f>HYPERLINK("https://ceds.ed.gov/elementComment.aspx?elementName=Financial Account Fund Classification &amp;elementID=6314", "Click here to submit comment")</f>
        <v>Click here to submit comment</v>
      </c>
    </row>
    <row r="776" spans="1:16" ht="45">
      <c r="A776" s="6" t="s">
        <v>6788</v>
      </c>
      <c r="B776" s="6" t="s">
        <v>6800</v>
      </c>
      <c r="C776" s="6" t="s">
        <v>6737</v>
      </c>
      <c r="D776" s="6" t="s">
        <v>2683</v>
      </c>
      <c r="E776" s="6" t="s">
        <v>2684</v>
      </c>
      <c r="F776" s="6" t="s">
        <v>13</v>
      </c>
      <c r="G776" s="6"/>
      <c r="H776" s="6" t="s">
        <v>54</v>
      </c>
      <c r="I776" s="6" t="s">
        <v>745</v>
      </c>
      <c r="J776" s="6"/>
      <c r="K776" s="6"/>
      <c r="L776" s="6" t="s">
        <v>2685</v>
      </c>
      <c r="M776" s="6"/>
      <c r="N776" s="6" t="s">
        <v>2686</v>
      </c>
      <c r="O776" s="6" t="str">
        <f>HYPERLINK("https://ceds.ed.gov/cedselementdetails.aspx?termid=6315")</f>
        <v>https://ceds.ed.gov/cedselementdetails.aspx?termid=6315</v>
      </c>
      <c r="P776" s="6" t="str">
        <f>HYPERLINK("https://ceds.ed.gov/elementComment.aspx?elementName=Financial Account Name &amp;elementID=6315", "Click here to submit comment")</f>
        <v>Click here to submit comment</v>
      </c>
    </row>
    <row r="777" spans="1:16" ht="315">
      <c r="A777" s="6" t="s">
        <v>6788</v>
      </c>
      <c r="B777" s="6" t="s">
        <v>6800</v>
      </c>
      <c r="C777" s="6" t="s">
        <v>6737</v>
      </c>
      <c r="D777" s="6" t="s">
        <v>2687</v>
      </c>
      <c r="E777" s="6" t="s">
        <v>2688</v>
      </c>
      <c r="F777" s="7" t="s">
        <v>6510</v>
      </c>
      <c r="G777" s="6"/>
      <c r="H777" s="6" t="s">
        <v>54</v>
      </c>
      <c r="I777" s="6"/>
      <c r="J777" s="6"/>
      <c r="K777" s="6"/>
      <c r="L777" s="6" t="s">
        <v>2689</v>
      </c>
      <c r="M777" s="6"/>
      <c r="N777" s="6" t="s">
        <v>2690</v>
      </c>
      <c r="O777" s="6" t="str">
        <f>HYPERLINK("https://ceds.ed.gov/cedselementdetails.aspx?termid=6316")</f>
        <v>https://ceds.ed.gov/cedselementdetails.aspx?termid=6316</v>
      </c>
      <c r="P777" s="6" t="str">
        <f>HYPERLINK("https://ceds.ed.gov/elementComment.aspx?elementName=Financial Account Program Code &amp;elementID=6316", "Click here to submit comment")</f>
        <v>Click here to submit comment</v>
      </c>
    </row>
    <row r="778" spans="1:16" ht="45">
      <c r="A778" s="6" t="s">
        <v>6788</v>
      </c>
      <c r="B778" s="6" t="s">
        <v>6800</v>
      </c>
      <c r="C778" s="6" t="s">
        <v>6737</v>
      </c>
      <c r="D778" s="6" t="s">
        <v>2691</v>
      </c>
      <c r="E778" s="6" t="s">
        <v>2692</v>
      </c>
      <c r="F778" s="6" t="s">
        <v>13</v>
      </c>
      <c r="G778" s="6"/>
      <c r="H778" s="6" t="s">
        <v>54</v>
      </c>
      <c r="I778" s="6" t="s">
        <v>1461</v>
      </c>
      <c r="J778" s="6"/>
      <c r="K778" s="6"/>
      <c r="L778" s="6" t="s">
        <v>2693</v>
      </c>
      <c r="M778" s="6"/>
      <c r="N778" s="6" t="s">
        <v>2694</v>
      </c>
      <c r="O778" s="6" t="str">
        <f>HYPERLINK("https://ceds.ed.gov/cedselementdetails.aspx?termid=6317")</f>
        <v>https://ceds.ed.gov/cedselementdetails.aspx?termid=6317</v>
      </c>
      <c r="P778" s="6" t="str">
        <f>HYPERLINK("https://ceds.ed.gov/elementComment.aspx?elementName=Financial Accounting Period Actual Value &amp;elementID=6317", "Click here to submit comment")</f>
        <v>Click here to submit comment</v>
      </c>
    </row>
    <row r="779" spans="1:16" ht="45">
      <c r="A779" s="6" t="s">
        <v>6788</v>
      </c>
      <c r="B779" s="6" t="s">
        <v>6800</v>
      </c>
      <c r="C779" s="6" t="s">
        <v>6737</v>
      </c>
      <c r="D779" s="6" t="s">
        <v>2695</v>
      </c>
      <c r="E779" s="6" t="s">
        <v>2696</v>
      </c>
      <c r="F779" s="6" t="s">
        <v>13</v>
      </c>
      <c r="G779" s="6"/>
      <c r="H779" s="6" t="s">
        <v>54</v>
      </c>
      <c r="I779" s="6" t="s">
        <v>1461</v>
      </c>
      <c r="J779" s="6"/>
      <c r="K779" s="6"/>
      <c r="L779" s="6" t="s">
        <v>2697</v>
      </c>
      <c r="M779" s="6"/>
      <c r="N779" s="6" t="s">
        <v>2698</v>
      </c>
      <c r="O779" s="6" t="str">
        <f>HYPERLINK("https://ceds.ed.gov/cedselementdetails.aspx?termid=6318")</f>
        <v>https://ceds.ed.gov/cedselementdetails.aspx?termid=6318</v>
      </c>
      <c r="P779" s="6" t="str">
        <f>HYPERLINK("https://ceds.ed.gov/elementComment.aspx?elementName=Financial Accounting Period Budgeted Value &amp;elementID=6318", "Click here to submit comment")</f>
        <v>Click here to submit comment</v>
      </c>
    </row>
    <row r="780" spans="1:16" ht="409.5">
      <c r="A780" s="6" t="s">
        <v>6788</v>
      </c>
      <c r="B780" s="6" t="s">
        <v>6800</v>
      </c>
      <c r="C780" s="6" t="s">
        <v>6737</v>
      </c>
      <c r="D780" s="6" t="s">
        <v>2730</v>
      </c>
      <c r="E780" s="6" t="s">
        <v>2731</v>
      </c>
      <c r="F780" s="7" t="s">
        <v>6513</v>
      </c>
      <c r="G780" s="6"/>
      <c r="H780" s="6" t="s">
        <v>54</v>
      </c>
      <c r="I780" s="6"/>
      <c r="J780" s="6"/>
      <c r="K780" s="6" t="s">
        <v>2732</v>
      </c>
      <c r="L780" s="6" t="s">
        <v>2733</v>
      </c>
      <c r="M780" s="6"/>
      <c r="N780" s="6" t="s">
        <v>2734</v>
      </c>
      <c r="O780" s="6" t="str">
        <f>HYPERLINK("https://ceds.ed.gov/cedselementdetails.aspx?termid=6320")</f>
        <v>https://ceds.ed.gov/cedselementdetails.aspx?termid=6320</v>
      </c>
      <c r="P780" s="6" t="str">
        <f>HYPERLINK("https://ceds.ed.gov/elementComment.aspx?elementName=Financial Balance Sheet Account Code &amp;elementID=6320", "Click here to submit comment")</f>
        <v>Click here to submit comment</v>
      </c>
    </row>
    <row r="781" spans="1:16" ht="409.5">
      <c r="A781" s="6" t="s">
        <v>6788</v>
      </c>
      <c r="B781" s="6" t="s">
        <v>6800</v>
      </c>
      <c r="C781" s="6" t="s">
        <v>6737</v>
      </c>
      <c r="D781" s="6" t="s">
        <v>2735</v>
      </c>
      <c r="E781" s="6" t="s">
        <v>2736</v>
      </c>
      <c r="F781" s="7" t="s">
        <v>6514</v>
      </c>
      <c r="G781" s="6"/>
      <c r="H781" s="6" t="s">
        <v>54</v>
      </c>
      <c r="I781" s="6"/>
      <c r="J781" s="6"/>
      <c r="K781" s="6" t="s">
        <v>2732</v>
      </c>
      <c r="L781" s="6" t="s">
        <v>2737</v>
      </c>
      <c r="M781" s="6"/>
      <c r="N781" s="6" t="s">
        <v>2738</v>
      </c>
      <c r="O781" s="6" t="str">
        <f>HYPERLINK("https://ceds.ed.gov/cedselementdetails.aspx?termid=6321")</f>
        <v>https://ceds.ed.gov/cedselementdetails.aspx?termid=6321</v>
      </c>
      <c r="P781" s="6" t="str">
        <f>HYPERLINK("https://ceds.ed.gov/elementComment.aspx?elementName=Financial Expenditure Function Code &amp;elementID=6321", "Click here to submit comment")</f>
        <v>Click here to submit comment</v>
      </c>
    </row>
    <row r="782" spans="1:16" ht="409.5">
      <c r="A782" s="6" t="s">
        <v>6788</v>
      </c>
      <c r="B782" s="6" t="s">
        <v>6800</v>
      </c>
      <c r="C782" s="6" t="s">
        <v>6737</v>
      </c>
      <c r="D782" s="6" t="s">
        <v>2739</v>
      </c>
      <c r="E782" s="6" t="s">
        <v>2740</v>
      </c>
      <c r="F782" s="7" t="s">
        <v>6515</v>
      </c>
      <c r="G782" s="6"/>
      <c r="H782" s="6" t="s">
        <v>54</v>
      </c>
      <c r="I782" s="6"/>
      <c r="J782" s="6"/>
      <c r="K782" s="6" t="s">
        <v>2741</v>
      </c>
      <c r="L782" s="6" t="s">
        <v>2742</v>
      </c>
      <c r="M782" s="6"/>
      <c r="N782" s="6" t="s">
        <v>2743</v>
      </c>
      <c r="O782" s="6" t="str">
        <f>HYPERLINK("https://ceds.ed.gov/cedselementdetails.aspx?termid=6322")</f>
        <v>https://ceds.ed.gov/cedselementdetails.aspx?termid=6322</v>
      </c>
      <c r="P782" s="6" t="str">
        <f>HYPERLINK("https://ceds.ed.gov/elementComment.aspx?elementName=Financial Expenditure Object Code &amp;elementID=6322", "Click here to submit comment")</f>
        <v>Click here to submit comment</v>
      </c>
    </row>
    <row r="783" spans="1:16" ht="75">
      <c r="A783" s="6" t="s">
        <v>6788</v>
      </c>
      <c r="B783" s="6" t="s">
        <v>6800</v>
      </c>
      <c r="C783" s="6" t="s">
        <v>6792</v>
      </c>
      <c r="D783" s="6" t="s">
        <v>216</v>
      </c>
      <c r="E783" s="6" t="s">
        <v>217</v>
      </c>
      <c r="F783" s="7" t="s">
        <v>6356</v>
      </c>
      <c r="G783" s="6" t="s">
        <v>218</v>
      </c>
      <c r="H783" s="6"/>
      <c r="I783" s="6"/>
      <c r="J783" s="6"/>
      <c r="K783" s="6"/>
      <c r="L783" s="6" t="s">
        <v>219</v>
      </c>
      <c r="M783" s="6" t="s">
        <v>220</v>
      </c>
      <c r="N783" s="6" t="s">
        <v>221</v>
      </c>
      <c r="O783" s="6" t="str">
        <f>HYPERLINK("https://ceds.ed.gov/cedselementdetails.aspx?termid=5011")</f>
        <v>https://ceds.ed.gov/cedselementdetails.aspx?termid=5011</v>
      </c>
      <c r="P783" s="6" t="str">
        <f>HYPERLINK("https://ceds.ed.gov/elementComment.aspx?elementName=Adequate Yearly Progress Status &amp;elementID=5011", "Click here to submit comment")</f>
        <v>Click here to submit comment</v>
      </c>
    </row>
    <row r="784" spans="1:16" ht="105">
      <c r="A784" s="6" t="s">
        <v>6788</v>
      </c>
      <c r="B784" s="6" t="s">
        <v>6800</v>
      </c>
      <c r="C784" s="6" t="s">
        <v>6792</v>
      </c>
      <c r="D784" s="6" t="s">
        <v>361</v>
      </c>
      <c r="E784" s="6" t="s">
        <v>362</v>
      </c>
      <c r="F784" s="7" t="s">
        <v>6374</v>
      </c>
      <c r="G784" s="6" t="s">
        <v>218</v>
      </c>
      <c r="H784" s="6"/>
      <c r="I784" s="6"/>
      <c r="J784" s="6"/>
      <c r="K784" s="6"/>
      <c r="L784" s="6" t="s">
        <v>363</v>
      </c>
      <c r="M784" s="6" t="s">
        <v>364</v>
      </c>
      <c r="N784" s="6" t="s">
        <v>365</v>
      </c>
      <c r="O784" s="6" t="str">
        <f>HYPERLINK("https://ceds.ed.gov/cedselementdetails.aspx?termid=5572")</f>
        <v>https://ceds.ed.gov/cedselementdetails.aspx?termid=5572</v>
      </c>
      <c r="P784" s="6" t="str">
        <f>HYPERLINK("https://ceds.ed.gov/elementComment.aspx?elementName=Annual Measurable Achievement Objective AYP Progress Attainment Status for LEP Students &amp;elementID=5572", "Click here to submit comment")</f>
        <v>Click here to submit comment</v>
      </c>
    </row>
    <row r="785" spans="1:16" ht="105">
      <c r="A785" s="6" t="s">
        <v>6788</v>
      </c>
      <c r="B785" s="6" t="s">
        <v>6800</v>
      </c>
      <c r="C785" s="6" t="s">
        <v>6792</v>
      </c>
      <c r="D785" s="6" t="s">
        <v>366</v>
      </c>
      <c r="E785" s="6" t="s">
        <v>367</v>
      </c>
      <c r="F785" s="7" t="s">
        <v>6374</v>
      </c>
      <c r="G785" s="6" t="s">
        <v>218</v>
      </c>
      <c r="H785" s="6"/>
      <c r="I785" s="6"/>
      <c r="J785" s="6"/>
      <c r="K785" s="6"/>
      <c r="L785" s="6" t="s">
        <v>368</v>
      </c>
      <c r="M785" s="6" t="s">
        <v>369</v>
      </c>
      <c r="N785" s="6" t="s">
        <v>370</v>
      </c>
      <c r="O785" s="6" t="str">
        <f>HYPERLINK("https://ceds.ed.gov/cedselementdetails.aspx?termid=5535")</f>
        <v>https://ceds.ed.gov/cedselementdetails.aspx?termid=5535</v>
      </c>
      <c r="P785" s="6" t="str">
        <f>HYPERLINK("https://ceds.ed.gov/elementComment.aspx?elementName=Annual Measurable Achievement Objective Proficiency Attainment Status for LEP Students &amp;elementID=5535", "Click here to submit comment")</f>
        <v>Click here to submit comment</v>
      </c>
    </row>
    <row r="786" spans="1:16" ht="105">
      <c r="A786" s="6" t="s">
        <v>6788</v>
      </c>
      <c r="B786" s="6" t="s">
        <v>6800</v>
      </c>
      <c r="C786" s="6" t="s">
        <v>6792</v>
      </c>
      <c r="D786" s="6" t="s">
        <v>371</v>
      </c>
      <c r="E786" s="6" t="s">
        <v>372</v>
      </c>
      <c r="F786" s="7" t="s">
        <v>6374</v>
      </c>
      <c r="G786" s="6" t="s">
        <v>218</v>
      </c>
      <c r="H786" s="6"/>
      <c r="I786" s="6"/>
      <c r="J786" s="6"/>
      <c r="K786" s="6"/>
      <c r="L786" s="6" t="s">
        <v>373</v>
      </c>
      <c r="M786" s="6" t="s">
        <v>374</v>
      </c>
      <c r="N786" s="6" t="s">
        <v>375</v>
      </c>
      <c r="O786" s="6" t="str">
        <f>HYPERLINK("https://ceds.ed.gov/cedselementdetails.aspx?termid=5545")</f>
        <v>https://ceds.ed.gov/cedselementdetails.aspx?termid=5545</v>
      </c>
      <c r="P786" s="6" t="str">
        <f>HYPERLINK("https://ceds.ed.gov/elementComment.aspx?elementName=Annual Measurable Achievement Objective Progress Attainment Status for LEP Students &amp;elementID=5545", "Click here to submit comment")</f>
        <v>Click here to submit comment</v>
      </c>
    </row>
    <row r="787" spans="1:16" ht="105">
      <c r="A787" s="6" t="s">
        <v>6788</v>
      </c>
      <c r="B787" s="6" t="s">
        <v>6800</v>
      </c>
      <c r="C787" s="6" t="s">
        <v>6792</v>
      </c>
      <c r="D787" s="6" t="s">
        <v>1556</v>
      </c>
      <c r="E787" s="6" t="s">
        <v>1557</v>
      </c>
      <c r="F787" s="7" t="s">
        <v>6414</v>
      </c>
      <c r="G787" s="6" t="s">
        <v>218</v>
      </c>
      <c r="H787" s="6"/>
      <c r="I787" s="6"/>
      <c r="J787" s="6"/>
      <c r="K787" s="6"/>
      <c r="L787" s="6" t="s">
        <v>1559</v>
      </c>
      <c r="M787" s="6" t="s">
        <v>1560</v>
      </c>
      <c r="N787" s="6" t="s">
        <v>1561</v>
      </c>
      <c r="O787" s="6" t="str">
        <f>HYPERLINK("https://ceds.ed.gov/cedselementdetails.aspx?termid=5075")</f>
        <v>https://ceds.ed.gov/cedselementdetails.aspx?termid=5075</v>
      </c>
      <c r="P787" s="6" t="str">
        <f>HYPERLINK("https://ceds.ed.gov/elementComment.aspx?elementName=Career and Technical Education Graduation Rate Inclusion &amp;elementID=5075", "Click here to submit comment")</f>
        <v>Click here to submit comment</v>
      </c>
    </row>
    <row r="788" spans="1:16" ht="75">
      <c r="A788" s="6" t="s">
        <v>6788</v>
      </c>
      <c r="B788" s="6" t="s">
        <v>6800</v>
      </c>
      <c r="C788" s="6" t="s">
        <v>6793</v>
      </c>
      <c r="D788" s="6" t="s">
        <v>2653</v>
      </c>
      <c r="E788" s="6" t="s">
        <v>2654</v>
      </c>
      <c r="F788" s="6" t="s">
        <v>13</v>
      </c>
      <c r="G788" s="6" t="s">
        <v>218</v>
      </c>
      <c r="H788" s="6" t="s">
        <v>3</v>
      </c>
      <c r="I788" s="6"/>
      <c r="J788" s="6"/>
      <c r="K788" s="6"/>
      <c r="L788" s="6" t="s">
        <v>2655</v>
      </c>
      <c r="M788" s="6"/>
      <c r="N788" s="6" t="s">
        <v>2656</v>
      </c>
      <c r="O788" s="6" t="str">
        <f>HYPERLINK("https://ceds.ed.gov/cedselementdetails.aspx?termid=5538")</f>
        <v>https://ceds.ed.gov/cedselementdetails.aspx?termid=5538</v>
      </c>
      <c r="P788" s="6" t="str">
        <f>HYPERLINK("https://ceds.ed.gov/elementComment.aspx?elementName=Federal Program Code &amp;elementID=5538", "Click here to submit comment")</f>
        <v>Click here to submit comment</v>
      </c>
    </row>
    <row r="789" spans="1:16" ht="135">
      <c r="A789" s="6" t="s">
        <v>6788</v>
      </c>
      <c r="B789" s="6" t="s">
        <v>6800</v>
      </c>
      <c r="C789" s="6" t="s">
        <v>6793</v>
      </c>
      <c r="D789" s="6" t="s">
        <v>2657</v>
      </c>
      <c r="E789" s="6" t="s">
        <v>2658</v>
      </c>
      <c r="F789" s="6" t="s">
        <v>13</v>
      </c>
      <c r="G789" s="6" t="s">
        <v>218</v>
      </c>
      <c r="H789" s="6" t="s">
        <v>3</v>
      </c>
      <c r="I789" s="6" t="s">
        <v>1461</v>
      </c>
      <c r="J789" s="6"/>
      <c r="K789" s="6"/>
      <c r="L789" s="6" t="s">
        <v>2659</v>
      </c>
      <c r="M789" s="6"/>
      <c r="N789" s="6" t="s">
        <v>2660</v>
      </c>
      <c r="O789" s="6" t="str">
        <f>HYPERLINK("https://ceds.ed.gov/cedselementdetails.aspx?termid=5540")</f>
        <v>https://ceds.ed.gov/cedselementdetails.aspx?termid=5540</v>
      </c>
      <c r="P789" s="6" t="str">
        <f>HYPERLINK("https://ceds.ed.gov/elementComment.aspx?elementName=Federal Programs Funding Allocation &amp;elementID=5540", "Click here to submit comment")</f>
        <v>Click here to submit comment</v>
      </c>
    </row>
    <row r="790" spans="1:16" ht="165">
      <c r="A790" s="6" t="s">
        <v>6788</v>
      </c>
      <c r="B790" s="6" t="s">
        <v>6800</v>
      </c>
      <c r="C790" s="6" t="s">
        <v>6793</v>
      </c>
      <c r="D790" s="6" t="s">
        <v>2661</v>
      </c>
      <c r="E790" s="6" t="s">
        <v>2662</v>
      </c>
      <c r="F790" s="7" t="s">
        <v>6507</v>
      </c>
      <c r="G790" s="6"/>
      <c r="H790" s="6"/>
      <c r="I790" s="6"/>
      <c r="J790" s="6"/>
      <c r="K790" s="6"/>
      <c r="L790" s="6" t="s">
        <v>2663</v>
      </c>
      <c r="M790" s="6"/>
      <c r="N790" s="6" t="s">
        <v>2664</v>
      </c>
      <c r="O790" s="6" t="str">
        <f>HYPERLINK("https://ceds.ed.gov/cedselementdetails.aspx?termid=5539")</f>
        <v>https://ceds.ed.gov/cedselementdetails.aspx?termid=5539</v>
      </c>
      <c r="P790" s="6" t="str">
        <f>HYPERLINK("https://ceds.ed.gov/elementComment.aspx?elementName=Federal Programs Funding Allocation Type &amp;elementID=5539", "Click here to submit comment")</f>
        <v>Click here to submit comment</v>
      </c>
    </row>
    <row r="791" spans="1:16" ht="45">
      <c r="A791" s="6" t="s">
        <v>6788</v>
      </c>
      <c r="B791" s="6" t="s">
        <v>6800</v>
      </c>
      <c r="C791" s="6" t="s">
        <v>6793</v>
      </c>
      <c r="D791" s="6" t="s">
        <v>5588</v>
      </c>
      <c r="E791" s="6" t="s">
        <v>5589</v>
      </c>
      <c r="F791" s="6" t="s">
        <v>5963</v>
      </c>
      <c r="G791" s="6" t="s">
        <v>207</v>
      </c>
      <c r="H791" s="6"/>
      <c r="I791" s="6"/>
      <c r="J791" s="6"/>
      <c r="K791" s="6"/>
      <c r="L791" s="6" t="s">
        <v>5590</v>
      </c>
      <c r="M791" s="6"/>
      <c r="N791" s="6" t="s">
        <v>5591</v>
      </c>
      <c r="O791" s="6" t="str">
        <f>HYPERLINK("https://ceds.ed.gov/cedselementdetails.aspx?termid=5435")</f>
        <v>https://ceds.ed.gov/cedselementdetails.aspx?termid=5435</v>
      </c>
      <c r="P791" s="6" t="str">
        <f>HYPERLINK("https://ceds.ed.gov/elementComment.aspx?elementName=State Transferability of Funds &amp;elementID=5435", "Click here to submit comment")</f>
        <v>Click here to submit comment</v>
      </c>
    </row>
    <row r="792" spans="1:16" ht="45">
      <c r="A792" s="6" t="s">
        <v>6788</v>
      </c>
      <c r="B792" s="6" t="s">
        <v>6800</v>
      </c>
      <c r="C792" s="6" t="s">
        <v>6793</v>
      </c>
      <c r="D792" s="6" t="s">
        <v>2101</v>
      </c>
      <c r="E792" s="6" t="s">
        <v>2102</v>
      </c>
      <c r="F792" s="6" t="s">
        <v>13</v>
      </c>
      <c r="G792" s="6" t="s">
        <v>207</v>
      </c>
      <c r="H792" s="6"/>
      <c r="I792" s="6" t="s">
        <v>73</v>
      </c>
      <c r="J792" s="6"/>
      <c r="K792" s="6"/>
      <c r="L792" s="6" t="s">
        <v>2104</v>
      </c>
      <c r="M792" s="6"/>
      <c r="N792" s="6" t="s">
        <v>2105</v>
      </c>
      <c r="O792" s="6" t="str">
        <f>HYPERLINK("https://ceds.ed.gov/cedselementdetails.aspx?termid=5445")</f>
        <v>https://ceds.ed.gov/cedselementdetails.aspx?termid=5445</v>
      </c>
      <c r="P792" s="6" t="str">
        <f>HYPERLINK("https://ceds.ed.gov/elementComment.aspx?elementName=Date State Received Title III Allocation &amp;elementID=5445", "Click here to submit comment")</f>
        <v>Click here to submit comment</v>
      </c>
    </row>
    <row r="793" spans="1:16" ht="45">
      <c r="A793" s="6" t="s">
        <v>6788</v>
      </c>
      <c r="B793" s="6" t="s">
        <v>6800</v>
      </c>
      <c r="C793" s="6" t="s">
        <v>6793</v>
      </c>
      <c r="D793" s="6" t="s">
        <v>2106</v>
      </c>
      <c r="E793" s="6" t="s">
        <v>2107</v>
      </c>
      <c r="F793" s="6" t="s">
        <v>13</v>
      </c>
      <c r="G793" s="6" t="s">
        <v>207</v>
      </c>
      <c r="H793" s="6"/>
      <c r="I793" s="6" t="s">
        <v>73</v>
      </c>
      <c r="J793" s="6"/>
      <c r="K793" s="6"/>
      <c r="L793" s="6" t="s">
        <v>2108</v>
      </c>
      <c r="M793" s="6"/>
      <c r="N793" s="6" t="s">
        <v>2109</v>
      </c>
      <c r="O793" s="6" t="str">
        <f>HYPERLINK("https://ceds.ed.gov/cedselementdetails.aspx?termid=5446")</f>
        <v>https://ceds.ed.gov/cedselementdetails.aspx?termid=5446</v>
      </c>
      <c r="P793" s="6" t="str">
        <f>HYPERLINK("https://ceds.ed.gov/elementComment.aspx?elementName=Date Title III Funds Available to Subgrantees &amp;elementID=5446", "Click here to submit comment")</f>
        <v>Click here to submit comment</v>
      </c>
    </row>
    <row r="794" spans="1:16" ht="90">
      <c r="A794" s="6" t="s">
        <v>6788</v>
      </c>
      <c r="B794" s="6" t="s">
        <v>6800</v>
      </c>
      <c r="C794" s="6" t="s">
        <v>6793</v>
      </c>
      <c r="D794" s="6" t="s">
        <v>4265</v>
      </c>
      <c r="E794" s="6" t="s">
        <v>4266</v>
      </c>
      <c r="F794" s="6" t="s">
        <v>13</v>
      </c>
      <c r="G794" s="6" t="s">
        <v>207</v>
      </c>
      <c r="H794" s="6"/>
      <c r="I794" s="6" t="s">
        <v>1461</v>
      </c>
      <c r="J794" s="6"/>
      <c r="K794" s="6"/>
      <c r="L794" s="6" t="s">
        <v>4267</v>
      </c>
      <c r="M794" s="6"/>
      <c r="N794" s="6" t="s">
        <v>4268</v>
      </c>
      <c r="O794" s="6" t="str">
        <f>HYPERLINK("https://ceds.ed.gov/cedselementdetails.aspx?termid=5447")</f>
        <v>https://ceds.ed.gov/cedselementdetails.aspx?termid=5447</v>
      </c>
      <c r="P794" s="6" t="str">
        <f>HYPERLINK("https://ceds.ed.gov/elementComment.aspx?elementName=Number of Days for Title III Subgrants &amp;elementID=5447", "Click here to submit comment")</f>
        <v>Click here to submit comment</v>
      </c>
    </row>
    <row r="795" spans="1:16" ht="409.5">
      <c r="A795" s="6" t="s">
        <v>6788</v>
      </c>
      <c r="B795" s="6" t="s">
        <v>6800</v>
      </c>
      <c r="C795" s="6" t="s">
        <v>6793</v>
      </c>
      <c r="D795" s="6" t="s">
        <v>5871</v>
      </c>
      <c r="E795" s="6" t="s">
        <v>5872</v>
      </c>
      <c r="F795" s="7" t="s">
        <v>6690</v>
      </c>
      <c r="G795" s="6" t="s">
        <v>207</v>
      </c>
      <c r="H795" s="6"/>
      <c r="I795" s="6"/>
      <c r="J795" s="6"/>
      <c r="K795" s="6"/>
      <c r="L795" s="6" t="s">
        <v>5873</v>
      </c>
      <c r="M795" s="6"/>
      <c r="N795" s="6" t="s">
        <v>5874</v>
      </c>
      <c r="O795" s="6" t="str">
        <f>HYPERLINK("https://ceds.ed.gov/cedselementdetails.aspx?termid=5449")</f>
        <v>https://ceds.ed.gov/cedselementdetails.aspx?termid=5449</v>
      </c>
      <c r="P795" s="6" t="str">
        <f>HYPERLINK("https://ceds.ed.gov/elementComment.aspx?elementName=Uses of Funds for Purposes other than Standards and Assessment Development &amp;elementID=5449", "Click here to submit comment")</f>
        <v>Click here to submit comment</v>
      </c>
    </row>
    <row r="796" spans="1:16" ht="195">
      <c r="A796" s="6" t="s">
        <v>6788</v>
      </c>
      <c r="B796" s="6" t="s">
        <v>6804</v>
      </c>
      <c r="C796" s="6" t="s">
        <v>6717</v>
      </c>
      <c r="D796" s="6" t="s">
        <v>2776</v>
      </c>
      <c r="E796" s="6" t="s">
        <v>2777</v>
      </c>
      <c r="F796" s="6" t="s">
        <v>13</v>
      </c>
      <c r="G796" s="6" t="s">
        <v>6176</v>
      </c>
      <c r="H796" s="6" t="s">
        <v>3</v>
      </c>
      <c r="I796" s="6" t="s">
        <v>1368</v>
      </c>
      <c r="J796" s="6"/>
      <c r="K796" s="6" t="s">
        <v>2778</v>
      </c>
      <c r="L796" s="6" t="s">
        <v>2779</v>
      </c>
      <c r="M796" s="6"/>
      <c r="N796" s="6" t="s">
        <v>2780</v>
      </c>
      <c r="O796" s="6" t="str">
        <f>HYPERLINK("https://ceds.ed.gov/cedselementdetails.aspx?termid=5115")</f>
        <v>https://ceds.ed.gov/cedselementdetails.aspx?termid=5115</v>
      </c>
      <c r="P796" s="6" t="str">
        <f>HYPERLINK("https://ceds.ed.gov/elementComment.aspx?elementName=First Name &amp;elementID=5115", "Click here to submit comment")</f>
        <v>Click here to submit comment</v>
      </c>
    </row>
    <row r="797" spans="1:16" ht="195">
      <c r="A797" s="6" t="s">
        <v>6788</v>
      </c>
      <c r="B797" s="6" t="s">
        <v>6804</v>
      </c>
      <c r="C797" s="6" t="s">
        <v>6717</v>
      </c>
      <c r="D797" s="6" t="s">
        <v>4088</v>
      </c>
      <c r="E797" s="6" t="s">
        <v>4089</v>
      </c>
      <c r="F797" s="6" t="s">
        <v>13</v>
      </c>
      <c r="G797" s="6" t="s">
        <v>6176</v>
      </c>
      <c r="H797" s="6" t="s">
        <v>3</v>
      </c>
      <c r="I797" s="6" t="s">
        <v>1368</v>
      </c>
      <c r="J797" s="6"/>
      <c r="K797" s="6" t="s">
        <v>2778</v>
      </c>
      <c r="L797" s="6" t="s">
        <v>4090</v>
      </c>
      <c r="M797" s="6"/>
      <c r="N797" s="6" t="s">
        <v>4091</v>
      </c>
      <c r="O797" s="6" t="str">
        <f>HYPERLINK("https://ceds.ed.gov/cedselementdetails.aspx?termid=5184")</f>
        <v>https://ceds.ed.gov/cedselementdetails.aspx?termid=5184</v>
      </c>
      <c r="P797" s="6" t="str">
        <f>HYPERLINK("https://ceds.ed.gov/elementComment.aspx?elementName=Middle Name &amp;elementID=5184", "Click here to submit comment")</f>
        <v>Click here to submit comment</v>
      </c>
    </row>
    <row r="798" spans="1:16" ht="195">
      <c r="A798" s="6" t="s">
        <v>6788</v>
      </c>
      <c r="B798" s="6" t="s">
        <v>6804</v>
      </c>
      <c r="C798" s="6" t="s">
        <v>6717</v>
      </c>
      <c r="D798" s="6" t="s">
        <v>3427</v>
      </c>
      <c r="E798" s="6" t="s">
        <v>3428</v>
      </c>
      <c r="F798" s="6" t="s">
        <v>13</v>
      </c>
      <c r="G798" s="6" t="s">
        <v>6176</v>
      </c>
      <c r="H798" s="6" t="s">
        <v>3</v>
      </c>
      <c r="I798" s="6" t="s">
        <v>1368</v>
      </c>
      <c r="J798" s="6"/>
      <c r="K798" s="6" t="s">
        <v>2778</v>
      </c>
      <c r="L798" s="6" t="s">
        <v>3429</v>
      </c>
      <c r="M798" s="6" t="s">
        <v>3430</v>
      </c>
      <c r="N798" s="6" t="s">
        <v>3431</v>
      </c>
      <c r="O798" s="6" t="str">
        <f>HYPERLINK("https://ceds.ed.gov/cedselementdetails.aspx?termid=5172")</f>
        <v>https://ceds.ed.gov/cedselementdetails.aspx?termid=5172</v>
      </c>
      <c r="P798" s="6" t="str">
        <f>HYPERLINK("https://ceds.ed.gov/elementComment.aspx?elementName=Last or Surname &amp;elementID=5172", "Click here to submit comment")</f>
        <v>Click here to submit comment</v>
      </c>
    </row>
    <row r="799" spans="1:16" ht="150">
      <c r="A799" s="6" t="s">
        <v>6788</v>
      </c>
      <c r="B799" s="6" t="s">
        <v>6804</v>
      </c>
      <c r="C799" s="6" t="s">
        <v>6717</v>
      </c>
      <c r="D799" s="6" t="s">
        <v>2829</v>
      </c>
      <c r="E799" s="6" t="s">
        <v>2830</v>
      </c>
      <c r="F799" s="6" t="s">
        <v>13</v>
      </c>
      <c r="G799" s="6" t="s">
        <v>6179</v>
      </c>
      <c r="H799" s="6" t="s">
        <v>3</v>
      </c>
      <c r="I799" s="6" t="s">
        <v>2031</v>
      </c>
      <c r="J799" s="6"/>
      <c r="K799" s="6" t="s">
        <v>2778</v>
      </c>
      <c r="L799" s="6" t="s">
        <v>2831</v>
      </c>
      <c r="M799" s="6"/>
      <c r="N799" s="6" t="s">
        <v>2832</v>
      </c>
      <c r="O799" s="6" t="str">
        <f>HYPERLINK("https://ceds.ed.gov/cedselementdetails.aspx?termid=5121")</f>
        <v>https://ceds.ed.gov/cedselementdetails.aspx?termid=5121</v>
      </c>
      <c r="P799" s="6" t="str">
        <f>HYPERLINK("https://ceds.ed.gov/elementComment.aspx?elementName=Generation Code or Suffix &amp;elementID=5121", "Click here to submit comment")</f>
        <v>Click here to submit comment</v>
      </c>
    </row>
    <row r="800" spans="1:16" ht="105">
      <c r="A800" s="6" t="s">
        <v>6788</v>
      </c>
      <c r="B800" s="6" t="s">
        <v>6804</v>
      </c>
      <c r="C800" s="6" t="s">
        <v>6717</v>
      </c>
      <c r="D800" s="6" t="s">
        <v>4498</v>
      </c>
      <c r="E800" s="6" t="s">
        <v>4499</v>
      </c>
      <c r="F800" s="6" t="s">
        <v>13</v>
      </c>
      <c r="G800" s="6" t="s">
        <v>6280</v>
      </c>
      <c r="H800" s="6" t="s">
        <v>3</v>
      </c>
      <c r="I800" s="6" t="s">
        <v>100</v>
      </c>
      <c r="J800" s="6"/>
      <c r="K800" s="6"/>
      <c r="L800" s="6" t="s">
        <v>4500</v>
      </c>
      <c r="M800" s="6" t="s">
        <v>4501</v>
      </c>
      <c r="N800" s="6" t="s">
        <v>4502</v>
      </c>
      <c r="O800" s="6" t="str">
        <f>HYPERLINK("https://ceds.ed.gov/cedselementdetails.aspx?termid=5212")</f>
        <v>https://ceds.ed.gov/cedselementdetails.aspx?termid=5212</v>
      </c>
      <c r="P800" s="6" t="str">
        <f>HYPERLINK("https://ceds.ed.gov/elementComment.aspx?elementName=Personal Title or Prefix &amp;elementID=5212", "Click here to submit comment")</f>
        <v>Click here to submit comment</v>
      </c>
    </row>
    <row r="801" spans="1:16" ht="30">
      <c r="A801" s="6" t="s">
        <v>6788</v>
      </c>
      <c r="B801" s="6" t="s">
        <v>6804</v>
      </c>
      <c r="C801" s="6" t="s">
        <v>6718</v>
      </c>
      <c r="D801" s="6" t="s">
        <v>4375</v>
      </c>
      <c r="E801" s="6" t="s">
        <v>4376</v>
      </c>
      <c r="F801" s="6" t="s">
        <v>13</v>
      </c>
      <c r="G801" s="6"/>
      <c r="H801" s="6" t="s">
        <v>54</v>
      </c>
      <c r="I801" s="6" t="s">
        <v>1368</v>
      </c>
      <c r="J801" s="6"/>
      <c r="K801" s="6" t="s">
        <v>4377</v>
      </c>
      <c r="L801" s="6" t="s">
        <v>4378</v>
      </c>
      <c r="M801" s="6"/>
      <c r="N801" s="6" t="s">
        <v>4379</v>
      </c>
      <c r="O801" s="6" t="str">
        <f>HYPERLINK("https://ceds.ed.gov/cedselementdetails.aspx?termid=6486")</f>
        <v>https://ceds.ed.gov/cedselementdetails.aspx?termid=6486</v>
      </c>
      <c r="P801" s="6" t="str">
        <f>HYPERLINK("https://ceds.ed.gov/elementComment.aspx?elementName=Other First Name &amp;elementID=6486", "Click here to submit comment")</f>
        <v>Click here to submit comment</v>
      </c>
    </row>
    <row r="802" spans="1:16" ht="30">
      <c r="A802" s="6" t="s">
        <v>6788</v>
      </c>
      <c r="B802" s="6" t="s">
        <v>6804</v>
      </c>
      <c r="C802" s="6" t="s">
        <v>6718</v>
      </c>
      <c r="D802" s="6" t="s">
        <v>4380</v>
      </c>
      <c r="E802" s="6" t="s">
        <v>4381</v>
      </c>
      <c r="F802" s="6" t="s">
        <v>13</v>
      </c>
      <c r="G802" s="6"/>
      <c r="H802" s="6" t="s">
        <v>54</v>
      </c>
      <c r="I802" s="6" t="s">
        <v>1368</v>
      </c>
      <c r="J802" s="6"/>
      <c r="K802" s="6" t="s">
        <v>4382</v>
      </c>
      <c r="L802" s="6" t="s">
        <v>4383</v>
      </c>
      <c r="M802" s="6"/>
      <c r="N802" s="6" t="s">
        <v>4384</v>
      </c>
      <c r="O802" s="6" t="str">
        <f>HYPERLINK("https://ceds.ed.gov/cedselementdetails.aspx?termid=6485")</f>
        <v>https://ceds.ed.gov/cedselementdetails.aspx?termid=6485</v>
      </c>
      <c r="P802" s="6" t="str">
        <f>HYPERLINK("https://ceds.ed.gov/elementComment.aspx?elementName=Other Last Name &amp;elementID=6485", "Click here to submit comment")</f>
        <v>Click here to submit comment</v>
      </c>
    </row>
    <row r="803" spans="1:16" ht="30">
      <c r="A803" s="6" t="s">
        <v>6788</v>
      </c>
      <c r="B803" s="6" t="s">
        <v>6804</v>
      </c>
      <c r="C803" s="6" t="s">
        <v>6718</v>
      </c>
      <c r="D803" s="6" t="s">
        <v>4385</v>
      </c>
      <c r="E803" s="6" t="s">
        <v>4386</v>
      </c>
      <c r="F803" s="6" t="s">
        <v>13</v>
      </c>
      <c r="G803" s="6"/>
      <c r="H803" s="6" t="s">
        <v>54</v>
      </c>
      <c r="I803" s="6" t="s">
        <v>1368</v>
      </c>
      <c r="J803" s="6"/>
      <c r="K803" s="6" t="s">
        <v>4387</v>
      </c>
      <c r="L803" s="6" t="s">
        <v>4388</v>
      </c>
      <c r="M803" s="6"/>
      <c r="N803" s="6" t="s">
        <v>4389</v>
      </c>
      <c r="O803" s="6" t="str">
        <f>HYPERLINK("https://ceds.ed.gov/cedselementdetails.aspx?termid=6487")</f>
        <v>https://ceds.ed.gov/cedselementdetails.aspx?termid=6487</v>
      </c>
      <c r="P803" s="6" t="str">
        <f>HYPERLINK("https://ceds.ed.gov/elementComment.aspx?elementName=Other Middle Name &amp;elementID=6487", "Click here to submit comment")</f>
        <v>Click here to submit comment</v>
      </c>
    </row>
    <row r="804" spans="1:16" ht="150">
      <c r="A804" s="6" t="s">
        <v>6788</v>
      </c>
      <c r="B804" s="6" t="s">
        <v>6804</v>
      </c>
      <c r="C804" s="6" t="s">
        <v>6718</v>
      </c>
      <c r="D804" s="6" t="s">
        <v>4390</v>
      </c>
      <c r="E804" s="6" t="s">
        <v>4391</v>
      </c>
      <c r="F804" s="6" t="s">
        <v>13</v>
      </c>
      <c r="G804" s="6" t="s">
        <v>6179</v>
      </c>
      <c r="H804" s="6" t="s">
        <v>3</v>
      </c>
      <c r="I804" s="6" t="s">
        <v>149</v>
      </c>
      <c r="J804" s="6"/>
      <c r="K804" s="6"/>
      <c r="L804" s="6" t="s">
        <v>4392</v>
      </c>
      <c r="M804" s="6"/>
      <c r="N804" s="6" t="s">
        <v>4393</v>
      </c>
      <c r="O804" s="6" t="str">
        <f>HYPERLINK("https://ceds.ed.gov/cedselementdetails.aspx?termid=5206")</f>
        <v>https://ceds.ed.gov/cedselementdetails.aspx?termid=5206</v>
      </c>
      <c r="P804" s="6" t="str">
        <f>HYPERLINK("https://ceds.ed.gov/elementComment.aspx?elementName=Other Name &amp;elementID=5206", "Click here to submit comment")</f>
        <v>Click here to submit comment</v>
      </c>
    </row>
    <row r="805" spans="1:16" ht="90">
      <c r="A805" s="6" t="s">
        <v>6788</v>
      </c>
      <c r="B805" s="6" t="s">
        <v>6804</v>
      </c>
      <c r="C805" s="6" t="s">
        <v>6718</v>
      </c>
      <c r="D805" s="6" t="s">
        <v>4394</v>
      </c>
      <c r="E805" s="6" t="s">
        <v>4395</v>
      </c>
      <c r="F805" s="7" t="s">
        <v>6593</v>
      </c>
      <c r="G805" s="6" t="s">
        <v>6273</v>
      </c>
      <c r="H805" s="6" t="s">
        <v>3</v>
      </c>
      <c r="I805" s="6" t="s">
        <v>100</v>
      </c>
      <c r="J805" s="6"/>
      <c r="K805" s="6"/>
      <c r="L805" s="6" t="s">
        <v>4396</v>
      </c>
      <c r="M805" s="6"/>
      <c r="N805" s="6" t="s">
        <v>4397</v>
      </c>
      <c r="O805" s="6" t="str">
        <f>HYPERLINK("https://ceds.ed.gov/cedselementdetails.aspx?termid=5627")</f>
        <v>https://ceds.ed.gov/cedselementdetails.aspx?termid=5627</v>
      </c>
      <c r="P805" s="6" t="str">
        <f>HYPERLINK("https://ceds.ed.gov/elementComment.aspx?elementName=Other Name Type &amp;elementID=5627", "Click here to submit comment")</f>
        <v>Click here to submit comment</v>
      </c>
    </row>
    <row r="806" spans="1:16" ht="135">
      <c r="A806" s="6" t="s">
        <v>6788</v>
      </c>
      <c r="B806" s="6" t="s">
        <v>6804</v>
      </c>
      <c r="C806" s="6" t="s">
        <v>6719</v>
      </c>
      <c r="D806" s="6" t="s">
        <v>5614</v>
      </c>
      <c r="E806" s="6" t="s">
        <v>5615</v>
      </c>
      <c r="F806" s="6" t="s">
        <v>13</v>
      </c>
      <c r="G806" s="6" t="s">
        <v>6330</v>
      </c>
      <c r="H806" s="6"/>
      <c r="I806" s="6" t="s">
        <v>100</v>
      </c>
      <c r="J806" s="6"/>
      <c r="K806" s="6"/>
      <c r="L806" s="6" t="s">
        <v>5616</v>
      </c>
      <c r="M806" s="6"/>
      <c r="N806" s="6" t="s">
        <v>5617</v>
      </c>
      <c r="O806" s="6" t="str">
        <f>HYPERLINK("https://ceds.ed.gov/cedselementdetails.aspx?termid=5157")</f>
        <v>https://ceds.ed.gov/cedselementdetails.aspx?termid=5157</v>
      </c>
      <c r="P806" s="6" t="str">
        <f>HYPERLINK("https://ceds.ed.gov/elementComment.aspx?elementName=Student Identifier &amp;elementID=5157", "Click here to submit comment")</f>
        <v>Click here to submit comment</v>
      </c>
    </row>
    <row r="807" spans="1:16" ht="285">
      <c r="A807" s="6" t="s">
        <v>6788</v>
      </c>
      <c r="B807" s="6" t="s">
        <v>6804</v>
      </c>
      <c r="C807" s="6" t="s">
        <v>6719</v>
      </c>
      <c r="D807" s="6" t="s">
        <v>5610</v>
      </c>
      <c r="E807" s="6" t="s">
        <v>5611</v>
      </c>
      <c r="F807" s="7" t="s">
        <v>6665</v>
      </c>
      <c r="G807" s="6" t="s">
        <v>6330</v>
      </c>
      <c r="H807" s="6"/>
      <c r="I807" s="6"/>
      <c r="J807" s="6"/>
      <c r="K807" s="6"/>
      <c r="L807" s="6" t="s">
        <v>5612</v>
      </c>
      <c r="M807" s="6"/>
      <c r="N807" s="6" t="s">
        <v>5613</v>
      </c>
      <c r="O807" s="6" t="str">
        <f>HYPERLINK("https://ceds.ed.gov/cedselementdetails.aspx?termid=5163")</f>
        <v>https://ceds.ed.gov/cedselementdetails.aspx?termid=5163</v>
      </c>
      <c r="P807" s="6" t="str">
        <f>HYPERLINK("https://ceds.ed.gov/elementComment.aspx?elementName=Student Identification System &amp;elementID=5163", "Click here to submit comment")</f>
        <v>Click here to submit comment</v>
      </c>
    </row>
    <row r="808" spans="1:16" ht="390">
      <c r="A808" s="6" t="s">
        <v>6788</v>
      </c>
      <c r="B808" s="6" t="s">
        <v>6804</v>
      </c>
      <c r="C808" s="6" t="s">
        <v>6719</v>
      </c>
      <c r="D808" s="6" t="s">
        <v>5383</v>
      </c>
      <c r="E808" s="6" t="s">
        <v>5384</v>
      </c>
      <c r="F808" s="6" t="s">
        <v>13</v>
      </c>
      <c r="G808" s="6" t="s">
        <v>6315</v>
      </c>
      <c r="H808" s="6" t="s">
        <v>3</v>
      </c>
      <c r="I808" s="6" t="s">
        <v>5385</v>
      </c>
      <c r="J808" s="6"/>
      <c r="K808" s="6" t="s">
        <v>5386</v>
      </c>
      <c r="L808" s="6" t="s">
        <v>5387</v>
      </c>
      <c r="M808" s="6" t="s">
        <v>5388</v>
      </c>
      <c r="N808" s="6" t="s">
        <v>5389</v>
      </c>
      <c r="O808" s="6" t="str">
        <f>HYPERLINK("https://ceds.ed.gov/cedselementdetails.aspx?termid=5259")</f>
        <v>https://ceds.ed.gov/cedselementdetails.aspx?termid=5259</v>
      </c>
      <c r="P808" s="6" t="str">
        <f>HYPERLINK("https://ceds.ed.gov/elementComment.aspx?elementName=Social Security Number &amp;elementID=5259", "Click here to submit comment")</f>
        <v>Click here to submit comment</v>
      </c>
    </row>
    <row r="809" spans="1:16" ht="375">
      <c r="A809" s="6" t="s">
        <v>6788</v>
      </c>
      <c r="B809" s="6" t="s">
        <v>6804</v>
      </c>
      <c r="C809" s="6" t="s">
        <v>6719</v>
      </c>
      <c r="D809" s="6" t="s">
        <v>4494</v>
      </c>
      <c r="E809" s="6" t="s">
        <v>4495</v>
      </c>
      <c r="F809" s="7" t="s">
        <v>6599</v>
      </c>
      <c r="G809" s="6"/>
      <c r="H809" s="6" t="s">
        <v>3</v>
      </c>
      <c r="I809" s="6"/>
      <c r="J809" s="6"/>
      <c r="K809" s="6"/>
      <c r="L809" s="6" t="s">
        <v>4496</v>
      </c>
      <c r="M809" s="6"/>
      <c r="N809" s="6" t="s">
        <v>4497</v>
      </c>
      <c r="O809" s="6" t="str">
        <f>HYPERLINK("https://ceds.ed.gov/cedselementdetails.aspx?termid=5611")</f>
        <v>https://ceds.ed.gov/cedselementdetails.aspx?termid=5611</v>
      </c>
      <c r="P809" s="6" t="str">
        <f>HYPERLINK("https://ceds.ed.gov/elementComment.aspx?elementName=Personal Information Verification &amp;elementID=5611", "Click here to submit comment")</f>
        <v>Click here to submit comment</v>
      </c>
    </row>
    <row r="810" spans="1:16" ht="285">
      <c r="A810" s="6" t="s">
        <v>6788</v>
      </c>
      <c r="B810" s="6" t="s">
        <v>6804</v>
      </c>
      <c r="C810" s="6" t="s">
        <v>6720</v>
      </c>
      <c r="D810" s="6" t="s">
        <v>191</v>
      </c>
      <c r="E810" s="6" t="s">
        <v>192</v>
      </c>
      <c r="F810" s="7" t="s">
        <v>6353</v>
      </c>
      <c r="G810" s="6" t="s">
        <v>5976</v>
      </c>
      <c r="H810" s="6" t="s">
        <v>66</v>
      </c>
      <c r="I810" s="6" t="s">
        <v>100</v>
      </c>
      <c r="J810" s="6" t="s">
        <v>193</v>
      </c>
      <c r="K810" s="6"/>
      <c r="L810" s="6" t="s">
        <v>194</v>
      </c>
      <c r="M810" s="6"/>
      <c r="N810" s="6" t="s">
        <v>195</v>
      </c>
      <c r="O810" s="6" t="str">
        <f>HYPERLINK("https://ceds.ed.gov/cedselementdetails.aspx?termid=5358")</f>
        <v>https://ceds.ed.gov/cedselementdetails.aspx?termid=5358</v>
      </c>
      <c r="P810" s="6" t="str">
        <f>HYPERLINK("https://ceds.ed.gov/elementComment.aspx?elementName=Address Type for Learner or Family &amp;elementID=5358", "Click here to submit comment")</f>
        <v>Click here to submit comment</v>
      </c>
    </row>
    <row r="811" spans="1:16" ht="225">
      <c r="A811" s="6" t="s">
        <v>6788</v>
      </c>
      <c r="B811" s="6" t="s">
        <v>6804</v>
      </c>
      <c r="C811" s="6" t="s">
        <v>6720</v>
      </c>
      <c r="D811" s="6" t="s">
        <v>187</v>
      </c>
      <c r="E811" s="6" t="s">
        <v>188</v>
      </c>
      <c r="F811" s="6" t="s">
        <v>13</v>
      </c>
      <c r="G811" s="6" t="s">
        <v>5973</v>
      </c>
      <c r="H811" s="6" t="s">
        <v>3</v>
      </c>
      <c r="I811" s="6" t="s">
        <v>149</v>
      </c>
      <c r="J811" s="6"/>
      <c r="K811" s="6"/>
      <c r="L811" s="6" t="s">
        <v>189</v>
      </c>
      <c r="M811" s="6"/>
      <c r="N811" s="6" t="s">
        <v>190</v>
      </c>
      <c r="O811" s="6" t="str">
        <f>HYPERLINK("https://ceds.ed.gov/cedselementdetails.aspx?termid=5269")</f>
        <v>https://ceds.ed.gov/cedselementdetails.aspx?termid=5269</v>
      </c>
      <c r="P811" s="6" t="str">
        <f>HYPERLINK("https://ceds.ed.gov/elementComment.aspx?elementName=Address Street Number and Name &amp;elementID=5269", "Click here to submit comment")</f>
        <v>Click here to submit comment</v>
      </c>
    </row>
    <row r="812" spans="1:16" ht="225">
      <c r="A812" s="6" t="s">
        <v>6788</v>
      </c>
      <c r="B812" s="6" t="s">
        <v>6804</v>
      </c>
      <c r="C812" s="6" t="s">
        <v>6720</v>
      </c>
      <c r="D812" s="6" t="s">
        <v>170</v>
      </c>
      <c r="E812" s="6" t="s">
        <v>171</v>
      </c>
      <c r="F812" s="6" t="s">
        <v>13</v>
      </c>
      <c r="G812" s="6" t="s">
        <v>5973</v>
      </c>
      <c r="H812" s="6" t="s">
        <v>3</v>
      </c>
      <c r="I812" s="6" t="s">
        <v>100</v>
      </c>
      <c r="J812" s="6"/>
      <c r="K812" s="6"/>
      <c r="L812" s="6" t="s">
        <v>172</v>
      </c>
      <c r="M812" s="6"/>
      <c r="N812" s="6" t="s">
        <v>173</v>
      </c>
      <c r="O812" s="6" t="str">
        <f>HYPERLINK("https://ceds.ed.gov/cedselementdetails.aspx?termid=5019")</f>
        <v>https://ceds.ed.gov/cedselementdetails.aspx?termid=5019</v>
      </c>
      <c r="P812" s="6" t="str">
        <f>HYPERLINK("https://ceds.ed.gov/elementComment.aspx?elementName=Address Apartment Room or Suite Number &amp;elementID=5019", "Click here to submit comment")</f>
        <v>Click here to submit comment</v>
      </c>
    </row>
    <row r="813" spans="1:16" ht="225">
      <c r="A813" s="6" t="s">
        <v>6788</v>
      </c>
      <c r="B813" s="6" t="s">
        <v>6804</v>
      </c>
      <c r="C813" s="6" t="s">
        <v>6720</v>
      </c>
      <c r="D813" s="6" t="s">
        <v>174</v>
      </c>
      <c r="E813" s="6" t="s">
        <v>175</v>
      </c>
      <c r="F813" s="6" t="s">
        <v>13</v>
      </c>
      <c r="G813" s="6" t="s">
        <v>5973</v>
      </c>
      <c r="H813" s="6" t="s">
        <v>3</v>
      </c>
      <c r="I813" s="6" t="s">
        <v>100</v>
      </c>
      <c r="J813" s="6"/>
      <c r="K813" s="6"/>
      <c r="L813" s="6" t="s">
        <v>176</v>
      </c>
      <c r="M813" s="6"/>
      <c r="N813" s="6" t="s">
        <v>177</v>
      </c>
      <c r="O813" s="6" t="str">
        <f>HYPERLINK("https://ceds.ed.gov/cedselementdetails.aspx?termid=5040")</f>
        <v>https://ceds.ed.gov/cedselementdetails.aspx?termid=5040</v>
      </c>
      <c r="P813" s="6" t="str">
        <f>HYPERLINK("https://ceds.ed.gov/elementComment.aspx?elementName=Address City &amp;elementID=5040", "Click here to submit comment")</f>
        <v>Click here to submit comment</v>
      </c>
    </row>
    <row r="814" spans="1:16" ht="409.5">
      <c r="A814" s="6" t="s">
        <v>6788</v>
      </c>
      <c r="B814" s="6" t="s">
        <v>6804</v>
      </c>
      <c r="C814" s="6" t="s">
        <v>6720</v>
      </c>
      <c r="D814" s="6" t="s">
        <v>5533</v>
      </c>
      <c r="E814" s="6" t="s">
        <v>5534</v>
      </c>
      <c r="F814" s="7" t="s">
        <v>6633</v>
      </c>
      <c r="G814" s="6" t="s">
        <v>6324</v>
      </c>
      <c r="H814" s="6" t="s">
        <v>3</v>
      </c>
      <c r="I814" s="6"/>
      <c r="J814" s="6"/>
      <c r="K814" s="6"/>
      <c r="L814" s="6" t="s">
        <v>5535</v>
      </c>
      <c r="M814" s="6"/>
      <c r="N814" s="6" t="s">
        <v>5536</v>
      </c>
      <c r="O814" s="6" t="str">
        <f>HYPERLINK("https://ceds.ed.gov/cedselementdetails.aspx?termid=5267")</f>
        <v>https://ceds.ed.gov/cedselementdetails.aspx?termid=5267</v>
      </c>
      <c r="P814" s="6" t="str">
        <f>HYPERLINK("https://ceds.ed.gov/elementComment.aspx?elementName=State Abbreviation &amp;elementID=5267", "Click here to submit comment")</f>
        <v>Click here to submit comment</v>
      </c>
    </row>
    <row r="815" spans="1:16" ht="225">
      <c r="A815" s="6" t="s">
        <v>6788</v>
      </c>
      <c r="B815" s="6" t="s">
        <v>6804</v>
      </c>
      <c r="C815" s="6" t="s">
        <v>6720</v>
      </c>
      <c r="D815" s="6" t="s">
        <v>182</v>
      </c>
      <c r="E815" s="6" t="s">
        <v>183</v>
      </c>
      <c r="F815" s="6" t="s">
        <v>13</v>
      </c>
      <c r="G815" s="6" t="s">
        <v>5973</v>
      </c>
      <c r="H815" s="6" t="s">
        <v>3</v>
      </c>
      <c r="I815" s="6" t="s">
        <v>184</v>
      </c>
      <c r="J815" s="6"/>
      <c r="K815" s="6"/>
      <c r="L815" s="6" t="s">
        <v>185</v>
      </c>
      <c r="M815" s="6"/>
      <c r="N815" s="6" t="s">
        <v>186</v>
      </c>
      <c r="O815" s="6" t="str">
        <f>HYPERLINK("https://ceds.ed.gov/cedselementdetails.aspx?termid=5214")</f>
        <v>https://ceds.ed.gov/cedselementdetails.aspx?termid=5214</v>
      </c>
      <c r="P815" s="6" t="str">
        <f>HYPERLINK("https://ceds.ed.gov/elementComment.aspx?elementName=Address Postal Code &amp;elementID=5214", "Click here to submit comment")</f>
        <v>Click here to submit comment</v>
      </c>
    </row>
    <row r="816" spans="1:16" ht="225">
      <c r="A816" s="6" t="s">
        <v>6788</v>
      </c>
      <c r="B816" s="6" t="s">
        <v>6804</v>
      </c>
      <c r="C816" s="6" t="s">
        <v>6720</v>
      </c>
      <c r="D816" s="6" t="s">
        <v>178</v>
      </c>
      <c r="E816" s="6" t="s">
        <v>179</v>
      </c>
      <c r="F816" s="6" t="s">
        <v>13</v>
      </c>
      <c r="G816" s="6" t="s">
        <v>5973</v>
      </c>
      <c r="H816" s="6" t="s">
        <v>3</v>
      </c>
      <c r="I816" s="6" t="s">
        <v>100</v>
      </c>
      <c r="J816" s="6"/>
      <c r="K816" s="6"/>
      <c r="L816" s="6" t="s">
        <v>180</v>
      </c>
      <c r="M816" s="6"/>
      <c r="N816" s="6" t="s">
        <v>181</v>
      </c>
      <c r="O816" s="6" t="str">
        <f>HYPERLINK("https://ceds.ed.gov/cedselementdetails.aspx?termid=5190")</f>
        <v>https://ceds.ed.gov/cedselementdetails.aspx?termid=5190</v>
      </c>
      <c r="P816" s="6" t="str">
        <f>HYPERLINK("https://ceds.ed.gov/elementComment.aspx?elementName=Address County Name &amp;elementID=5190", "Click here to submit comment")</f>
        <v>Click here to submit comment</v>
      </c>
    </row>
    <row r="817" spans="1:16" ht="409.5">
      <c r="A817" s="6" t="s">
        <v>6788</v>
      </c>
      <c r="B817" s="6" t="s">
        <v>6804</v>
      </c>
      <c r="C817" s="6" t="s">
        <v>6720</v>
      </c>
      <c r="D817" s="6" t="s">
        <v>1809</v>
      </c>
      <c r="E817" s="6" t="s">
        <v>1810</v>
      </c>
      <c r="F817" s="7" t="s">
        <v>6433</v>
      </c>
      <c r="G817" s="6" t="s">
        <v>6107</v>
      </c>
      <c r="H817" s="6" t="s">
        <v>3</v>
      </c>
      <c r="I817" s="6"/>
      <c r="J817" s="6"/>
      <c r="K817" s="6"/>
      <c r="L817" s="6" t="s">
        <v>1811</v>
      </c>
      <c r="M817" s="6"/>
      <c r="N817" s="6" t="s">
        <v>1812</v>
      </c>
      <c r="O817" s="6" t="str">
        <f>HYPERLINK("https://ceds.ed.gov/cedselementdetails.aspx?termid=5050")</f>
        <v>https://ceds.ed.gov/cedselementdetails.aspx?termid=5050</v>
      </c>
      <c r="P817" s="6" t="str">
        <f>HYPERLINK("https://ceds.ed.gov/elementComment.aspx?elementName=Country Code &amp;elementID=5050", "Click here to submit comment")</f>
        <v>Click here to submit comment</v>
      </c>
    </row>
    <row r="818" spans="1:16" ht="135">
      <c r="A818" s="6" t="s">
        <v>6788</v>
      </c>
      <c r="B818" s="6" t="s">
        <v>6804</v>
      </c>
      <c r="C818" s="6" t="s">
        <v>6721</v>
      </c>
      <c r="D818" s="6" t="s">
        <v>5732</v>
      </c>
      <c r="E818" s="6" t="s">
        <v>5733</v>
      </c>
      <c r="F818" s="7" t="s">
        <v>6675</v>
      </c>
      <c r="G818" s="6" t="s">
        <v>5968</v>
      </c>
      <c r="H818" s="6" t="s">
        <v>3</v>
      </c>
      <c r="I818" s="6" t="s">
        <v>2844</v>
      </c>
      <c r="J818" s="6"/>
      <c r="K818" s="6"/>
      <c r="L818" s="6" t="s">
        <v>5734</v>
      </c>
      <c r="M818" s="6"/>
      <c r="N818" s="6" t="s">
        <v>5735</v>
      </c>
      <c r="O818" s="6" t="str">
        <f>HYPERLINK("https://ceds.ed.gov/cedselementdetails.aspx?termid=5280")</f>
        <v>https://ceds.ed.gov/cedselementdetails.aspx?termid=5280</v>
      </c>
      <c r="P818" s="6" t="str">
        <f>HYPERLINK("https://ceds.ed.gov/elementComment.aspx?elementName=Telephone Number Type &amp;elementID=5280", "Click here to submit comment")</f>
        <v>Click here to submit comment</v>
      </c>
    </row>
    <row r="819" spans="1:16" ht="90">
      <c r="A819" s="6" t="s">
        <v>6788</v>
      </c>
      <c r="B819" s="6" t="s">
        <v>6804</v>
      </c>
      <c r="C819" s="6" t="s">
        <v>6721</v>
      </c>
      <c r="D819" s="6" t="s">
        <v>4591</v>
      </c>
      <c r="E819" s="6" t="s">
        <v>4592</v>
      </c>
      <c r="F819" s="6" t="s">
        <v>5963</v>
      </c>
      <c r="G819" s="6" t="s">
        <v>5968</v>
      </c>
      <c r="H819" s="6" t="s">
        <v>3</v>
      </c>
      <c r="I819" s="6"/>
      <c r="J819" s="6"/>
      <c r="K819" s="6"/>
      <c r="L819" s="6" t="s">
        <v>4593</v>
      </c>
      <c r="M819" s="6"/>
      <c r="N819" s="6" t="s">
        <v>4594</v>
      </c>
      <c r="O819" s="6" t="str">
        <f>HYPERLINK("https://ceds.ed.gov/cedselementdetails.aspx?termid=5219")</f>
        <v>https://ceds.ed.gov/cedselementdetails.aspx?termid=5219</v>
      </c>
      <c r="P819" s="6" t="str">
        <f>HYPERLINK("https://ceds.ed.gov/elementComment.aspx?elementName=Primary Telephone Number Indicator &amp;elementID=5219", "Click here to submit comment")</f>
        <v>Click here to submit comment</v>
      </c>
    </row>
    <row r="820" spans="1:16" ht="90">
      <c r="A820" s="6" t="s">
        <v>6788</v>
      </c>
      <c r="B820" s="6" t="s">
        <v>6804</v>
      </c>
      <c r="C820" s="6" t="s">
        <v>6721</v>
      </c>
      <c r="D820" s="6" t="s">
        <v>5727</v>
      </c>
      <c r="E820" s="6" t="s">
        <v>5728</v>
      </c>
      <c r="F820" s="6" t="s">
        <v>13</v>
      </c>
      <c r="G820" s="6" t="s">
        <v>5968</v>
      </c>
      <c r="H820" s="6" t="s">
        <v>3</v>
      </c>
      <c r="I820" s="6" t="s">
        <v>5729</v>
      </c>
      <c r="J820" s="6"/>
      <c r="K820" s="6"/>
      <c r="L820" s="6" t="s">
        <v>5730</v>
      </c>
      <c r="M820" s="6"/>
      <c r="N820" s="6" t="s">
        <v>5731</v>
      </c>
      <c r="O820" s="6" t="str">
        <f>HYPERLINK("https://ceds.ed.gov/cedselementdetails.aspx?termid=5279")</f>
        <v>https://ceds.ed.gov/cedselementdetails.aspx?termid=5279</v>
      </c>
      <c r="P820" s="6" t="str">
        <f>HYPERLINK("https://ceds.ed.gov/elementComment.aspx?elementName=Telephone Number &amp;elementID=5279", "Click here to submit comment")</f>
        <v>Click here to submit comment</v>
      </c>
    </row>
    <row r="821" spans="1:16" ht="105">
      <c r="A821" s="6" t="s">
        <v>6788</v>
      </c>
      <c r="B821" s="6" t="s">
        <v>6804</v>
      </c>
      <c r="C821" s="6" t="s">
        <v>6742</v>
      </c>
      <c r="D821" s="6" t="s">
        <v>2457</v>
      </c>
      <c r="E821" s="6" t="s">
        <v>2458</v>
      </c>
      <c r="F821" s="7" t="s">
        <v>6489</v>
      </c>
      <c r="G821" s="6" t="s">
        <v>5968</v>
      </c>
      <c r="H821" s="6" t="s">
        <v>3</v>
      </c>
      <c r="I821" s="6"/>
      <c r="J821" s="6"/>
      <c r="K821" s="6"/>
      <c r="L821" s="6" t="s">
        <v>2459</v>
      </c>
      <c r="M821" s="6" t="s">
        <v>2460</v>
      </c>
      <c r="N821" s="6" t="s">
        <v>2461</v>
      </c>
      <c r="O821" s="6" t="str">
        <f>HYPERLINK("https://ceds.ed.gov/cedselementdetails.aspx?termid=5089")</f>
        <v>https://ceds.ed.gov/cedselementdetails.aspx?termid=5089</v>
      </c>
      <c r="P821" s="6" t="str">
        <f>HYPERLINK("https://ceds.ed.gov/elementComment.aspx?elementName=Electronic Mail Address Type &amp;elementID=5089", "Click here to submit comment")</f>
        <v>Click here to submit comment</v>
      </c>
    </row>
    <row r="822" spans="1:16" ht="90">
      <c r="A822" s="6" t="s">
        <v>6788</v>
      </c>
      <c r="B822" s="6" t="s">
        <v>6804</v>
      </c>
      <c r="C822" s="6" t="s">
        <v>6742</v>
      </c>
      <c r="D822" s="6" t="s">
        <v>2451</v>
      </c>
      <c r="E822" s="6" t="s">
        <v>2452</v>
      </c>
      <c r="F822" s="6" t="s">
        <v>13</v>
      </c>
      <c r="G822" s="6" t="s">
        <v>5968</v>
      </c>
      <c r="H822" s="6" t="s">
        <v>3</v>
      </c>
      <c r="I822" s="6" t="s">
        <v>2453</v>
      </c>
      <c r="J822" s="6"/>
      <c r="K822" s="6"/>
      <c r="L822" s="6" t="s">
        <v>2454</v>
      </c>
      <c r="M822" s="6" t="s">
        <v>2455</v>
      </c>
      <c r="N822" s="6" t="s">
        <v>2456</v>
      </c>
      <c r="O822" s="6" t="str">
        <f>HYPERLINK("https://ceds.ed.gov/cedselementdetails.aspx?termid=5088")</f>
        <v>https://ceds.ed.gov/cedselementdetails.aspx?termid=5088</v>
      </c>
      <c r="P822" s="6" t="str">
        <f>HYPERLINK("https://ceds.ed.gov/elementComment.aspx?elementName=Electronic Mail Address &amp;elementID=5088", "Click here to submit comment")</f>
        <v>Click here to submit comment</v>
      </c>
    </row>
    <row r="823" spans="1:16" ht="240">
      <c r="A823" s="6" t="s">
        <v>6788</v>
      </c>
      <c r="B823" s="6" t="s">
        <v>6804</v>
      </c>
      <c r="C823" s="6" t="s">
        <v>6722</v>
      </c>
      <c r="D823" s="6" t="s">
        <v>1474</v>
      </c>
      <c r="E823" s="6" t="s">
        <v>1475</v>
      </c>
      <c r="F823" s="6" t="s">
        <v>13</v>
      </c>
      <c r="G823" s="6" t="s">
        <v>6080</v>
      </c>
      <c r="H823" s="6" t="s">
        <v>3</v>
      </c>
      <c r="I823" s="6" t="s">
        <v>73</v>
      </c>
      <c r="J823" s="6"/>
      <c r="K823" s="6"/>
      <c r="L823" s="6" t="s">
        <v>1476</v>
      </c>
      <c r="M823" s="6"/>
      <c r="N823" s="6" t="s">
        <v>1474</v>
      </c>
      <c r="O823" s="6" t="str">
        <f>HYPERLINK("https://ceds.ed.gov/cedselementdetails.aspx?termid=5033")</f>
        <v>https://ceds.ed.gov/cedselementdetails.aspx?termid=5033</v>
      </c>
      <c r="P823" s="6" t="str">
        <f>HYPERLINK("https://ceds.ed.gov/elementComment.aspx?elementName=Birthdate &amp;elementID=5033", "Click here to submit comment")</f>
        <v>Click here to submit comment</v>
      </c>
    </row>
    <row r="824" spans="1:16" ht="255">
      <c r="A824" s="6" t="s">
        <v>6788</v>
      </c>
      <c r="B824" s="6" t="s">
        <v>6804</v>
      </c>
      <c r="C824" s="6" t="s">
        <v>6722</v>
      </c>
      <c r="D824" s="6" t="s">
        <v>5353</v>
      </c>
      <c r="E824" s="6" t="s">
        <v>5354</v>
      </c>
      <c r="F824" s="7" t="s">
        <v>6656</v>
      </c>
      <c r="G824" s="6" t="s">
        <v>6312</v>
      </c>
      <c r="H824" s="6" t="s">
        <v>3</v>
      </c>
      <c r="I824" s="6"/>
      <c r="J824" s="6"/>
      <c r="K824" s="6" t="s">
        <v>5355</v>
      </c>
      <c r="L824" s="6" t="s">
        <v>5356</v>
      </c>
      <c r="M824" s="6"/>
      <c r="N824" s="6" t="s">
        <v>5353</v>
      </c>
      <c r="O824" s="6" t="str">
        <f>HYPERLINK("https://ceds.ed.gov/cedselementdetails.aspx?termid=5255")</f>
        <v>https://ceds.ed.gov/cedselementdetails.aspx?termid=5255</v>
      </c>
      <c r="P824" s="6" t="str">
        <f>HYPERLINK("https://ceds.ed.gov/elementComment.aspx?elementName=Sex &amp;elementID=5255", "Click here to submit comment")</f>
        <v>Click here to submit comment</v>
      </c>
    </row>
    <row r="825" spans="1:16" ht="225">
      <c r="A825" s="6" t="s">
        <v>6788</v>
      </c>
      <c r="B825" s="6" t="s">
        <v>6804</v>
      </c>
      <c r="C825" s="6" t="s">
        <v>6722</v>
      </c>
      <c r="D825" s="6" t="s">
        <v>351</v>
      </c>
      <c r="E825" s="6" t="s">
        <v>352</v>
      </c>
      <c r="F825" s="7" t="s">
        <v>6373</v>
      </c>
      <c r="G825" s="6" t="s">
        <v>5986</v>
      </c>
      <c r="H825" s="6"/>
      <c r="I825" s="6"/>
      <c r="J825" s="6"/>
      <c r="K825" s="6" t="s">
        <v>353</v>
      </c>
      <c r="L825" s="6" t="s">
        <v>354</v>
      </c>
      <c r="M825" s="6"/>
      <c r="N825" s="6" t="s">
        <v>355</v>
      </c>
      <c r="O825" s="6" t="str">
        <f>HYPERLINK("https://ceds.ed.gov/cedselementdetails.aspx?termid=5655")</f>
        <v>https://ceds.ed.gov/cedselementdetails.aspx?termid=5655</v>
      </c>
      <c r="P825" s="6" t="str">
        <f>HYPERLINK("https://ceds.ed.gov/elementComment.aspx?elementName=American Indian or Alaska Native &amp;elementID=5655", "Click here to submit comment")</f>
        <v>Click here to submit comment</v>
      </c>
    </row>
    <row r="826" spans="1:16" ht="225">
      <c r="A826" s="6" t="s">
        <v>6788</v>
      </c>
      <c r="B826" s="6" t="s">
        <v>6804</v>
      </c>
      <c r="C826" s="6" t="s">
        <v>6722</v>
      </c>
      <c r="D826" s="6" t="s">
        <v>392</v>
      </c>
      <c r="E826" s="6" t="s">
        <v>393</v>
      </c>
      <c r="F826" s="7" t="s">
        <v>6373</v>
      </c>
      <c r="G826" s="6" t="s">
        <v>5986</v>
      </c>
      <c r="H826" s="6"/>
      <c r="I826" s="6"/>
      <c r="J826" s="6"/>
      <c r="K826" s="6" t="s">
        <v>353</v>
      </c>
      <c r="L826" s="6" t="s">
        <v>394</v>
      </c>
      <c r="M826" s="6"/>
      <c r="N826" s="6" t="s">
        <v>392</v>
      </c>
      <c r="O826" s="6" t="str">
        <f>HYPERLINK("https://ceds.ed.gov/cedselementdetails.aspx?termid=5656")</f>
        <v>https://ceds.ed.gov/cedselementdetails.aspx?termid=5656</v>
      </c>
      <c r="P826" s="6" t="str">
        <f>HYPERLINK("https://ceds.ed.gov/elementComment.aspx?elementName=Asian &amp;elementID=5656", "Click here to submit comment")</f>
        <v>Click here to submit comment</v>
      </c>
    </row>
    <row r="827" spans="1:16" ht="225">
      <c r="A827" s="6" t="s">
        <v>6788</v>
      </c>
      <c r="B827" s="6" t="s">
        <v>6804</v>
      </c>
      <c r="C827" s="6" t="s">
        <v>6722</v>
      </c>
      <c r="D827" s="6" t="s">
        <v>1483</v>
      </c>
      <c r="E827" s="6" t="s">
        <v>1484</v>
      </c>
      <c r="F827" s="7" t="s">
        <v>6373</v>
      </c>
      <c r="G827" s="6" t="s">
        <v>5986</v>
      </c>
      <c r="H827" s="6"/>
      <c r="I827" s="6"/>
      <c r="J827" s="6"/>
      <c r="K827" s="6" t="s">
        <v>353</v>
      </c>
      <c r="L827" s="6" t="s">
        <v>1485</v>
      </c>
      <c r="M827" s="6"/>
      <c r="N827" s="6" t="s">
        <v>1486</v>
      </c>
      <c r="O827" s="6" t="str">
        <f>HYPERLINK("https://ceds.ed.gov/cedselementdetails.aspx?termid=5657")</f>
        <v>https://ceds.ed.gov/cedselementdetails.aspx?termid=5657</v>
      </c>
      <c r="P827" s="6" t="str">
        <f>HYPERLINK("https://ceds.ed.gov/elementComment.aspx?elementName=Black or African American &amp;elementID=5657", "Click here to submit comment")</f>
        <v>Click here to submit comment</v>
      </c>
    </row>
    <row r="828" spans="1:16" ht="225">
      <c r="A828" s="6" t="s">
        <v>6788</v>
      </c>
      <c r="B828" s="6" t="s">
        <v>6804</v>
      </c>
      <c r="C828" s="6" t="s">
        <v>6722</v>
      </c>
      <c r="D828" s="6" t="s">
        <v>4202</v>
      </c>
      <c r="E828" s="6" t="s">
        <v>4203</v>
      </c>
      <c r="F828" s="7" t="s">
        <v>6373</v>
      </c>
      <c r="G828" s="6" t="s">
        <v>5986</v>
      </c>
      <c r="H828" s="6"/>
      <c r="I828" s="6"/>
      <c r="J828" s="6"/>
      <c r="K828" s="6" t="s">
        <v>353</v>
      </c>
      <c r="L828" s="6" t="s">
        <v>4204</v>
      </c>
      <c r="M828" s="6"/>
      <c r="N828" s="6" t="s">
        <v>4205</v>
      </c>
      <c r="O828" s="6" t="str">
        <f>HYPERLINK("https://ceds.ed.gov/cedselementdetails.aspx?termid=5658")</f>
        <v>https://ceds.ed.gov/cedselementdetails.aspx?termid=5658</v>
      </c>
      <c r="P828" s="6" t="str">
        <f>HYPERLINK("https://ceds.ed.gov/elementComment.aspx?elementName=Native Hawaiian or Other Pacific Islander &amp;elementID=5658", "Click here to submit comment")</f>
        <v>Click here to submit comment</v>
      </c>
    </row>
    <row r="829" spans="1:16" ht="225">
      <c r="A829" s="6" t="s">
        <v>6788</v>
      </c>
      <c r="B829" s="6" t="s">
        <v>6804</v>
      </c>
      <c r="C829" s="6" t="s">
        <v>6722</v>
      </c>
      <c r="D829" s="6" t="s">
        <v>5925</v>
      </c>
      <c r="E829" s="6" t="s">
        <v>5926</v>
      </c>
      <c r="F829" s="7" t="s">
        <v>6373</v>
      </c>
      <c r="G829" s="6" t="s">
        <v>5986</v>
      </c>
      <c r="H829" s="6"/>
      <c r="I829" s="6"/>
      <c r="J829" s="6"/>
      <c r="K829" s="6" t="s">
        <v>353</v>
      </c>
      <c r="L829" s="6" t="s">
        <v>5927</v>
      </c>
      <c r="M829" s="6"/>
      <c r="N829" s="6" t="s">
        <v>5925</v>
      </c>
      <c r="O829" s="6" t="str">
        <f>HYPERLINK("https://ceds.ed.gov/cedselementdetails.aspx?termid=5659")</f>
        <v>https://ceds.ed.gov/cedselementdetails.aspx?termid=5659</v>
      </c>
      <c r="P829" s="6" t="str">
        <f>HYPERLINK("https://ceds.ed.gov/elementComment.aspx?elementName=White &amp;elementID=5659", "Click here to submit comment")</f>
        <v>Click here to submit comment</v>
      </c>
    </row>
    <row r="830" spans="1:16" ht="75">
      <c r="A830" s="6" t="s">
        <v>6788</v>
      </c>
      <c r="B830" s="6" t="s">
        <v>6804</v>
      </c>
      <c r="C830" s="6" t="s">
        <v>6722</v>
      </c>
      <c r="D830" s="6" t="s">
        <v>2139</v>
      </c>
      <c r="E830" s="6" t="s">
        <v>2140</v>
      </c>
      <c r="F830" s="6" t="s">
        <v>5963</v>
      </c>
      <c r="G830" s="6"/>
      <c r="H830" s="6"/>
      <c r="I830" s="6"/>
      <c r="J830" s="6"/>
      <c r="K830" s="6" t="s">
        <v>2141</v>
      </c>
      <c r="L830" s="6" t="s">
        <v>2142</v>
      </c>
      <c r="M830" s="6"/>
      <c r="N830" s="6" t="s">
        <v>2143</v>
      </c>
      <c r="O830" s="6" t="str">
        <f>HYPERLINK("https://ceds.ed.gov/cedselementdetails.aspx?termid=5974")</f>
        <v>https://ceds.ed.gov/cedselementdetails.aspx?termid=5974</v>
      </c>
      <c r="P830" s="6" t="str">
        <f>HYPERLINK("https://ceds.ed.gov/elementComment.aspx?elementName=Demographic Race Two or More Races &amp;elementID=5974", "Click here to submit comment")</f>
        <v>Click here to submit comment</v>
      </c>
    </row>
    <row r="831" spans="1:16" ht="225">
      <c r="A831" s="6" t="s">
        <v>6788</v>
      </c>
      <c r="B831" s="6" t="s">
        <v>6804</v>
      </c>
      <c r="C831" s="6" t="s">
        <v>6722</v>
      </c>
      <c r="D831" s="6" t="s">
        <v>2985</v>
      </c>
      <c r="E831" s="6" t="s">
        <v>2986</v>
      </c>
      <c r="F831" s="7" t="s">
        <v>6373</v>
      </c>
      <c r="G831" s="6" t="s">
        <v>5986</v>
      </c>
      <c r="H831" s="6"/>
      <c r="I831" s="6"/>
      <c r="J831" s="6"/>
      <c r="K831" s="6" t="s">
        <v>353</v>
      </c>
      <c r="L831" s="6" t="s">
        <v>2987</v>
      </c>
      <c r="M831" s="6"/>
      <c r="N831" s="6" t="s">
        <v>2988</v>
      </c>
      <c r="O831" s="6" t="str">
        <f>HYPERLINK("https://ceds.ed.gov/cedselementdetails.aspx?termid=5144")</f>
        <v>https://ceds.ed.gov/cedselementdetails.aspx?termid=5144</v>
      </c>
      <c r="P831" s="6" t="str">
        <f>HYPERLINK("https://ceds.ed.gov/elementComment.aspx?elementName=Hispanic or Latino Ethnicity &amp;elementID=5144", "Click here to submit comment")</f>
        <v>Click here to submit comment</v>
      </c>
    </row>
    <row r="832" spans="1:16" ht="409.5">
      <c r="A832" s="6" t="s">
        <v>6788</v>
      </c>
      <c r="B832" s="6" t="s">
        <v>6804</v>
      </c>
      <c r="C832" s="6" t="s">
        <v>6722</v>
      </c>
      <c r="D832" s="6" t="s">
        <v>1813</v>
      </c>
      <c r="E832" s="6" t="s">
        <v>1814</v>
      </c>
      <c r="F832" s="7" t="s">
        <v>6433</v>
      </c>
      <c r="G832" s="6" t="s">
        <v>6108</v>
      </c>
      <c r="H832" s="6"/>
      <c r="I832" s="6"/>
      <c r="J832" s="6"/>
      <c r="K832" s="6"/>
      <c r="L832" s="6" t="s">
        <v>1815</v>
      </c>
      <c r="M832" s="6"/>
      <c r="N832" s="6" t="s">
        <v>1816</v>
      </c>
      <c r="O832" s="6" t="str">
        <f>HYPERLINK("https://ceds.ed.gov/cedselementdetails.aspx?termid=5051")</f>
        <v>https://ceds.ed.gov/cedselementdetails.aspx?termid=5051</v>
      </c>
      <c r="P832" s="6" t="str">
        <f>HYPERLINK("https://ceds.ed.gov/elementComment.aspx?elementName=Country of Birth Code &amp;elementID=5051", "Click here to submit comment")</f>
        <v>Click here to submit comment</v>
      </c>
    </row>
    <row r="833" spans="1:16" ht="409.5">
      <c r="A833" s="6" t="s">
        <v>6788</v>
      </c>
      <c r="B833" s="6" t="s">
        <v>6804</v>
      </c>
      <c r="C833" s="6" t="s">
        <v>6722</v>
      </c>
      <c r="D833" s="6" t="s">
        <v>5575</v>
      </c>
      <c r="E833" s="6" t="s">
        <v>5576</v>
      </c>
      <c r="F833" s="7" t="s">
        <v>6633</v>
      </c>
      <c r="G833" s="6" t="s">
        <v>1480</v>
      </c>
      <c r="H833" s="6"/>
      <c r="I833" s="6"/>
      <c r="J833" s="6"/>
      <c r="K833" s="6"/>
      <c r="L833" s="6" t="s">
        <v>5577</v>
      </c>
      <c r="M833" s="6"/>
      <c r="N833" s="6" t="s">
        <v>5578</v>
      </c>
      <c r="O833" s="6" t="str">
        <f>HYPERLINK("https://ceds.ed.gov/cedselementdetails.aspx?termid=5417")</f>
        <v>https://ceds.ed.gov/cedselementdetails.aspx?termid=5417</v>
      </c>
      <c r="P833" s="6" t="str">
        <f>HYPERLINK("https://ceds.ed.gov/elementComment.aspx?elementName=State of Birth Abbreviation &amp;elementID=5417", "Click here to submit comment")</f>
        <v>Click here to submit comment</v>
      </c>
    </row>
    <row r="834" spans="1:16" ht="30">
      <c r="A834" s="6" t="s">
        <v>6788</v>
      </c>
      <c r="B834" s="6" t="s">
        <v>6804</v>
      </c>
      <c r="C834" s="6" t="s">
        <v>6722</v>
      </c>
      <c r="D834" s="6" t="s">
        <v>1673</v>
      </c>
      <c r="E834" s="6" t="s">
        <v>1674</v>
      </c>
      <c r="F834" s="6" t="s">
        <v>13</v>
      </c>
      <c r="G834" s="6" t="s">
        <v>1480</v>
      </c>
      <c r="H834" s="6"/>
      <c r="I834" s="6" t="s">
        <v>100</v>
      </c>
      <c r="J834" s="6"/>
      <c r="K834" s="6"/>
      <c r="L834" s="6" t="s">
        <v>1676</v>
      </c>
      <c r="M834" s="6"/>
      <c r="N834" s="6" t="s">
        <v>1677</v>
      </c>
      <c r="O834" s="6" t="str">
        <f>HYPERLINK("https://ceds.ed.gov/cedselementdetails.aspx?termid=5416")</f>
        <v>https://ceds.ed.gov/cedselementdetails.aspx?termid=5416</v>
      </c>
      <c r="P834" s="6" t="str">
        <f>HYPERLINK("https://ceds.ed.gov/elementComment.aspx?elementName=City of Birth &amp;elementID=5416", "Click here to submit comment")</f>
        <v>Click here to submit comment</v>
      </c>
    </row>
    <row r="835" spans="1:16" ht="255">
      <c r="A835" s="6" t="s">
        <v>6788</v>
      </c>
      <c r="B835" s="6" t="s">
        <v>6804</v>
      </c>
      <c r="C835" s="6" t="s">
        <v>6722</v>
      </c>
      <c r="D835" s="6" t="s">
        <v>4895</v>
      </c>
      <c r="E835" s="6" t="s">
        <v>4896</v>
      </c>
      <c r="F835" s="7" t="s">
        <v>6631</v>
      </c>
      <c r="G835" s="6"/>
      <c r="H835" s="6"/>
      <c r="I835" s="6"/>
      <c r="J835" s="6"/>
      <c r="K835" s="6"/>
      <c r="L835" s="6" t="s">
        <v>4897</v>
      </c>
      <c r="M835" s="6"/>
      <c r="N835" s="6" t="s">
        <v>4898</v>
      </c>
      <c r="O835" s="6" t="str">
        <f>HYPERLINK("https://ceds.ed.gov/cedselementdetails.aspx?termid=5523")</f>
        <v>https://ceds.ed.gov/cedselementdetails.aspx?termid=5523</v>
      </c>
      <c r="P835" s="6" t="str">
        <f>HYPERLINK("https://ceds.ed.gov/elementComment.aspx?elementName=Public School Residence Status &amp;elementID=5523", "Click here to submit comment")</f>
        <v>Click here to submit comment</v>
      </c>
    </row>
    <row r="836" spans="1:16" ht="120">
      <c r="A836" s="6" t="s">
        <v>6788</v>
      </c>
      <c r="B836" s="6" t="s">
        <v>6804</v>
      </c>
      <c r="C836" s="6" t="s">
        <v>6805</v>
      </c>
      <c r="D836" s="6" t="s">
        <v>4022</v>
      </c>
      <c r="E836" s="6" t="s">
        <v>4023</v>
      </c>
      <c r="F836" s="6" t="s">
        <v>13</v>
      </c>
      <c r="G836" s="6" t="s">
        <v>6252</v>
      </c>
      <c r="H836" s="6"/>
      <c r="I836" s="6" t="s">
        <v>100</v>
      </c>
      <c r="J836" s="6"/>
      <c r="K836" s="6"/>
      <c r="L836" s="6" t="s">
        <v>4024</v>
      </c>
      <c r="M836" s="6" t="s">
        <v>4025</v>
      </c>
      <c r="N836" s="6" t="s">
        <v>4026</v>
      </c>
      <c r="O836" s="6" t="str">
        <f>HYPERLINK("https://ceds.ed.gov/cedselementdetails.aspx?termid=5153")</f>
        <v>https://ceds.ed.gov/cedselementdetails.aspx?termid=5153</v>
      </c>
      <c r="P836" s="6" t="str">
        <f>HYPERLINK("https://ceds.ed.gov/elementComment.aspx?elementName=Local Education Agency Identifier &amp;elementID=5153", "Click here to submit comment")</f>
        <v>Click here to submit comment</v>
      </c>
    </row>
    <row r="837" spans="1:16" ht="285">
      <c r="A837" s="6" t="s">
        <v>6788</v>
      </c>
      <c r="B837" s="6" t="s">
        <v>6804</v>
      </c>
      <c r="C837" s="6" t="s">
        <v>6805</v>
      </c>
      <c r="D837" s="6" t="s">
        <v>4017</v>
      </c>
      <c r="E837" s="6" t="s">
        <v>4018</v>
      </c>
      <c r="F837" s="7" t="s">
        <v>6577</v>
      </c>
      <c r="G837" s="6" t="s">
        <v>6252</v>
      </c>
      <c r="H837" s="6"/>
      <c r="I837" s="6"/>
      <c r="J837" s="6"/>
      <c r="K837" s="6"/>
      <c r="L837" s="6" t="s">
        <v>4019</v>
      </c>
      <c r="M837" s="6" t="s">
        <v>4020</v>
      </c>
      <c r="N837" s="6" t="s">
        <v>4021</v>
      </c>
      <c r="O837" s="6" t="str">
        <f>HYPERLINK("https://ceds.ed.gov/cedselementdetails.aspx?termid=5159")</f>
        <v>https://ceds.ed.gov/cedselementdetails.aspx?termid=5159</v>
      </c>
      <c r="P837" s="6" t="str">
        <f>HYPERLINK("https://ceds.ed.gov/elementComment.aspx?elementName=Local Education Agency Identification System &amp;elementID=5159", "Click here to submit comment")</f>
        <v>Click here to submit comment</v>
      </c>
    </row>
    <row r="838" spans="1:16" ht="165">
      <c r="A838" s="6" t="s">
        <v>6788</v>
      </c>
      <c r="B838" s="6" t="s">
        <v>6804</v>
      </c>
      <c r="C838" s="6" t="s">
        <v>6805</v>
      </c>
      <c r="D838" s="6" t="s">
        <v>5224</v>
      </c>
      <c r="E838" s="6" t="s">
        <v>269</v>
      </c>
      <c r="F838" s="6" t="s">
        <v>13</v>
      </c>
      <c r="G838" s="6" t="s">
        <v>6308</v>
      </c>
      <c r="H838" s="6"/>
      <c r="I838" s="6" t="s">
        <v>100</v>
      </c>
      <c r="J838" s="6"/>
      <c r="K838" s="6"/>
      <c r="L838" s="6" t="s">
        <v>5225</v>
      </c>
      <c r="M838" s="6"/>
      <c r="N838" s="6" t="s">
        <v>5226</v>
      </c>
      <c r="O838" s="6" t="str">
        <f>HYPERLINK("https://ceds.ed.gov/cedselementdetails.aspx?termid=5155")</f>
        <v>https://ceds.ed.gov/cedselementdetails.aspx?termid=5155</v>
      </c>
      <c r="P838" s="6" t="str">
        <f>HYPERLINK("https://ceds.ed.gov/elementComment.aspx?elementName=School Identifier &amp;elementID=5155", "Click here to submit comment")</f>
        <v>Click here to submit comment</v>
      </c>
    </row>
    <row r="839" spans="1:16" ht="360">
      <c r="A839" s="6" t="s">
        <v>6788</v>
      </c>
      <c r="B839" s="6" t="s">
        <v>6804</v>
      </c>
      <c r="C839" s="6" t="s">
        <v>6805</v>
      </c>
      <c r="D839" s="6" t="s">
        <v>5221</v>
      </c>
      <c r="E839" s="6" t="s">
        <v>265</v>
      </c>
      <c r="F839" s="7" t="s">
        <v>6645</v>
      </c>
      <c r="G839" s="6" t="s">
        <v>6308</v>
      </c>
      <c r="H839" s="6"/>
      <c r="I839" s="6"/>
      <c r="J839" s="6"/>
      <c r="K839" s="6"/>
      <c r="L839" s="6" t="s">
        <v>5222</v>
      </c>
      <c r="M839" s="6"/>
      <c r="N839" s="6" t="s">
        <v>5223</v>
      </c>
      <c r="O839" s="6" t="str">
        <f>HYPERLINK("https://ceds.ed.gov/cedselementdetails.aspx?termid=5161")</f>
        <v>https://ceds.ed.gov/cedselementdetails.aspx?termid=5161</v>
      </c>
      <c r="P839" s="6" t="str">
        <f>HYPERLINK("https://ceds.ed.gov/elementComment.aspx?elementName=School Identification System &amp;elementID=5161", "Click here to submit comment")</f>
        <v>Click here to submit comment</v>
      </c>
    </row>
    <row r="840" spans="1:16" ht="45">
      <c r="A840" s="6" t="s">
        <v>6788</v>
      </c>
      <c r="B840" s="6" t="s">
        <v>6804</v>
      </c>
      <c r="C840" s="6" t="s">
        <v>6805</v>
      </c>
      <c r="D840" s="6" t="s">
        <v>5045</v>
      </c>
      <c r="E840" s="6" t="s">
        <v>5046</v>
      </c>
      <c r="F840" s="6" t="s">
        <v>13</v>
      </c>
      <c r="G840" s="6" t="s">
        <v>218</v>
      </c>
      <c r="H840" s="6"/>
      <c r="I840" s="6" t="s">
        <v>100</v>
      </c>
      <c r="J840" s="6"/>
      <c r="K840" s="6"/>
      <c r="L840" s="6" t="s">
        <v>5047</v>
      </c>
      <c r="M840" s="6"/>
      <c r="N840" s="6" t="s">
        <v>5048</v>
      </c>
      <c r="O840" s="6" t="str">
        <f>HYPERLINK("https://ceds.ed.gov/cedselementdetails.aspx?termid=5639")</f>
        <v>https://ceds.ed.gov/cedselementdetails.aspx?termid=5639</v>
      </c>
      <c r="P840" s="6" t="str">
        <f>HYPERLINK("https://ceds.ed.gov/elementComment.aspx?elementName=Responsible District Identifier &amp;elementID=5639", "Click here to submit comment")</f>
        <v>Click here to submit comment</v>
      </c>
    </row>
    <row r="841" spans="1:16" ht="165">
      <c r="A841" s="6" t="s">
        <v>6788</v>
      </c>
      <c r="B841" s="6" t="s">
        <v>6804</v>
      </c>
      <c r="C841" s="6" t="s">
        <v>6805</v>
      </c>
      <c r="D841" s="6" t="s">
        <v>5049</v>
      </c>
      <c r="E841" s="6" t="s">
        <v>5050</v>
      </c>
      <c r="F841" s="7" t="s">
        <v>6641</v>
      </c>
      <c r="G841" s="6" t="s">
        <v>218</v>
      </c>
      <c r="H841" s="6" t="s">
        <v>3</v>
      </c>
      <c r="I841" s="6"/>
      <c r="J841" s="6"/>
      <c r="K841" s="6"/>
      <c r="L841" s="6" t="s">
        <v>5051</v>
      </c>
      <c r="M841" s="6"/>
      <c r="N841" s="6" t="s">
        <v>5052</v>
      </c>
      <c r="O841" s="6" t="str">
        <f>HYPERLINK("https://ceds.ed.gov/cedselementdetails.aspx?termid=5587")</f>
        <v>https://ceds.ed.gov/cedselementdetails.aspx?termid=5587</v>
      </c>
      <c r="P841" s="6" t="str">
        <f>HYPERLINK("https://ceds.ed.gov/elementComment.aspx?elementName=Responsible District Type &amp;elementID=5587", "Click here to submit comment")</f>
        <v>Click here to submit comment</v>
      </c>
    </row>
    <row r="842" spans="1:16" ht="45">
      <c r="A842" s="6" t="s">
        <v>6788</v>
      </c>
      <c r="B842" s="6" t="s">
        <v>6804</v>
      </c>
      <c r="C842" s="6" t="s">
        <v>6805</v>
      </c>
      <c r="D842" s="6" t="s">
        <v>5066</v>
      </c>
      <c r="E842" s="6" t="s">
        <v>5067</v>
      </c>
      <c r="F842" s="6" t="s">
        <v>13</v>
      </c>
      <c r="G842" s="6" t="s">
        <v>218</v>
      </c>
      <c r="H842" s="6"/>
      <c r="I842" s="6" t="s">
        <v>100</v>
      </c>
      <c r="J842" s="6"/>
      <c r="K842" s="6"/>
      <c r="L842" s="6" t="s">
        <v>5068</v>
      </c>
      <c r="M842" s="6"/>
      <c r="N842" s="6" t="s">
        <v>5069</v>
      </c>
      <c r="O842" s="6" t="str">
        <f>HYPERLINK("https://ceds.ed.gov/cedselementdetails.aspx?termid=5640")</f>
        <v>https://ceds.ed.gov/cedselementdetails.aspx?termid=5640</v>
      </c>
      <c r="P842" s="6" t="str">
        <f>HYPERLINK("https://ceds.ed.gov/elementComment.aspx?elementName=Responsible School Identifier &amp;elementID=5640", "Click here to submit comment")</f>
        <v>Click here to submit comment</v>
      </c>
    </row>
    <row r="843" spans="1:16" ht="165">
      <c r="A843" s="6" t="s">
        <v>6788</v>
      </c>
      <c r="B843" s="6" t="s">
        <v>6804</v>
      </c>
      <c r="C843" s="6" t="s">
        <v>6805</v>
      </c>
      <c r="D843" s="6" t="s">
        <v>2554</v>
      </c>
      <c r="E843" s="6" t="s">
        <v>2555</v>
      </c>
      <c r="F843" s="6" t="s">
        <v>13</v>
      </c>
      <c r="G843" s="6" t="s">
        <v>6159</v>
      </c>
      <c r="H843" s="6"/>
      <c r="I843" s="6" t="s">
        <v>73</v>
      </c>
      <c r="J843" s="6"/>
      <c r="K843" s="6"/>
      <c r="L843" s="6" t="s">
        <v>2556</v>
      </c>
      <c r="M843" s="6"/>
      <c r="N843" s="6" t="s">
        <v>2557</v>
      </c>
      <c r="O843" s="6" t="str">
        <f>HYPERLINK("https://ceds.ed.gov/cedselementdetails.aspx?termid=5097")</f>
        <v>https://ceds.ed.gov/cedselementdetails.aspx?termid=5097</v>
      </c>
      <c r="P843" s="6" t="str">
        <f>HYPERLINK("https://ceds.ed.gov/elementComment.aspx?elementName=Enrollment Entry Date &amp;elementID=5097", "Click here to submit comment")</f>
        <v>Click here to submit comment</v>
      </c>
    </row>
    <row r="844" spans="1:16" ht="165">
      <c r="A844" s="6" t="s">
        <v>6788</v>
      </c>
      <c r="B844" s="6" t="s">
        <v>6804</v>
      </c>
      <c r="C844" s="6" t="s">
        <v>6805</v>
      </c>
      <c r="D844" s="6" t="s">
        <v>5070</v>
      </c>
      <c r="E844" s="6" t="s">
        <v>5071</v>
      </c>
      <c r="F844" s="7" t="s">
        <v>6641</v>
      </c>
      <c r="G844" s="6" t="s">
        <v>218</v>
      </c>
      <c r="H844" s="6" t="s">
        <v>66</v>
      </c>
      <c r="I844" s="6"/>
      <c r="J844" s="6" t="s">
        <v>94</v>
      </c>
      <c r="K844" s="6"/>
      <c r="L844" s="6" t="s">
        <v>5072</v>
      </c>
      <c r="M844" s="6"/>
      <c r="N844" s="6" t="s">
        <v>5073</v>
      </c>
      <c r="O844" s="6" t="str">
        <f>HYPERLINK("https://ceds.ed.gov/cedselementdetails.aspx?termid=5588")</f>
        <v>https://ceds.ed.gov/cedselementdetails.aspx?termid=5588</v>
      </c>
      <c r="P844" s="6" t="str">
        <f>HYPERLINK("https://ceds.ed.gov/elementComment.aspx?elementName=Responsible School Type &amp;elementID=5588", "Click here to submit comment")</f>
        <v>Click here to submit comment</v>
      </c>
    </row>
    <row r="845" spans="1:16" ht="120">
      <c r="A845" s="6" t="s">
        <v>6788</v>
      </c>
      <c r="B845" s="6" t="s">
        <v>6804</v>
      </c>
      <c r="C845" s="6" t="s">
        <v>6805</v>
      </c>
      <c r="D845" s="6" t="s">
        <v>3402</v>
      </c>
      <c r="E845" s="6" t="s">
        <v>3403</v>
      </c>
      <c r="F845" s="7" t="s">
        <v>6562</v>
      </c>
      <c r="G845" s="6"/>
      <c r="H845" s="6"/>
      <c r="I845" s="6"/>
      <c r="J845" s="6"/>
      <c r="K845" s="6"/>
      <c r="L845" s="6" t="s">
        <v>3404</v>
      </c>
      <c r="M845" s="6"/>
      <c r="N845" s="6" t="s">
        <v>3405</v>
      </c>
      <c r="O845" s="6" t="str">
        <f>HYPERLINK("https://ceds.ed.gov/cedselementdetails.aspx?termid=5690")</f>
        <v>https://ceds.ed.gov/cedselementdetails.aspx?termid=5690</v>
      </c>
      <c r="P845" s="6" t="str">
        <f>HYPERLINK("https://ceds.ed.gov/elementComment.aspx?elementName=Kindergarten Program Participation Type &amp;elementID=5690", "Click here to submit comment")</f>
        <v>Click here to submit comment</v>
      </c>
    </row>
    <row r="846" spans="1:16" ht="90">
      <c r="A846" s="6" t="s">
        <v>6788</v>
      </c>
      <c r="B846" s="6" t="s">
        <v>6804</v>
      </c>
      <c r="C846" s="6" t="s">
        <v>6805</v>
      </c>
      <c r="D846" s="6" t="s">
        <v>2833</v>
      </c>
      <c r="E846" s="6" t="s">
        <v>2834</v>
      </c>
      <c r="F846" s="6" t="s">
        <v>6180</v>
      </c>
      <c r="G846" s="6" t="s">
        <v>5968</v>
      </c>
      <c r="H846" s="6" t="s">
        <v>66</v>
      </c>
      <c r="I846" s="6"/>
      <c r="J846" s="6" t="s">
        <v>2835</v>
      </c>
      <c r="K846" s="6"/>
      <c r="L846" s="6" t="s">
        <v>2836</v>
      </c>
      <c r="M846" s="6"/>
      <c r="N846" s="6" t="s">
        <v>2837</v>
      </c>
      <c r="O846" s="6" t="str">
        <f>HYPERLINK("https://ceds.ed.gov/cedselementdetails.aspx?termid=5122")</f>
        <v>https://ceds.ed.gov/cedselementdetails.aspx?termid=5122</v>
      </c>
      <c r="P846" s="6" t="str">
        <f>HYPERLINK("https://ceds.ed.gov/elementComment.aspx?elementName=Gifted and Talented Indicator &amp;elementID=5122", "Click here to submit comment")</f>
        <v>Click here to submit comment</v>
      </c>
    </row>
    <row r="847" spans="1:16" ht="120">
      <c r="A847" s="6" t="s">
        <v>6788</v>
      </c>
      <c r="B847" s="6" t="s">
        <v>6804</v>
      </c>
      <c r="C847" s="6" t="s">
        <v>6805</v>
      </c>
      <c r="D847" s="6" t="s">
        <v>2562</v>
      </c>
      <c r="E847" s="6" t="s">
        <v>2563</v>
      </c>
      <c r="F847" s="7" t="s">
        <v>6498</v>
      </c>
      <c r="G847" s="6" t="s">
        <v>218</v>
      </c>
      <c r="H847" s="6"/>
      <c r="I847" s="6"/>
      <c r="J847" s="6"/>
      <c r="K847" s="6"/>
      <c r="L847" s="6" t="s">
        <v>2564</v>
      </c>
      <c r="M847" s="6"/>
      <c r="N847" s="6" t="s">
        <v>2565</v>
      </c>
      <c r="O847" s="6" t="str">
        <f>HYPERLINK("https://ceds.ed.gov/cedselementdetails.aspx?termid=5094")</f>
        <v>https://ceds.ed.gov/cedselementdetails.aspx?termid=5094</v>
      </c>
      <c r="P847" s="6" t="str">
        <f>HYPERLINK("https://ceds.ed.gov/elementComment.aspx?elementName=Enrollment Status &amp;elementID=5094", "Click here to submit comment")</f>
        <v>Click here to submit comment</v>
      </c>
    </row>
    <row r="848" spans="1:16" ht="345">
      <c r="A848" s="6" t="s">
        <v>6788</v>
      </c>
      <c r="B848" s="6" t="s">
        <v>6804</v>
      </c>
      <c r="C848" s="6" t="s">
        <v>6805</v>
      </c>
      <c r="D848" s="6" t="s">
        <v>2570</v>
      </c>
      <c r="E848" s="6" t="s">
        <v>2571</v>
      </c>
      <c r="F848" s="7" t="s">
        <v>6499</v>
      </c>
      <c r="G848" s="6" t="s">
        <v>6084</v>
      </c>
      <c r="H848" s="6" t="s">
        <v>3</v>
      </c>
      <c r="I848" s="6"/>
      <c r="J848" s="6"/>
      <c r="K848" s="6"/>
      <c r="L848" s="6" t="s">
        <v>2572</v>
      </c>
      <c r="M848" s="6"/>
      <c r="N848" s="6" t="s">
        <v>2573</v>
      </c>
      <c r="O848" s="6" t="str">
        <f>HYPERLINK("https://ceds.ed.gov/cedselementdetails.aspx?termid=5100")</f>
        <v>https://ceds.ed.gov/cedselementdetails.aspx?termid=5100</v>
      </c>
      <c r="P848" s="6" t="str">
        <f>HYPERLINK("https://ceds.ed.gov/elementComment.aspx?elementName=Entry Grade Level &amp;elementID=5100", "Click here to submit comment")</f>
        <v>Click here to submit comment</v>
      </c>
    </row>
    <row r="849" spans="1:16" ht="409.5">
      <c r="A849" s="6" t="s">
        <v>6788</v>
      </c>
      <c r="B849" s="6" t="s">
        <v>6804</v>
      </c>
      <c r="C849" s="6" t="s">
        <v>6805</v>
      </c>
      <c r="D849" s="6" t="s">
        <v>2574</v>
      </c>
      <c r="E849" s="6" t="s">
        <v>2575</v>
      </c>
      <c r="F849" s="7" t="s">
        <v>6500</v>
      </c>
      <c r="G849" s="6" t="s">
        <v>5968</v>
      </c>
      <c r="H849" s="6"/>
      <c r="I849" s="6"/>
      <c r="J849" s="6"/>
      <c r="K849" s="6"/>
      <c r="L849" s="6" t="s">
        <v>2576</v>
      </c>
      <c r="M849" s="6"/>
      <c r="N849" s="6" t="s">
        <v>2577</v>
      </c>
      <c r="O849" s="6" t="str">
        <f>HYPERLINK("https://ceds.ed.gov/cedselementdetails.aspx?termid=5099")</f>
        <v>https://ceds.ed.gov/cedselementdetails.aspx?termid=5099</v>
      </c>
      <c r="P849" s="6" t="str">
        <f>HYPERLINK("https://ceds.ed.gov/elementComment.aspx?elementName=Entry Type &amp;elementID=5099", "Click here to submit comment")</f>
        <v>Click here to submit comment</v>
      </c>
    </row>
    <row r="850" spans="1:16" ht="60">
      <c r="A850" s="6" t="s">
        <v>6788</v>
      </c>
      <c r="B850" s="6" t="s">
        <v>6804</v>
      </c>
      <c r="C850" s="6" t="s">
        <v>6805</v>
      </c>
      <c r="D850" s="6" t="s">
        <v>2578</v>
      </c>
      <c r="E850" s="6" t="s">
        <v>2579</v>
      </c>
      <c r="F850" s="6" t="s">
        <v>13</v>
      </c>
      <c r="G850" s="6" t="s">
        <v>24</v>
      </c>
      <c r="H850" s="6"/>
      <c r="I850" s="6" t="s">
        <v>73</v>
      </c>
      <c r="J850" s="6"/>
      <c r="K850" s="6"/>
      <c r="L850" s="6" t="s">
        <v>2580</v>
      </c>
      <c r="M850" s="6"/>
      <c r="N850" s="6" t="s">
        <v>2581</v>
      </c>
      <c r="O850" s="6" t="str">
        <f>HYPERLINK("https://ceds.ed.gov/cedselementdetails.aspx?termid=5107")</f>
        <v>https://ceds.ed.gov/cedselementdetails.aspx?termid=5107</v>
      </c>
      <c r="P850" s="6" t="str">
        <f>HYPERLINK("https://ceds.ed.gov/elementComment.aspx?elementName=Exit Date &amp;elementID=5107", "Click here to submit comment")</f>
        <v>Click here to submit comment</v>
      </c>
    </row>
    <row r="851" spans="1:16" ht="345">
      <c r="A851" s="6" t="s">
        <v>6788</v>
      </c>
      <c r="B851" s="6" t="s">
        <v>6804</v>
      </c>
      <c r="C851" s="6" t="s">
        <v>6805</v>
      </c>
      <c r="D851" s="6" t="s">
        <v>2582</v>
      </c>
      <c r="E851" s="6" t="s">
        <v>2583</v>
      </c>
      <c r="F851" s="7" t="s">
        <v>6499</v>
      </c>
      <c r="G851" s="6"/>
      <c r="H851" s="6" t="s">
        <v>3</v>
      </c>
      <c r="I851" s="6"/>
      <c r="J851" s="6"/>
      <c r="K851" s="6"/>
      <c r="L851" s="6" t="s">
        <v>2584</v>
      </c>
      <c r="M851" s="6"/>
      <c r="N851" s="6" t="s">
        <v>2585</v>
      </c>
      <c r="O851" s="6" t="str">
        <f>HYPERLINK("https://ceds.ed.gov/cedselementdetails.aspx?termid=6177")</f>
        <v>https://ceds.ed.gov/cedselementdetails.aspx?termid=6177</v>
      </c>
      <c r="P851" s="6" t="str">
        <f>HYPERLINK("https://ceds.ed.gov/elementComment.aspx?elementName=Exit Grade Level &amp;elementID=6177", "Click here to submit comment")</f>
        <v>Click here to submit comment</v>
      </c>
    </row>
    <row r="852" spans="1:16" ht="409.5">
      <c r="A852" s="6" t="s">
        <v>6788</v>
      </c>
      <c r="B852" s="6" t="s">
        <v>6804</v>
      </c>
      <c r="C852" s="6" t="s">
        <v>6805</v>
      </c>
      <c r="D852" s="6" t="s">
        <v>2590</v>
      </c>
      <c r="E852" s="6" t="s">
        <v>2591</v>
      </c>
      <c r="F852" s="7" t="s">
        <v>6501</v>
      </c>
      <c r="G852" s="6" t="s">
        <v>6165</v>
      </c>
      <c r="H852" s="6"/>
      <c r="I852" s="6"/>
      <c r="J852" s="6"/>
      <c r="K852" s="6"/>
      <c r="L852" s="6" t="s">
        <v>2592</v>
      </c>
      <c r="M852" s="6"/>
      <c r="N852" s="6" t="s">
        <v>2593</v>
      </c>
      <c r="O852" s="6" t="str">
        <f>HYPERLINK("https://ceds.ed.gov/cedselementdetails.aspx?termid=5110")</f>
        <v>https://ceds.ed.gov/cedselementdetails.aspx?termid=5110</v>
      </c>
      <c r="P852" s="6" t="str">
        <f>HYPERLINK("https://ceds.ed.gov/elementComment.aspx?elementName=Exit or Withdrawal Type &amp;elementID=5110", "Click here to submit comment")</f>
        <v>Click here to submit comment</v>
      </c>
    </row>
    <row r="853" spans="1:16" ht="60">
      <c r="A853" s="6" t="s">
        <v>6788</v>
      </c>
      <c r="B853" s="6" t="s">
        <v>6804</v>
      </c>
      <c r="C853" s="6" t="s">
        <v>6805</v>
      </c>
      <c r="D853" s="6" t="s">
        <v>2586</v>
      </c>
      <c r="E853" s="6" t="s">
        <v>2587</v>
      </c>
      <c r="F853" s="6" t="s">
        <v>6163</v>
      </c>
      <c r="G853" s="6" t="s">
        <v>1990</v>
      </c>
      <c r="H853" s="6"/>
      <c r="I853" s="6"/>
      <c r="J853" s="6"/>
      <c r="K853" s="6"/>
      <c r="L853" s="6" t="s">
        <v>2588</v>
      </c>
      <c r="M853" s="6"/>
      <c r="N853" s="6" t="s">
        <v>2589</v>
      </c>
      <c r="O853" s="6" t="str">
        <f>HYPERLINK("https://ceds.ed.gov/cedselementdetails.aspx?termid=5108")</f>
        <v>https://ceds.ed.gov/cedselementdetails.aspx?termid=5108</v>
      </c>
      <c r="P853" s="6" t="str">
        <f>HYPERLINK("https://ceds.ed.gov/elementComment.aspx?elementName=Exit or Withdrawal Status &amp;elementID=5108", "Click here to submit comment")</f>
        <v>Click here to submit comment</v>
      </c>
    </row>
    <row r="854" spans="1:16" ht="60">
      <c r="A854" s="6" t="s">
        <v>6788</v>
      </c>
      <c r="B854" s="6" t="s">
        <v>6804</v>
      </c>
      <c r="C854" s="6" t="s">
        <v>6805</v>
      </c>
      <c r="D854" s="6" t="s">
        <v>1739</v>
      </c>
      <c r="E854" s="6" t="s">
        <v>1740</v>
      </c>
      <c r="F854" s="6" t="s">
        <v>13</v>
      </c>
      <c r="G854" s="6" t="s">
        <v>6093</v>
      </c>
      <c r="H854" s="6"/>
      <c r="I854" s="6" t="s">
        <v>1736</v>
      </c>
      <c r="J854" s="6"/>
      <c r="K854" s="6"/>
      <c r="L854" s="6" t="s">
        <v>1741</v>
      </c>
      <c r="M854" s="6"/>
      <c r="N854" s="6" t="s">
        <v>1742</v>
      </c>
      <c r="O854" s="6" t="str">
        <f>HYPERLINK("https://ceds.ed.gov/cedselementdetails.aspx?termid=5046")</f>
        <v>https://ceds.ed.gov/cedselementdetails.aspx?termid=5046</v>
      </c>
      <c r="P854" s="6" t="str">
        <f>HYPERLINK("https://ceds.ed.gov/elementComment.aspx?elementName=Cohort Year &amp;elementID=5046", "Click here to submit comment")</f>
        <v>Click here to submit comment</v>
      </c>
    </row>
    <row r="855" spans="1:16" ht="45">
      <c r="A855" s="6" t="s">
        <v>6788</v>
      </c>
      <c r="B855" s="6" t="s">
        <v>6804</v>
      </c>
      <c r="C855" s="6" t="s">
        <v>6805</v>
      </c>
      <c r="D855" s="6" t="s">
        <v>1734</v>
      </c>
      <c r="E855" s="6" t="s">
        <v>1735</v>
      </c>
      <c r="F855" s="6" t="s">
        <v>13</v>
      </c>
      <c r="G855" s="6" t="s">
        <v>6101</v>
      </c>
      <c r="H855" s="6" t="s">
        <v>3</v>
      </c>
      <c r="I855" s="6" t="s">
        <v>1736</v>
      </c>
      <c r="J855" s="6"/>
      <c r="K855" s="6"/>
      <c r="L855" s="6" t="s">
        <v>1737</v>
      </c>
      <c r="M855" s="6"/>
      <c r="N855" s="6" t="s">
        <v>1738</v>
      </c>
      <c r="O855" s="6" t="str">
        <f>HYPERLINK("https://ceds.ed.gov/cedselementdetails.aspx?termid=5577")</f>
        <v>https://ceds.ed.gov/cedselementdetails.aspx?termid=5577</v>
      </c>
      <c r="P855" s="6" t="str">
        <f>HYPERLINK("https://ceds.ed.gov/elementComment.aspx?elementName=Cohort Graduation Year &amp;elementID=5577", "Click here to submit comment")</f>
        <v>Click here to submit comment</v>
      </c>
    </row>
    <row r="856" spans="1:16" ht="90">
      <c r="A856" s="6" t="s">
        <v>6788</v>
      </c>
      <c r="B856" s="6" t="s">
        <v>6804</v>
      </c>
      <c r="C856" s="6" t="s">
        <v>6805</v>
      </c>
      <c r="D856" s="6" t="s">
        <v>161</v>
      </c>
      <c r="E856" s="6" t="s">
        <v>162</v>
      </c>
      <c r="F856" s="6" t="s">
        <v>13</v>
      </c>
      <c r="G856" s="6" t="s">
        <v>5968</v>
      </c>
      <c r="H856" s="6"/>
      <c r="I856" s="6" t="s">
        <v>106</v>
      </c>
      <c r="J856" s="6"/>
      <c r="K856" s="6"/>
      <c r="L856" s="6" t="s">
        <v>163</v>
      </c>
      <c r="M856" s="6"/>
      <c r="N856" s="6" t="s">
        <v>164</v>
      </c>
      <c r="O856" s="6" t="str">
        <f>HYPERLINK("https://ceds.ed.gov/cedselementdetails.aspx?termid=5009")</f>
        <v>https://ceds.ed.gov/cedselementdetails.aspx?termid=5009</v>
      </c>
      <c r="P856" s="6" t="str">
        <f>HYPERLINK("https://ceds.ed.gov/elementComment.aspx?elementName=Activity Title &amp;elementID=5009", "Click here to submit comment")</f>
        <v>Click here to submit comment</v>
      </c>
    </row>
    <row r="857" spans="1:16" ht="90">
      <c r="A857" s="6" t="s">
        <v>6788</v>
      </c>
      <c r="B857" s="6" t="s">
        <v>6804</v>
      </c>
      <c r="C857" s="6" t="s">
        <v>6805</v>
      </c>
      <c r="D857" s="6" t="s">
        <v>147</v>
      </c>
      <c r="E857" s="6" t="s">
        <v>148</v>
      </c>
      <c r="F857" s="6" t="s">
        <v>13</v>
      </c>
      <c r="G857" s="6" t="s">
        <v>5968</v>
      </c>
      <c r="H857" s="6"/>
      <c r="I857" s="6" t="s">
        <v>149</v>
      </c>
      <c r="J857" s="6"/>
      <c r="K857" s="6"/>
      <c r="L857" s="6" t="s">
        <v>150</v>
      </c>
      <c r="M857" s="6"/>
      <c r="N857" s="6" t="s">
        <v>151</v>
      </c>
      <c r="O857" s="6" t="str">
        <f>HYPERLINK("https://ceds.ed.gov/cedselementdetails.aspx?termid=5006")</f>
        <v>https://ceds.ed.gov/cedselementdetails.aspx?termid=5006</v>
      </c>
      <c r="P857" s="6" t="str">
        <f>HYPERLINK("https://ceds.ed.gov/elementComment.aspx?elementName=Activity Identifier &amp;elementID=5006", "Click here to submit comment")</f>
        <v>Click here to submit comment</v>
      </c>
    </row>
    <row r="858" spans="1:16" ht="90">
      <c r="A858" s="6" t="s">
        <v>6788</v>
      </c>
      <c r="B858" s="6" t="s">
        <v>6804</v>
      </c>
      <c r="C858" s="6" t="s">
        <v>6805</v>
      </c>
      <c r="D858" s="6" t="s">
        <v>152</v>
      </c>
      <c r="E858" s="6" t="s">
        <v>153</v>
      </c>
      <c r="F858" s="6" t="s">
        <v>13</v>
      </c>
      <c r="G858" s="6" t="s">
        <v>5968</v>
      </c>
      <c r="H858" s="6"/>
      <c r="I858" s="6" t="s">
        <v>73</v>
      </c>
      <c r="J858" s="6"/>
      <c r="K858" s="6"/>
      <c r="L858" s="6" t="s">
        <v>155</v>
      </c>
      <c r="M858" s="6"/>
      <c r="N858" s="6" t="s">
        <v>156</v>
      </c>
      <c r="O858" s="6" t="str">
        <f>HYPERLINK("https://ceds.ed.gov/cedselementdetails.aspx?termid=5007")</f>
        <v>https://ceds.ed.gov/cedselementdetails.aspx?termid=5007</v>
      </c>
      <c r="P858" s="6" t="str">
        <f>HYPERLINK("https://ceds.ed.gov/elementComment.aspx?elementName=Activity Involvement Begin Date &amp;elementID=5007", "Click here to submit comment")</f>
        <v>Click here to submit comment</v>
      </c>
    </row>
    <row r="859" spans="1:16" ht="90">
      <c r="A859" s="6" t="s">
        <v>6788</v>
      </c>
      <c r="B859" s="6" t="s">
        <v>6804</v>
      </c>
      <c r="C859" s="6" t="s">
        <v>6805</v>
      </c>
      <c r="D859" s="6" t="s">
        <v>157</v>
      </c>
      <c r="E859" s="6" t="s">
        <v>158</v>
      </c>
      <c r="F859" s="6" t="s">
        <v>13</v>
      </c>
      <c r="G859" s="6" t="s">
        <v>5968</v>
      </c>
      <c r="H859" s="6"/>
      <c r="I859" s="6" t="s">
        <v>73</v>
      </c>
      <c r="J859" s="6"/>
      <c r="K859" s="6"/>
      <c r="L859" s="6" t="s">
        <v>159</v>
      </c>
      <c r="M859" s="6"/>
      <c r="N859" s="6" t="s">
        <v>160</v>
      </c>
      <c r="O859" s="6" t="str">
        <f>HYPERLINK("https://ceds.ed.gov/cedselementdetails.aspx?termid=5008")</f>
        <v>https://ceds.ed.gov/cedselementdetails.aspx?termid=5008</v>
      </c>
      <c r="P859" s="6" t="str">
        <f>HYPERLINK("https://ceds.ed.gov/elementComment.aspx?elementName=Activity Involvement End Date &amp;elementID=5008", "Click here to submit comment")</f>
        <v>Click here to submit comment</v>
      </c>
    </row>
    <row r="860" spans="1:16" ht="60">
      <c r="A860" s="6" t="s">
        <v>6788</v>
      </c>
      <c r="B860" s="6" t="s">
        <v>6804</v>
      </c>
      <c r="C860" s="6" t="s">
        <v>6805</v>
      </c>
      <c r="D860" s="6" t="s">
        <v>2825</v>
      </c>
      <c r="E860" s="6" t="s">
        <v>2826</v>
      </c>
      <c r="F860" s="6" t="s">
        <v>5963</v>
      </c>
      <c r="G860" s="6" t="s">
        <v>2</v>
      </c>
      <c r="H860" s="6"/>
      <c r="I860" s="6"/>
      <c r="J860" s="6"/>
      <c r="K860" s="6"/>
      <c r="L860" s="6" t="s">
        <v>2827</v>
      </c>
      <c r="M860" s="6"/>
      <c r="N860" s="6" t="s">
        <v>2828</v>
      </c>
      <c r="O860" s="6" t="str">
        <f>HYPERLINK("https://ceds.ed.gov/cedselementdetails.aspx?termid=5120")</f>
        <v>https://ceds.ed.gov/cedselementdetails.aspx?termid=5120</v>
      </c>
      <c r="P860" s="6" t="str">
        <f>HYPERLINK("https://ceds.ed.gov/elementComment.aspx?elementName=GED Preparation Program Participation Status &amp;elementID=5120", "Click here to submit comment")</f>
        <v>Click here to submit comment</v>
      </c>
    </row>
    <row r="861" spans="1:16" ht="45">
      <c r="A861" s="6" t="s">
        <v>6788</v>
      </c>
      <c r="B861" s="6" t="s">
        <v>6804</v>
      </c>
      <c r="C861" s="6" t="s">
        <v>6805</v>
      </c>
      <c r="D861" s="6" t="s">
        <v>2251</v>
      </c>
      <c r="E861" s="6" t="s">
        <v>2252</v>
      </c>
      <c r="F861" s="6" t="s">
        <v>5963</v>
      </c>
      <c r="G861" s="6"/>
      <c r="H861" s="6"/>
      <c r="I861" s="6"/>
      <c r="J861" s="6"/>
      <c r="K861" s="6"/>
      <c r="L861" s="6" t="s">
        <v>2253</v>
      </c>
      <c r="M861" s="6"/>
      <c r="N861" s="6" t="s">
        <v>2254</v>
      </c>
      <c r="O861" s="6" t="str">
        <f>HYPERLINK("https://ceds.ed.gov/cedselementdetails.aspx?termid=5603")</f>
        <v>https://ceds.ed.gov/cedselementdetails.aspx?termid=5603</v>
      </c>
      <c r="P861" s="6" t="str">
        <f>HYPERLINK("https://ceds.ed.gov/elementComment.aspx?elementName=Displaced Student Status &amp;elementID=5603", "Click here to submit comment")</f>
        <v>Click here to submit comment</v>
      </c>
    </row>
    <row r="862" spans="1:16" ht="45">
      <c r="A862" s="6" t="s">
        <v>6788</v>
      </c>
      <c r="B862" s="6" t="s">
        <v>6804</v>
      </c>
      <c r="C862" s="6" t="s">
        <v>6805</v>
      </c>
      <c r="D862" s="6" t="s">
        <v>5837</v>
      </c>
      <c r="E862" s="6" t="s">
        <v>5838</v>
      </c>
      <c r="F862" s="6" t="s">
        <v>5963</v>
      </c>
      <c r="G862" s="6" t="s">
        <v>218</v>
      </c>
      <c r="H862" s="6"/>
      <c r="I862" s="6"/>
      <c r="J862" s="6"/>
      <c r="K862" s="6"/>
      <c r="L862" s="6" t="s">
        <v>5839</v>
      </c>
      <c r="M862" s="6"/>
      <c r="N862" s="6" t="s">
        <v>5840</v>
      </c>
      <c r="O862" s="6" t="str">
        <f>HYPERLINK("https://ceds.ed.gov/cedselementdetails.aspx?termid=5561")</f>
        <v>https://ceds.ed.gov/cedselementdetails.aspx?termid=5561</v>
      </c>
      <c r="P862" s="6" t="str">
        <f>HYPERLINK("https://ceds.ed.gov/elementComment.aspx?elementName=Truant Status &amp;elementID=5561", "Click here to submit comment")</f>
        <v>Click here to submit comment</v>
      </c>
    </row>
    <row r="863" spans="1:16" ht="409.5">
      <c r="A863" s="6" t="s">
        <v>6788</v>
      </c>
      <c r="B863" s="6" t="s">
        <v>6804</v>
      </c>
      <c r="C863" s="6" t="s">
        <v>6805</v>
      </c>
      <c r="D863" s="6" t="s">
        <v>4788</v>
      </c>
      <c r="E863" s="6" t="s">
        <v>4789</v>
      </c>
      <c r="F863" s="7" t="s">
        <v>6623</v>
      </c>
      <c r="G863" s="6"/>
      <c r="H863" s="6" t="s">
        <v>66</v>
      </c>
      <c r="I863" s="6"/>
      <c r="J863" s="6" t="s">
        <v>94</v>
      </c>
      <c r="K863" s="6"/>
      <c r="L863" s="6" t="s">
        <v>4790</v>
      </c>
      <c r="M863" s="6"/>
      <c r="N863" s="6" t="s">
        <v>4791</v>
      </c>
      <c r="O863" s="6" t="str">
        <f>HYPERLINK("https://ceds.ed.gov/cedselementdetails.aspx?termid=6210")</f>
        <v>https://ceds.ed.gov/cedselementdetails.aspx?termid=6210</v>
      </c>
      <c r="P863" s="6" t="str">
        <f>HYPERLINK("https://ceds.ed.gov/elementComment.aspx?elementName=Program Gifted Eligibility Criteria &amp;elementID=6210", "Click here to submit comment")</f>
        <v>Click here to submit comment</v>
      </c>
    </row>
    <row r="864" spans="1:16" ht="135">
      <c r="A864" s="6" t="s">
        <v>6788</v>
      </c>
      <c r="B864" s="6" t="s">
        <v>6804</v>
      </c>
      <c r="C864" s="6" t="s">
        <v>6806</v>
      </c>
      <c r="D864" s="6" t="s">
        <v>1915</v>
      </c>
      <c r="E864" s="6" t="s">
        <v>1916</v>
      </c>
      <c r="F864" s="6" t="s">
        <v>13</v>
      </c>
      <c r="G864" s="6" t="s">
        <v>6116</v>
      </c>
      <c r="H864" s="6" t="s">
        <v>66</v>
      </c>
      <c r="I864" s="6" t="s">
        <v>1917</v>
      </c>
      <c r="J864" s="6" t="s">
        <v>1918</v>
      </c>
      <c r="K864" s="6"/>
      <c r="L864" s="6" t="s">
        <v>1919</v>
      </c>
      <c r="M864" s="6"/>
      <c r="N864" s="6" t="s">
        <v>1920</v>
      </c>
      <c r="O864" s="6" t="str">
        <f>HYPERLINK("https://ceds.ed.gov/cedselementdetails.aspx?termid=5055")</f>
        <v>https://ceds.ed.gov/cedselementdetails.aspx?termid=5055</v>
      </c>
      <c r="P864" s="6" t="str">
        <f>HYPERLINK("https://ceds.ed.gov/elementComment.aspx?elementName=Course Identifier &amp;elementID=5055", "Click here to submit comment")</f>
        <v>Click here to submit comment</v>
      </c>
    </row>
    <row r="865" spans="1:16" ht="285">
      <c r="A865" s="6" t="s">
        <v>6788</v>
      </c>
      <c r="B865" s="6" t="s">
        <v>6804</v>
      </c>
      <c r="C865" s="6" t="s">
        <v>6806</v>
      </c>
      <c r="D865" s="6" t="s">
        <v>1868</v>
      </c>
      <c r="E865" s="6" t="s">
        <v>1869</v>
      </c>
      <c r="F865" s="7" t="s">
        <v>6435</v>
      </c>
      <c r="G865" s="6" t="s">
        <v>6078</v>
      </c>
      <c r="H865" s="6"/>
      <c r="I865" s="6"/>
      <c r="J865" s="6"/>
      <c r="K865" s="6"/>
      <c r="L865" s="6" t="s">
        <v>1870</v>
      </c>
      <c r="M865" s="6"/>
      <c r="N865" s="6" t="s">
        <v>1871</v>
      </c>
      <c r="O865" s="6" t="str">
        <f>HYPERLINK("https://ceds.ed.gov/cedselementdetails.aspx?termid=5056")</f>
        <v>https://ceds.ed.gov/cedselementdetails.aspx?termid=5056</v>
      </c>
      <c r="P865" s="6" t="str">
        <f>HYPERLINK("https://ceds.ed.gov/elementComment.aspx?elementName=Course Code System &amp;elementID=5056", "Click here to submit comment")</f>
        <v>Click here to submit comment</v>
      </c>
    </row>
    <row r="866" spans="1:16" ht="225">
      <c r="A866" s="6" t="s">
        <v>6788</v>
      </c>
      <c r="B866" s="6" t="s">
        <v>6804</v>
      </c>
      <c r="C866" s="6" t="s">
        <v>6806</v>
      </c>
      <c r="D866" s="6" t="s">
        <v>2034</v>
      </c>
      <c r="E866" s="6" t="s">
        <v>2035</v>
      </c>
      <c r="F866" s="6" t="s">
        <v>13</v>
      </c>
      <c r="G866" s="6" t="s">
        <v>6078</v>
      </c>
      <c r="H866" s="6"/>
      <c r="I866" s="6" t="s">
        <v>106</v>
      </c>
      <c r="J866" s="6"/>
      <c r="K866" s="6"/>
      <c r="L866" s="6" t="s">
        <v>2036</v>
      </c>
      <c r="M866" s="6"/>
      <c r="N866" s="6" t="s">
        <v>2037</v>
      </c>
      <c r="O866" s="6" t="str">
        <f>HYPERLINK("https://ceds.ed.gov/cedselementdetails.aspx?termid=5067")</f>
        <v>https://ceds.ed.gov/cedselementdetails.aspx?termid=5067</v>
      </c>
      <c r="P866" s="6" t="str">
        <f>HYPERLINK("https://ceds.ed.gov/elementComment.aspx?elementName=Course Title &amp;elementID=5067", "Click here to submit comment")</f>
        <v>Click here to submit comment</v>
      </c>
    </row>
    <row r="867" spans="1:16" ht="345">
      <c r="A867" s="6" t="s">
        <v>6788</v>
      </c>
      <c r="B867" s="6" t="s">
        <v>6804</v>
      </c>
      <c r="C867" s="6" t="s">
        <v>6806</v>
      </c>
      <c r="D867" s="6" t="s">
        <v>2851</v>
      </c>
      <c r="E867" s="6" t="s">
        <v>2852</v>
      </c>
      <c r="F867" s="7" t="s">
        <v>6499</v>
      </c>
      <c r="G867" s="6" t="s">
        <v>5968</v>
      </c>
      <c r="H867" s="6"/>
      <c r="I867" s="6"/>
      <c r="J867" s="6"/>
      <c r="K867" s="6"/>
      <c r="L867" s="6" t="s">
        <v>2853</v>
      </c>
      <c r="M867" s="6"/>
      <c r="N867" s="6" t="s">
        <v>2854</v>
      </c>
      <c r="O867" s="6" t="str">
        <f>HYPERLINK("https://ceds.ed.gov/cedselementdetails.aspx?termid=5125")</f>
        <v>https://ceds.ed.gov/cedselementdetails.aspx?termid=5125</v>
      </c>
      <c r="P867" s="6" t="str">
        <f>HYPERLINK("https://ceds.ed.gov/elementComment.aspx?elementName=Grade Level When Course Taken &amp;elementID=5125", "Click here to submit comment")</f>
        <v>Click here to submit comment</v>
      </c>
    </row>
    <row r="868" spans="1:16" ht="285">
      <c r="A868" s="6" t="s">
        <v>6788</v>
      </c>
      <c r="B868" s="6" t="s">
        <v>6804</v>
      </c>
      <c r="C868" s="6" t="s">
        <v>6806</v>
      </c>
      <c r="D868" s="6" t="s">
        <v>1962</v>
      </c>
      <c r="E868" s="6" t="s">
        <v>1963</v>
      </c>
      <c r="F868" s="7" t="s">
        <v>6445</v>
      </c>
      <c r="G868" s="6" t="s">
        <v>5968</v>
      </c>
      <c r="H868" s="6" t="s">
        <v>3</v>
      </c>
      <c r="I868" s="6"/>
      <c r="J868" s="6"/>
      <c r="K868" s="6"/>
      <c r="L868" s="6" t="s">
        <v>1964</v>
      </c>
      <c r="M868" s="6"/>
      <c r="N868" s="6" t="s">
        <v>1965</v>
      </c>
      <c r="O868" s="6" t="str">
        <f>HYPERLINK("https://ceds.ed.gov/cedselementdetails.aspx?termid=5065")</f>
        <v>https://ceds.ed.gov/cedselementdetails.aspx?termid=5065</v>
      </c>
      <c r="P868" s="6" t="str">
        <f>HYPERLINK("https://ceds.ed.gov/elementComment.aspx?elementName=Course Repeat Code &amp;elementID=5065", "Click here to submit comment")</f>
        <v>Click here to submit comment</v>
      </c>
    </row>
    <row r="869" spans="1:16" ht="90">
      <c r="A869" s="6" t="s">
        <v>6788</v>
      </c>
      <c r="B869" s="6" t="s">
        <v>6804</v>
      </c>
      <c r="C869" s="6" t="s">
        <v>6806</v>
      </c>
      <c r="D869" s="6" t="s">
        <v>4253</v>
      </c>
      <c r="E869" s="6" t="s">
        <v>4254</v>
      </c>
      <c r="F869" s="6" t="s">
        <v>13</v>
      </c>
      <c r="G869" s="6" t="s">
        <v>5968</v>
      </c>
      <c r="H869" s="6"/>
      <c r="I869" s="6" t="s">
        <v>1461</v>
      </c>
      <c r="J869" s="6"/>
      <c r="K869" s="6"/>
      <c r="L869" s="6" t="s">
        <v>4255</v>
      </c>
      <c r="M869" s="6"/>
      <c r="N869" s="6" t="s">
        <v>4256</v>
      </c>
      <c r="O869" s="6" t="str">
        <f>HYPERLINK("https://ceds.ed.gov/cedselementdetails.aspx?termid=5199")</f>
        <v>https://ceds.ed.gov/cedselementdetails.aspx?termid=5199</v>
      </c>
      <c r="P869" s="6" t="str">
        <f>HYPERLINK("https://ceds.ed.gov/elementComment.aspx?elementName=Number of Credits Attempted &amp;elementID=5199", "Click here to submit comment")</f>
        <v>Click here to submit comment</v>
      </c>
    </row>
    <row r="870" spans="1:16" ht="120">
      <c r="A870" s="6" t="s">
        <v>6788</v>
      </c>
      <c r="B870" s="6" t="s">
        <v>6804</v>
      </c>
      <c r="C870" s="6" t="s">
        <v>6806</v>
      </c>
      <c r="D870" s="6" t="s">
        <v>4257</v>
      </c>
      <c r="E870" s="6" t="s">
        <v>4258</v>
      </c>
      <c r="F870" s="6" t="s">
        <v>13</v>
      </c>
      <c r="G870" s="6" t="s">
        <v>6252</v>
      </c>
      <c r="H870" s="6" t="s">
        <v>66</v>
      </c>
      <c r="I870" s="6" t="s">
        <v>1461</v>
      </c>
      <c r="J870" s="6" t="s">
        <v>1820</v>
      </c>
      <c r="K870" s="6"/>
      <c r="L870" s="6" t="s">
        <v>4259</v>
      </c>
      <c r="M870" s="6"/>
      <c r="N870" s="6" t="s">
        <v>4260</v>
      </c>
      <c r="O870" s="6" t="str">
        <f>HYPERLINK("https://ceds.ed.gov/cedselementdetails.aspx?termid=5200")</f>
        <v>https://ceds.ed.gov/cedselementdetails.aspx?termid=5200</v>
      </c>
      <c r="P870" s="6" t="str">
        <f>HYPERLINK("https://ceds.ed.gov/elementComment.aspx?elementName=Number of Credits Earned &amp;elementID=5200", "Click here to submit comment")</f>
        <v>Click here to submit comment</v>
      </c>
    </row>
    <row r="871" spans="1:16" ht="90">
      <c r="A871" s="6" t="s">
        <v>6788</v>
      </c>
      <c r="B871" s="6" t="s">
        <v>6804</v>
      </c>
      <c r="C871" s="6" t="s">
        <v>6806</v>
      </c>
      <c r="D871" s="6" t="s">
        <v>2842</v>
      </c>
      <c r="E871" s="6" t="s">
        <v>2843</v>
      </c>
      <c r="F871" s="6" t="s">
        <v>13</v>
      </c>
      <c r="G871" s="6" t="s">
        <v>5968</v>
      </c>
      <c r="H871" s="6"/>
      <c r="I871" s="6" t="s">
        <v>2844</v>
      </c>
      <c r="J871" s="6"/>
      <c r="K871" s="6"/>
      <c r="L871" s="6" t="s">
        <v>2845</v>
      </c>
      <c r="M871" s="6"/>
      <c r="N871" s="6" t="s">
        <v>2846</v>
      </c>
      <c r="O871" s="6" t="str">
        <f>HYPERLINK("https://ceds.ed.gov/cedselementdetails.aspx?termid=5124")</f>
        <v>https://ceds.ed.gov/cedselementdetails.aspx?termid=5124</v>
      </c>
      <c r="P871" s="6" t="str">
        <f>HYPERLINK("https://ceds.ed.gov/elementComment.aspx?elementName=Grade Earned &amp;elementID=5124", "Click here to submit comment")</f>
        <v>Click here to submit comment</v>
      </c>
    </row>
    <row r="872" spans="1:16" ht="409.5">
      <c r="A872" s="6" t="s">
        <v>6788</v>
      </c>
      <c r="B872" s="6" t="s">
        <v>6804</v>
      </c>
      <c r="C872" s="6" t="s">
        <v>6806</v>
      </c>
      <c r="D872" s="6" t="s">
        <v>2058</v>
      </c>
      <c r="E872" s="6" t="s">
        <v>2059</v>
      </c>
      <c r="F872" s="7" t="s">
        <v>6451</v>
      </c>
      <c r="G872" s="6" t="s">
        <v>5968</v>
      </c>
      <c r="H872" s="6"/>
      <c r="I872" s="6"/>
      <c r="J872" s="6"/>
      <c r="K872" s="6"/>
      <c r="L872" s="6" t="s">
        <v>2060</v>
      </c>
      <c r="M872" s="6"/>
      <c r="N872" s="6" t="s">
        <v>2061</v>
      </c>
      <c r="O872" s="6" t="str">
        <f>HYPERLINK("https://ceds.ed.gov/cedselementdetails.aspx?termid=5072")</f>
        <v>https://ceds.ed.gov/cedselementdetails.aspx?termid=5072</v>
      </c>
      <c r="P872" s="6" t="str">
        <f>HYPERLINK("https://ceds.ed.gov/elementComment.aspx?elementName=Credit Type Earned &amp;elementID=5072", "Click here to submit comment")</f>
        <v>Click here to submit comment</v>
      </c>
    </row>
    <row r="873" spans="1:16" ht="135">
      <c r="A873" s="6" t="s">
        <v>6788</v>
      </c>
      <c r="B873" s="6" t="s">
        <v>6804</v>
      </c>
      <c r="C873" s="6" t="s">
        <v>6806</v>
      </c>
      <c r="D873" s="6" t="s">
        <v>2886</v>
      </c>
      <c r="E873" s="6" t="s">
        <v>2887</v>
      </c>
      <c r="F873" s="6" t="s">
        <v>13</v>
      </c>
      <c r="G873" s="6"/>
      <c r="H873" s="6"/>
      <c r="I873" s="6" t="s">
        <v>745</v>
      </c>
      <c r="J873" s="6"/>
      <c r="K873" s="6" t="s">
        <v>2888</v>
      </c>
      <c r="L873" s="6" t="s">
        <v>2889</v>
      </c>
      <c r="M873" s="6"/>
      <c r="N873" s="6" t="s">
        <v>2890</v>
      </c>
      <c r="O873" s="6" t="str">
        <f>HYPERLINK("https://ceds.ed.gov/cedselementdetails.aspx?termid=5609")</f>
        <v>https://ceds.ed.gov/cedselementdetails.aspx?termid=5609</v>
      </c>
      <c r="P873" s="6" t="str">
        <f>HYPERLINK("https://ceds.ed.gov/elementComment.aspx?elementName=Grade Value Qualifier &amp;elementID=5609", "Click here to submit comment")</f>
        <v>Click here to submit comment</v>
      </c>
    </row>
    <row r="874" spans="1:16" ht="105">
      <c r="A874" s="6" t="s">
        <v>6788</v>
      </c>
      <c r="B874" s="6" t="s">
        <v>6804</v>
      </c>
      <c r="C874" s="6" t="s">
        <v>6806</v>
      </c>
      <c r="D874" s="6" t="s">
        <v>2062</v>
      </c>
      <c r="E874" s="6" t="s">
        <v>2063</v>
      </c>
      <c r="F874" s="6" t="s">
        <v>13</v>
      </c>
      <c r="G874" s="6" t="s">
        <v>5968</v>
      </c>
      <c r="H874" s="6"/>
      <c r="I874" s="6" t="s">
        <v>1461</v>
      </c>
      <c r="J874" s="6"/>
      <c r="K874" s="6"/>
      <c r="L874" s="6" t="s">
        <v>2064</v>
      </c>
      <c r="M874" s="6"/>
      <c r="N874" s="6" t="s">
        <v>2065</v>
      </c>
      <c r="O874" s="6" t="str">
        <f>HYPERLINK("https://ceds.ed.gov/cedselementdetails.aspx?termid=5073")</f>
        <v>https://ceds.ed.gov/cedselementdetails.aspx?termid=5073</v>
      </c>
      <c r="P874" s="6" t="str">
        <f>HYPERLINK("https://ceds.ed.gov/elementComment.aspx?elementName=Credits Attempted Cumulative &amp;elementID=5073", "Click here to submit comment")</f>
        <v>Click here to submit comment</v>
      </c>
    </row>
    <row r="875" spans="1:16" ht="75">
      <c r="A875" s="6" t="s">
        <v>6788</v>
      </c>
      <c r="B875" s="6" t="s">
        <v>6804</v>
      </c>
      <c r="C875" s="6" t="s">
        <v>6806</v>
      </c>
      <c r="D875" s="6" t="s">
        <v>5719</v>
      </c>
      <c r="E875" s="6" t="s">
        <v>5720</v>
      </c>
      <c r="F875" s="7" t="s">
        <v>6674</v>
      </c>
      <c r="G875" s="6" t="s">
        <v>218</v>
      </c>
      <c r="H875" s="6"/>
      <c r="I875" s="6"/>
      <c r="J875" s="6"/>
      <c r="K875" s="6"/>
      <c r="L875" s="6" t="s">
        <v>5721</v>
      </c>
      <c r="M875" s="6"/>
      <c r="N875" s="6" t="s">
        <v>5722</v>
      </c>
      <c r="O875" s="6" t="str">
        <f>HYPERLINK("https://ceds.ed.gov/cedselementdetails.aspx?termid=5558")</f>
        <v>https://ceds.ed.gov/cedselementdetails.aspx?termid=5558</v>
      </c>
      <c r="P875" s="6" t="str">
        <f>HYPERLINK("https://ceds.ed.gov/elementComment.aspx?elementName=Technology Literacy Status in 8th Grade &amp;elementID=5558", "Click here to submit comment")</f>
        <v>Click here to submit comment</v>
      </c>
    </row>
    <row r="876" spans="1:16" ht="105">
      <c r="A876" s="6" t="s">
        <v>6788</v>
      </c>
      <c r="B876" s="6" t="s">
        <v>6804</v>
      </c>
      <c r="C876" s="6" t="s">
        <v>6806</v>
      </c>
      <c r="D876" s="6" t="s">
        <v>2066</v>
      </c>
      <c r="E876" s="6" t="s">
        <v>2067</v>
      </c>
      <c r="F876" s="6" t="s">
        <v>13</v>
      </c>
      <c r="G876" s="6" t="s">
        <v>5968</v>
      </c>
      <c r="H876" s="6"/>
      <c r="I876" s="6" t="s">
        <v>1461</v>
      </c>
      <c r="J876" s="6"/>
      <c r="K876" s="6"/>
      <c r="L876" s="6" t="s">
        <v>2068</v>
      </c>
      <c r="M876" s="6"/>
      <c r="N876" s="6" t="s">
        <v>2069</v>
      </c>
      <c r="O876" s="6" t="str">
        <f>HYPERLINK("https://ceds.ed.gov/cedselementdetails.aspx?termid=5074")</f>
        <v>https://ceds.ed.gov/cedselementdetails.aspx?termid=5074</v>
      </c>
      <c r="P876" s="6" t="str">
        <f>HYPERLINK("https://ceds.ed.gov/elementComment.aspx?elementName=Credits Earned Cumulative &amp;elementID=5074", "Click here to submit comment")</f>
        <v>Click here to submit comment</v>
      </c>
    </row>
    <row r="877" spans="1:16" ht="105">
      <c r="A877" s="6" t="s">
        <v>6788</v>
      </c>
      <c r="B877" s="6" t="s">
        <v>6804</v>
      </c>
      <c r="C877" s="6" t="s">
        <v>6806</v>
      </c>
      <c r="D877" s="6" t="s">
        <v>2882</v>
      </c>
      <c r="E877" s="6" t="s">
        <v>2883</v>
      </c>
      <c r="F877" s="6" t="s">
        <v>13</v>
      </c>
      <c r="G877" s="6" t="s">
        <v>5968</v>
      </c>
      <c r="H877" s="6"/>
      <c r="I877" s="6" t="s">
        <v>1461</v>
      </c>
      <c r="J877" s="6"/>
      <c r="K877" s="6"/>
      <c r="L877" s="6" t="s">
        <v>2884</v>
      </c>
      <c r="M877" s="6"/>
      <c r="N877" s="6" t="s">
        <v>2885</v>
      </c>
      <c r="O877" s="6" t="str">
        <f>HYPERLINK("https://ceds.ed.gov/cedselementdetails.aspx?termid=5130")</f>
        <v>https://ceds.ed.gov/cedselementdetails.aspx?termid=5130</v>
      </c>
      <c r="P877" s="6" t="str">
        <f>HYPERLINK("https://ceds.ed.gov/elementComment.aspx?elementName=Grade Points Earned Cumulative &amp;elementID=5130", "Click here to submit comment")</f>
        <v>Click here to submit comment</v>
      </c>
    </row>
    <row r="878" spans="1:16" ht="180">
      <c r="A878" s="6" t="s">
        <v>6788</v>
      </c>
      <c r="B878" s="6" t="s">
        <v>6804</v>
      </c>
      <c r="C878" s="6" t="s">
        <v>6806</v>
      </c>
      <c r="D878" s="6" t="s">
        <v>2860</v>
      </c>
      <c r="E878" s="6" t="s">
        <v>2861</v>
      </c>
      <c r="F878" s="6" t="s">
        <v>13</v>
      </c>
      <c r="G878" s="6" t="s">
        <v>6185</v>
      </c>
      <c r="H878" s="6"/>
      <c r="I878" s="6" t="s">
        <v>2857</v>
      </c>
      <c r="J878" s="6"/>
      <c r="K878" s="6" t="s">
        <v>2862</v>
      </c>
      <c r="L878" s="6" t="s">
        <v>2863</v>
      </c>
      <c r="M878" s="6" t="s">
        <v>2864</v>
      </c>
      <c r="N878" s="6" t="s">
        <v>2865</v>
      </c>
      <c r="O878" s="6" t="str">
        <f>HYPERLINK("https://ceds.ed.gov/cedselementdetails.aspx?termid=5128")</f>
        <v>https://ceds.ed.gov/cedselementdetails.aspx?termid=5128</v>
      </c>
      <c r="P878" s="6" t="str">
        <f>HYPERLINK("https://ceds.ed.gov/elementComment.aspx?elementName=Grade Point Average Cumulative &amp;elementID=5128", "Click here to submit comment")</f>
        <v>Click here to submit comment</v>
      </c>
    </row>
    <row r="879" spans="1:16" ht="90">
      <c r="A879" s="6" t="s">
        <v>6788</v>
      </c>
      <c r="B879" s="6" t="s">
        <v>6804</v>
      </c>
      <c r="C879" s="6" t="s">
        <v>6806</v>
      </c>
      <c r="D879" s="6" t="s">
        <v>2872</v>
      </c>
      <c r="E879" s="6" t="s">
        <v>2873</v>
      </c>
      <c r="F879" s="6" t="s">
        <v>13</v>
      </c>
      <c r="G879" s="6" t="s">
        <v>5968</v>
      </c>
      <c r="H879" s="6"/>
      <c r="I879" s="6" t="s">
        <v>2857</v>
      </c>
      <c r="J879" s="6"/>
      <c r="K879" s="6"/>
      <c r="L879" s="6" t="s">
        <v>2874</v>
      </c>
      <c r="M879" s="6" t="s">
        <v>2875</v>
      </c>
      <c r="N879" s="6" t="s">
        <v>2876</v>
      </c>
      <c r="O879" s="6" t="str">
        <f>HYPERLINK("https://ceds.ed.gov/cedselementdetails.aspx?termid=5129")</f>
        <v>https://ceds.ed.gov/cedselementdetails.aspx?termid=5129</v>
      </c>
      <c r="P879" s="6" t="str">
        <f>HYPERLINK("https://ceds.ed.gov/elementComment.aspx?elementName=Grade Point Average Given Session &amp;elementID=5129", "Click here to submit comment")</f>
        <v>Click here to submit comment</v>
      </c>
    </row>
    <row r="880" spans="1:16" ht="120">
      <c r="A880" s="6" t="s">
        <v>6788</v>
      </c>
      <c r="B880" s="6" t="s">
        <v>6804</v>
      </c>
      <c r="C880" s="6" t="s">
        <v>6806</v>
      </c>
      <c r="D880" s="6" t="s">
        <v>2962</v>
      </c>
      <c r="E880" s="6" t="s">
        <v>2963</v>
      </c>
      <c r="F880" s="6" t="s">
        <v>13</v>
      </c>
      <c r="G880" s="6" t="s">
        <v>6193</v>
      </c>
      <c r="H880" s="6"/>
      <c r="I880" s="6" t="s">
        <v>308</v>
      </c>
      <c r="J880" s="6"/>
      <c r="K880" s="6"/>
      <c r="L880" s="6" t="s">
        <v>2964</v>
      </c>
      <c r="M880" s="6"/>
      <c r="N880" s="6" t="s">
        <v>2965</v>
      </c>
      <c r="O880" s="6" t="str">
        <f>HYPERLINK("https://ceds.ed.gov/cedselementdetails.aspx?termid=5041")</f>
        <v>https://ceds.ed.gov/cedselementdetails.aspx?termid=5041</v>
      </c>
      <c r="P880" s="6" t="str">
        <f>HYPERLINK("https://ceds.ed.gov/elementComment.aspx?elementName=High School Student Class Rank &amp;elementID=5041", "Click here to submit comment")</f>
        <v>Click here to submit comment</v>
      </c>
    </row>
    <row r="881" spans="1:16" ht="120">
      <c r="A881" s="6" t="s">
        <v>6788</v>
      </c>
      <c r="B881" s="6" t="s">
        <v>6804</v>
      </c>
      <c r="C881" s="6" t="s">
        <v>6806</v>
      </c>
      <c r="D881" s="6" t="s">
        <v>5379</v>
      </c>
      <c r="E881" s="6" t="s">
        <v>5380</v>
      </c>
      <c r="F881" s="6" t="s">
        <v>13</v>
      </c>
      <c r="G881" s="6" t="s">
        <v>6193</v>
      </c>
      <c r="H881" s="6"/>
      <c r="I881" s="6" t="s">
        <v>308</v>
      </c>
      <c r="J881" s="6"/>
      <c r="K881" s="6"/>
      <c r="L881" s="6" t="s">
        <v>5381</v>
      </c>
      <c r="M881" s="6"/>
      <c r="N881" s="6" t="s">
        <v>5382</v>
      </c>
      <c r="O881" s="6" t="str">
        <f>HYPERLINK("https://ceds.ed.gov/cedselementdetails.aspx?termid=5294")</f>
        <v>https://ceds.ed.gov/cedselementdetails.aspx?termid=5294</v>
      </c>
      <c r="P881" s="6" t="str">
        <f>HYPERLINK("https://ceds.ed.gov/elementComment.aspx?elementName=Size of High School Graduating Class &amp;elementID=5294", "Click here to submit comment")</f>
        <v>Click here to submit comment</v>
      </c>
    </row>
    <row r="882" spans="1:16" ht="90">
      <c r="A882" s="6" t="s">
        <v>6788</v>
      </c>
      <c r="B882" s="6" t="s">
        <v>6804</v>
      </c>
      <c r="C882" s="6" t="s">
        <v>6806</v>
      </c>
      <c r="D882" s="6" t="s">
        <v>1695</v>
      </c>
      <c r="E882" s="6" t="s">
        <v>1696</v>
      </c>
      <c r="F882" s="6" t="s">
        <v>13</v>
      </c>
      <c r="G882" s="6" t="s">
        <v>5968</v>
      </c>
      <c r="H882" s="6"/>
      <c r="I882" s="6" t="s">
        <v>1697</v>
      </c>
      <c r="J882" s="6"/>
      <c r="K882" s="6"/>
      <c r="L882" s="6" t="s">
        <v>1698</v>
      </c>
      <c r="M882" s="6"/>
      <c r="N882" s="6" t="s">
        <v>1699</v>
      </c>
      <c r="O882" s="6" t="str">
        <f>HYPERLINK("https://ceds.ed.gov/cedselementdetails.aspx?termid=5042")</f>
        <v>https://ceds.ed.gov/cedselementdetails.aspx?termid=5042</v>
      </c>
      <c r="P882" s="6" t="str">
        <f>HYPERLINK("https://ceds.ed.gov/elementComment.aspx?elementName=Class Ranking Date &amp;elementID=5042", "Click here to submit comment")</f>
        <v>Click here to submit comment</v>
      </c>
    </row>
    <row r="883" spans="1:16" ht="90">
      <c r="A883" s="6" t="s">
        <v>6788</v>
      </c>
      <c r="B883" s="6" t="s">
        <v>6804</v>
      </c>
      <c r="C883" s="6" t="s">
        <v>6806</v>
      </c>
      <c r="D883" s="6" t="s">
        <v>4865</v>
      </c>
      <c r="E883" s="6" t="s">
        <v>4866</v>
      </c>
      <c r="F883" s="6" t="s">
        <v>13</v>
      </c>
      <c r="G883" s="6" t="s">
        <v>5968</v>
      </c>
      <c r="H883" s="6"/>
      <c r="I883" s="6" t="s">
        <v>2191</v>
      </c>
      <c r="J883" s="6"/>
      <c r="K883" s="6"/>
      <c r="L883" s="6" t="s">
        <v>4867</v>
      </c>
      <c r="M883" s="6"/>
      <c r="N883" s="6" t="s">
        <v>4868</v>
      </c>
      <c r="O883" s="6" t="str">
        <f>HYPERLINK("https://ceds.ed.gov/cedselementdetails.aspx?termid=5226")</f>
        <v>https://ceds.ed.gov/cedselementdetails.aspx?termid=5226</v>
      </c>
      <c r="P883" s="6" t="str">
        <f>HYPERLINK("https://ceds.ed.gov/elementComment.aspx?elementName=Projected Graduation Date &amp;elementID=5226", "Click here to submit comment")</f>
        <v>Click here to submit comment</v>
      </c>
    </row>
    <row r="884" spans="1:16" ht="135">
      <c r="A884" s="6" t="s">
        <v>6788</v>
      </c>
      <c r="B884" s="6" t="s">
        <v>6804</v>
      </c>
      <c r="C884" s="6" t="s">
        <v>6806</v>
      </c>
      <c r="D884" s="6" t="s">
        <v>2189</v>
      </c>
      <c r="E884" s="6" t="s">
        <v>2190</v>
      </c>
      <c r="F884" s="6" t="s">
        <v>13</v>
      </c>
      <c r="G884" s="6" t="s">
        <v>6135</v>
      </c>
      <c r="H884" s="6"/>
      <c r="I884" s="6" t="s">
        <v>2191</v>
      </c>
      <c r="J884" s="6"/>
      <c r="K884" s="6"/>
      <c r="L884" s="6" t="s">
        <v>2192</v>
      </c>
      <c r="M884" s="6"/>
      <c r="N884" s="6" t="s">
        <v>2193</v>
      </c>
      <c r="O884" s="6" t="str">
        <f>HYPERLINK("https://ceds.ed.gov/cedselementdetails.aspx?termid=5081")</f>
        <v>https://ceds.ed.gov/cedselementdetails.aspx?termid=5081</v>
      </c>
      <c r="P884" s="6" t="str">
        <f>HYPERLINK("https://ceds.ed.gov/elementComment.aspx?elementName=Diploma or Credential Award Date &amp;elementID=5081", "Click here to submit comment")</f>
        <v>Click here to submit comment</v>
      </c>
    </row>
    <row r="885" spans="1:16" ht="409.5">
      <c r="A885" s="6" t="s">
        <v>6788</v>
      </c>
      <c r="B885" s="6" t="s">
        <v>6804</v>
      </c>
      <c r="C885" s="6" t="s">
        <v>6806</v>
      </c>
      <c r="D885" s="6" t="s">
        <v>2949</v>
      </c>
      <c r="E885" s="6" t="s">
        <v>2950</v>
      </c>
      <c r="F885" s="7" t="s">
        <v>6528</v>
      </c>
      <c r="G885" s="6" t="s">
        <v>6191</v>
      </c>
      <c r="H885" s="6"/>
      <c r="I885" s="6"/>
      <c r="J885" s="6"/>
      <c r="K885" s="6"/>
      <c r="L885" s="6" t="s">
        <v>2951</v>
      </c>
      <c r="M885" s="6"/>
      <c r="N885" s="6" t="s">
        <v>2952</v>
      </c>
      <c r="O885" s="6" t="str">
        <f>HYPERLINK("https://ceds.ed.gov/cedselementdetails.aspx?termid=5138")</f>
        <v>https://ceds.ed.gov/cedselementdetails.aspx?termid=5138</v>
      </c>
      <c r="P885" s="6" t="str">
        <f>HYPERLINK("https://ceds.ed.gov/elementComment.aspx?elementName=High School Diploma Type &amp;elementID=5138", "Click here to submit comment")</f>
        <v>Click here to submit comment</v>
      </c>
    </row>
    <row r="886" spans="1:16" ht="409.5">
      <c r="A886" s="6" t="s">
        <v>6788</v>
      </c>
      <c r="B886" s="6" t="s">
        <v>6804</v>
      </c>
      <c r="C886" s="6" t="s">
        <v>6806</v>
      </c>
      <c r="D886" s="6" t="s">
        <v>28</v>
      </c>
      <c r="E886" s="6" t="s">
        <v>29</v>
      </c>
      <c r="F886" s="7" t="s">
        <v>6347</v>
      </c>
      <c r="G886" s="6" t="s">
        <v>5968</v>
      </c>
      <c r="H886" s="6"/>
      <c r="I886" s="6"/>
      <c r="J886" s="6"/>
      <c r="K886" s="6"/>
      <c r="L886" s="6" t="s">
        <v>31</v>
      </c>
      <c r="M886" s="6"/>
      <c r="N886" s="6" t="s">
        <v>32</v>
      </c>
      <c r="O886" s="6" t="str">
        <f>HYPERLINK("https://ceds.ed.gov/cedselementdetails.aspx?termid=5004")</f>
        <v>https://ceds.ed.gov/cedselementdetails.aspx?termid=5004</v>
      </c>
      <c r="P886" s="6" t="str">
        <f>HYPERLINK("https://ceds.ed.gov/elementComment.aspx?elementName=Academic Honors Type &amp;elementID=5004", "Click here to submit comment")</f>
        <v>Click here to submit comment</v>
      </c>
    </row>
    <row r="887" spans="1:16" ht="180">
      <c r="A887" s="6" t="s">
        <v>6788</v>
      </c>
      <c r="B887" s="6" t="s">
        <v>6804</v>
      </c>
      <c r="C887" s="6" t="s">
        <v>6806</v>
      </c>
      <c r="D887" s="6" t="s">
        <v>2945</v>
      </c>
      <c r="E887" s="6" t="s">
        <v>2946</v>
      </c>
      <c r="F887" s="7" t="s">
        <v>6527</v>
      </c>
      <c r="G887" s="6"/>
      <c r="H887" s="6"/>
      <c r="I887" s="6"/>
      <c r="J887" s="6"/>
      <c r="K887" s="6"/>
      <c r="L887" s="6" t="s">
        <v>2947</v>
      </c>
      <c r="M887" s="6"/>
      <c r="N887" s="6" t="s">
        <v>2948</v>
      </c>
      <c r="O887" s="6" t="str">
        <f>HYPERLINK("https://ceds.ed.gov/cedselementdetails.aspx?termid=5689")</f>
        <v>https://ceds.ed.gov/cedselementdetails.aspx?termid=5689</v>
      </c>
      <c r="P887" s="6" t="str">
        <f>HYPERLINK("https://ceds.ed.gov/elementComment.aspx?elementName=High School Diploma Distinction Type &amp;elementID=5689", "Click here to submit comment")</f>
        <v>Click here to submit comment</v>
      </c>
    </row>
    <row r="888" spans="1:16" ht="90">
      <c r="A888" s="6" t="s">
        <v>6788</v>
      </c>
      <c r="B888" s="6" t="s">
        <v>6804</v>
      </c>
      <c r="C888" s="6" t="s">
        <v>6806</v>
      </c>
      <c r="D888" s="6" t="s">
        <v>3006</v>
      </c>
      <c r="E888" s="6" t="s">
        <v>3007</v>
      </c>
      <c r="F888" s="6" t="s">
        <v>13</v>
      </c>
      <c r="G888" s="6" t="s">
        <v>5968</v>
      </c>
      <c r="H888" s="6"/>
      <c r="I888" s="6" t="s">
        <v>25</v>
      </c>
      <c r="J888" s="6"/>
      <c r="K888" s="6"/>
      <c r="L888" s="6" t="s">
        <v>3008</v>
      </c>
      <c r="M888" s="6"/>
      <c r="N888" s="6" t="s">
        <v>3009</v>
      </c>
      <c r="O888" s="6" t="str">
        <f>HYPERLINK("https://ceds.ed.gov/cedselementdetails.aspx?termid=5150")</f>
        <v>https://ceds.ed.gov/cedselementdetails.aspx?termid=5150</v>
      </c>
      <c r="P888" s="6" t="str">
        <f>HYPERLINK("https://ceds.ed.gov/elementComment.aspx?elementName=Honors Description &amp;elementID=5150", "Click here to submit comment")</f>
        <v>Click here to submit comment</v>
      </c>
    </row>
    <row r="889" spans="1:16" ht="105">
      <c r="A889" s="6" t="s">
        <v>6788</v>
      </c>
      <c r="B889" s="6" t="s">
        <v>6804</v>
      </c>
      <c r="C889" s="6" t="s">
        <v>6806</v>
      </c>
      <c r="D889" s="6" t="s">
        <v>1546</v>
      </c>
      <c r="E889" s="6" t="s">
        <v>1547</v>
      </c>
      <c r="F889" s="6" t="s">
        <v>5963</v>
      </c>
      <c r="G889" s="6" t="s">
        <v>6084</v>
      </c>
      <c r="H889" s="6"/>
      <c r="I889" s="6"/>
      <c r="J889" s="6"/>
      <c r="K889" s="6"/>
      <c r="L889" s="6" t="s">
        <v>1548</v>
      </c>
      <c r="M889" s="6" t="s">
        <v>1549</v>
      </c>
      <c r="N889" s="6" t="s">
        <v>1550</v>
      </c>
      <c r="O889" s="6" t="str">
        <f>HYPERLINK("https://ceds.ed.gov/cedselementdetails.aspx?termid=5036")</f>
        <v>https://ceds.ed.gov/cedselementdetails.aspx?termid=5036</v>
      </c>
      <c r="P889" s="6" t="str">
        <f>HYPERLINK("https://ceds.ed.gov/elementComment.aspx?elementName=Career and Technical Education Completer &amp;elementID=5036", "Click here to submit comment")</f>
        <v>Click here to submit comment</v>
      </c>
    </row>
    <row r="890" spans="1:16" ht="90">
      <c r="A890" s="6" t="s">
        <v>6788</v>
      </c>
      <c r="B890" s="6" t="s">
        <v>6804</v>
      </c>
      <c r="C890" s="6" t="s">
        <v>6806</v>
      </c>
      <c r="D890" s="6" t="s">
        <v>147</v>
      </c>
      <c r="E890" s="6" t="s">
        <v>148</v>
      </c>
      <c r="F890" s="6" t="s">
        <v>13</v>
      </c>
      <c r="G890" s="6" t="s">
        <v>5968</v>
      </c>
      <c r="H890" s="6"/>
      <c r="I890" s="6" t="s">
        <v>149</v>
      </c>
      <c r="J890" s="6"/>
      <c r="K890" s="6"/>
      <c r="L890" s="6" t="s">
        <v>150</v>
      </c>
      <c r="M890" s="6"/>
      <c r="N890" s="6" t="s">
        <v>151</v>
      </c>
      <c r="O890" s="6" t="str">
        <f>HYPERLINK("https://ceds.ed.gov/cedselementdetails.aspx?termid=5006")</f>
        <v>https://ceds.ed.gov/cedselementdetails.aspx?termid=5006</v>
      </c>
      <c r="P890" s="6" t="str">
        <f>HYPERLINK("https://ceds.ed.gov/elementComment.aspx?elementName=Activity Identifier &amp;elementID=5006", "Click here to submit comment")</f>
        <v>Click here to submit comment</v>
      </c>
    </row>
    <row r="891" spans="1:16" ht="90">
      <c r="A891" s="6" t="s">
        <v>6788</v>
      </c>
      <c r="B891" s="6" t="s">
        <v>6804</v>
      </c>
      <c r="C891" s="6" t="s">
        <v>6806</v>
      </c>
      <c r="D891" s="6" t="s">
        <v>161</v>
      </c>
      <c r="E891" s="6" t="s">
        <v>162</v>
      </c>
      <c r="F891" s="6" t="s">
        <v>13</v>
      </c>
      <c r="G891" s="6" t="s">
        <v>5968</v>
      </c>
      <c r="H891" s="6"/>
      <c r="I891" s="6" t="s">
        <v>106</v>
      </c>
      <c r="J891" s="6"/>
      <c r="K891" s="6"/>
      <c r="L891" s="6" t="s">
        <v>163</v>
      </c>
      <c r="M891" s="6"/>
      <c r="N891" s="6" t="s">
        <v>164</v>
      </c>
      <c r="O891" s="6" t="str">
        <f>HYPERLINK("https://ceds.ed.gov/cedselementdetails.aspx?termid=5009")</f>
        <v>https://ceds.ed.gov/cedselementdetails.aspx?termid=5009</v>
      </c>
      <c r="P891" s="6" t="str">
        <f>HYPERLINK("https://ceds.ed.gov/elementComment.aspx?elementName=Activity Title &amp;elementID=5009", "Click here to submit comment")</f>
        <v>Click here to submit comment</v>
      </c>
    </row>
    <row r="892" spans="1:16" ht="285">
      <c r="A892" s="6" t="s">
        <v>6788</v>
      </c>
      <c r="B892" s="6" t="s">
        <v>6804</v>
      </c>
      <c r="C892" s="6" t="s">
        <v>6806</v>
      </c>
      <c r="D892" s="6" t="s">
        <v>4983</v>
      </c>
      <c r="E892" s="6" t="s">
        <v>4984</v>
      </c>
      <c r="F892" s="7" t="s">
        <v>6638</v>
      </c>
      <c r="G892" s="6" t="s">
        <v>5968</v>
      </c>
      <c r="H892" s="6"/>
      <c r="I892" s="6"/>
      <c r="J892" s="6"/>
      <c r="K892" s="6"/>
      <c r="L892" s="6" t="s">
        <v>4985</v>
      </c>
      <c r="M892" s="6"/>
      <c r="N892" s="6" t="s">
        <v>4986</v>
      </c>
      <c r="O892" s="6" t="str">
        <f>HYPERLINK("https://ceds.ed.gov/cedselementdetails.aspx?termid=5229")</f>
        <v>https://ceds.ed.gov/cedselementdetails.aspx?termid=5229</v>
      </c>
      <c r="P892" s="6" t="str">
        <f>HYPERLINK("https://ceds.ed.gov/elementComment.aspx?elementName=Recognition for Participation or Performance in an Activity &amp;elementID=5229", "Click here to submit comment")</f>
        <v>Click here to submit comment</v>
      </c>
    </row>
    <row r="893" spans="1:16" ht="45">
      <c r="A893" s="6" t="s">
        <v>6788</v>
      </c>
      <c r="B893" s="6" t="s">
        <v>6804</v>
      </c>
      <c r="C893" s="6" t="s">
        <v>6806</v>
      </c>
      <c r="D893" s="6" t="s">
        <v>2546</v>
      </c>
      <c r="E893" s="6" t="s">
        <v>2547</v>
      </c>
      <c r="F893" s="6" t="s">
        <v>6156</v>
      </c>
      <c r="G893" s="6" t="s">
        <v>2</v>
      </c>
      <c r="H893" s="6"/>
      <c r="I893" s="6"/>
      <c r="J893" s="6"/>
      <c r="K893" s="6"/>
      <c r="L893" s="6" t="s">
        <v>2548</v>
      </c>
      <c r="M893" s="6"/>
      <c r="N893" s="6" t="s">
        <v>2549</v>
      </c>
      <c r="O893" s="6" t="str">
        <f>HYPERLINK("https://ceds.ed.gov/cedselementdetails.aspx?termid=5093")</f>
        <v>https://ceds.ed.gov/cedselementdetails.aspx?termid=5093</v>
      </c>
      <c r="P893" s="6" t="str">
        <f>HYPERLINK("https://ceds.ed.gov/elementComment.aspx?elementName=End of Term Status &amp;elementID=5093", "Click here to submit comment")</f>
        <v>Click here to submit comment</v>
      </c>
    </row>
    <row r="894" spans="1:16" ht="180">
      <c r="A894" s="6" t="s">
        <v>6788</v>
      </c>
      <c r="B894" s="6" t="s">
        <v>6804</v>
      </c>
      <c r="C894" s="6" t="s">
        <v>6806</v>
      </c>
      <c r="D894" s="6" t="s">
        <v>4869</v>
      </c>
      <c r="E894" s="6" t="s">
        <v>4870</v>
      </c>
      <c r="F894" s="7" t="s">
        <v>6628</v>
      </c>
      <c r="G894" s="6"/>
      <c r="H894" s="6"/>
      <c r="I894" s="6"/>
      <c r="J894" s="6"/>
      <c r="K894" s="6"/>
      <c r="L894" s="6" t="s">
        <v>4871</v>
      </c>
      <c r="M894" s="6"/>
      <c r="N894" s="6" t="s">
        <v>4872</v>
      </c>
      <c r="O894" s="6" t="str">
        <f>HYPERLINK("https://ceds.ed.gov/cedselementdetails.aspx?termid=5521")</f>
        <v>https://ceds.ed.gov/cedselementdetails.aspx?termid=5521</v>
      </c>
      <c r="P894" s="6" t="str">
        <f>HYPERLINK("https://ceds.ed.gov/elementComment.aspx?elementName=Promotion Reason &amp;elementID=5521", "Click here to submit comment")</f>
        <v>Click here to submit comment</v>
      </c>
    </row>
    <row r="895" spans="1:16" ht="195">
      <c r="A895" s="6" t="s">
        <v>6788</v>
      </c>
      <c r="B895" s="6" t="s">
        <v>6804</v>
      </c>
      <c r="C895" s="6" t="s">
        <v>6806</v>
      </c>
      <c r="D895" s="6" t="s">
        <v>4233</v>
      </c>
      <c r="E895" s="6" t="s">
        <v>4234</v>
      </c>
      <c r="F895" s="7" t="s">
        <v>6591</v>
      </c>
      <c r="G895" s="6"/>
      <c r="H895" s="6"/>
      <c r="I895" s="6"/>
      <c r="J895" s="6"/>
      <c r="K895" s="6"/>
      <c r="L895" s="6" t="s">
        <v>4235</v>
      </c>
      <c r="M895" s="6"/>
      <c r="N895" s="6" t="s">
        <v>4236</v>
      </c>
      <c r="O895" s="6" t="str">
        <f>HYPERLINK("https://ceds.ed.gov/cedselementdetails.aspx?termid=5522")</f>
        <v>https://ceds.ed.gov/cedselementdetails.aspx?termid=5522</v>
      </c>
      <c r="P895" s="6" t="str">
        <f>HYPERLINK("https://ceds.ed.gov/elementComment.aspx?elementName=Nonpromotion Reason &amp;elementID=5522", "Click here to submit comment")</f>
        <v>Click here to submit comment</v>
      </c>
    </row>
    <row r="896" spans="1:16" ht="255">
      <c r="A896" s="6" t="s">
        <v>6788</v>
      </c>
      <c r="B896" s="6" t="s">
        <v>6804</v>
      </c>
      <c r="C896" s="6" t="s">
        <v>6806</v>
      </c>
      <c r="D896" s="6" t="s">
        <v>3996</v>
      </c>
      <c r="E896" s="6" t="s">
        <v>3997</v>
      </c>
      <c r="F896" s="7" t="s">
        <v>6575</v>
      </c>
      <c r="G896" s="6" t="s">
        <v>207</v>
      </c>
      <c r="H896" s="6"/>
      <c r="I896" s="6"/>
      <c r="J896" s="6"/>
      <c r="K896" s="6"/>
      <c r="L896" s="6" t="s">
        <v>3998</v>
      </c>
      <c r="M896" s="6"/>
      <c r="N896" s="6" t="s">
        <v>3999</v>
      </c>
      <c r="O896" s="6" t="str">
        <f>HYPERLINK("https://ceds.ed.gov/cedselementdetails.aspx?termid=5456")</f>
        <v>https://ceds.ed.gov/cedselementdetails.aspx?termid=5456</v>
      </c>
      <c r="P896" s="6" t="str">
        <f>HYPERLINK("https://ceds.ed.gov/elementComment.aspx?elementName=Literacy Assessment Administered Type &amp;elementID=5456", "Click here to submit comment")</f>
        <v>Click here to submit comment</v>
      </c>
    </row>
    <row r="897" spans="1:16" ht="60">
      <c r="A897" s="6" t="s">
        <v>6788</v>
      </c>
      <c r="B897" s="6" t="s">
        <v>6804</v>
      </c>
      <c r="C897" s="6" t="s">
        <v>6806</v>
      </c>
      <c r="D897" s="6" t="s">
        <v>4000</v>
      </c>
      <c r="E897" s="6" t="s">
        <v>4001</v>
      </c>
      <c r="F897" s="6" t="s">
        <v>5963</v>
      </c>
      <c r="G897" s="6" t="s">
        <v>207</v>
      </c>
      <c r="H897" s="6"/>
      <c r="I897" s="6"/>
      <c r="J897" s="6"/>
      <c r="K897" s="6"/>
      <c r="L897" s="6" t="s">
        <v>4002</v>
      </c>
      <c r="M897" s="6"/>
      <c r="N897" s="6" t="s">
        <v>4003</v>
      </c>
      <c r="O897" s="6" t="str">
        <f>HYPERLINK("https://ceds.ed.gov/cedselementdetails.aspx?termid=5457")</f>
        <v>https://ceds.ed.gov/cedselementdetails.aspx?termid=5457</v>
      </c>
      <c r="P897" s="6" t="str">
        <f>HYPERLINK("https://ceds.ed.gov/elementComment.aspx?elementName=Literacy Goal Met Status &amp;elementID=5457", "Click here to submit comment")</f>
        <v>Click here to submit comment</v>
      </c>
    </row>
    <row r="898" spans="1:16" ht="45">
      <c r="A898" s="6" t="s">
        <v>6788</v>
      </c>
      <c r="B898" s="6" t="s">
        <v>6804</v>
      </c>
      <c r="C898" s="6" t="s">
        <v>6806</v>
      </c>
      <c r="D898" s="6" t="s">
        <v>4004</v>
      </c>
      <c r="E898" s="6" t="s">
        <v>4005</v>
      </c>
      <c r="F898" s="6" t="s">
        <v>5963</v>
      </c>
      <c r="G898" s="6" t="s">
        <v>207</v>
      </c>
      <c r="H898" s="6"/>
      <c r="I898" s="6"/>
      <c r="J898" s="6"/>
      <c r="K898" s="6"/>
      <c r="L898" s="6" t="s">
        <v>4006</v>
      </c>
      <c r="M898" s="6"/>
      <c r="N898" s="6" t="s">
        <v>4007</v>
      </c>
      <c r="O898" s="6" t="str">
        <f>HYPERLINK("https://ceds.ed.gov/cedselementdetails.aspx?termid=5458")</f>
        <v>https://ceds.ed.gov/cedselementdetails.aspx?termid=5458</v>
      </c>
      <c r="P898" s="6" t="str">
        <f>HYPERLINK("https://ceds.ed.gov/elementComment.aspx?elementName=Literacy Post Test Status &amp;elementID=5458", "Click here to submit comment")</f>
        <v>Click here to submit comment</v>
      </c>
    </row>
    <row r="899" spans="1:16" ht="45">
      <c r="A899" s="6" t="s">
        <v>6788</v>
      </c>
      <c r="B899" s="6" t="s">
        <v>6804</v>
      </c>
      <c r="C899" s="6" t="s">
        <v>6806</v>
      </c>
      <c r="D899" s="6" t="s">
        <v>4008</v>
      </c>
      <c r="E899" s="6" t="s">
        <v>4009</v>
      </c>
      <c r="F899" s="6" t="s">
        <v>5963</v>
      </c>
      <c r="G899" s="6" t="s">
        <v>207</v>
      </c>
      <c r="H899" s="6"/>
      <c r="I899" s="6"/>
      <c r="J899" s="6"/>
      <c r="K899" s="6"/>
      <c r="L899" s="6" t="s">
        <v>4010</v>
      </c>
      <c r="M899" s="6"/>
      <c r="N899" s="6" t="s">
        <v>4011</v>
      </c>
      <c r="O899" s="6" t="str">
        <f>HYPERLINK("https://ceds.ed.gov/cedselementdetails.aspx?termid=5459")</f>
        <v>https://ceds.ed.gov/cedselementdetails.aspx?termid=5459</v>
      </c>
      <c r="P899" s="6" t="str">
        <f>HYPERLINK("https://ceds.ed.gov/elementComment.aspx?elementName=Literacy Pre Test Status &amp;elementID=5459", "Click here to submit comment")</f>
        <v>Click here to submit comment</v>
      </c>
    </row>
    <row r="900" spans="1:16" ht="90">
      <c r="A900" s="6" t="s">
        <v>6788</v>
      </c>
      <c r="B900" s="6" t="s">
        <v>6804</v>
      </c>
      <c r="C900" s="6" t="s">
        <v>6806</v>
      </c>
      <c r="D900" s="6" t="s">
        <v>4524</v>
      </c>
      <c r="E900" s="6" t="s">
        <v>4525</v>
      </c>
      <c r="F900" s="7" t="s">
        <v>6362</v>
      </c>
      <c r="G900" s="6" t="s">
        <v>218</v>
      </c>
      <c r="H900" s="6"/>
      <c r="I900" s="6"/>
      <c r="J900" s="6"/>
      <c r="K900" s="6"/>
      <c r="L900" s="6" t="s">
        <v>4526</v>
      </c>
      <c r="M900" s="6"/>
      <c r="N900" s="6" t="s">
        <v>4527</v>
      </c>
      <c r="O900" s="6" t="str">
        <f>HYPERLINK("https://ceds.ed.gov/cedselementdetails.aspx?termid=5579")</f>
        <v>https://ceds.ed.gov/cedselementdetails.aspx?termid=5579</v>
      </c>
      <c r="P900" s="6" t="str">
        <f>HYPERLINK("https://ceds.ed.gov/elementComment.aspx?elementName=Postsecondary Enrollment Action &amp;elementID=5579", "Click here to submit comment")</f>
        <v>Click here to submit comment</v>
      </c>
    </row>
    <row r="901" spans="1:16" ht="30">
      <c r="A901" s="6" t="s">
        <v>6788</v>
      </c>
      <c r="B901" s="6" t="s">
        <v>6804</v>
      </c>
      <c r="C901" s="6" t="s">
        <v>6806</v>
      </c>
      <c r="D901" s="6" t="s">
        <v>1726</v>
      </c>
      <c r="E901" s="6" t="s">
        <v>1727</v>
      </c>
      <c r="F901" s="6" t="s">
        <v>13</v>
      </c>
      <c r="G901" s="6"/>
      <c r="H901" s="6"/>
      <c r="I901" s="6" t="s">
        <v>100</v>
      </c>
      <c r="J901" s="6"/>
      <c r="K901" s="6"/>
      <c r="L901" s="6" t="s">
        <v>1728</v>
      </c>
      <c r="M901" s="6"/>
      <c r="N901" s="6" t="s">
        <v>1729</v>
      </c>
      <c r="O901" s="6" t="str">
        <f>HYPERLINK("https://ceds.ed.gov/cedselementdetails.aspx?termid=5687")</f>
        <v>https://ceds.ed.gov/cedselementdetails.aspx?termid=5687</v>
      </c>
      <c r="P901" s="6" t="str">
        <f>HYPERLINK("https://ceds.ed.gov/elementComment.aspx?elementName=Cohort Description &amp;elementID=5687", "Click here to submit comment")</f>
        <v>Click here to submit comment</v>
      </c>
    </row>
    <row r="902" spans="1:16" ht="30">
      <c r="A902" s="6" t="s">
        <v>6788</v>
      </c>
      <c r="B902" s="6" t="s">
        <v>6804</v>
      </c>
      <c r="C902" s="6" t="s">
        <v>6806</v>
      </c>
      <c r="D902" s="6" t="s">
        <v>2907</v>
      </c>
      <c r="E902" s="6" t="s">
        <v>2908</v>
      </c>
      <c r="F902" s="6" t="s">
        <v>13</v>
      </c>
      <c r="G902" s="6"/>
      <c r="H902" s="6"/>
      <c r="I902" s="6" t="s">
        <v>1736</v>
      </c>
      <c r="J902" s="6"/>
      <c r="K902" s="6"/>
      <c r="L902" s="6" t="s">
        <v>2909</v>
      </c>
      <c r="M902" s="6"/>
      <c r="N902" s="6" t="s">
        <v>2910</v>
      </c>
      <c r="O902" s="6" t="str">
        <f>HYPERLINK("https://ceds.ed.gov/cedselementdetails.aspx?termid=5132")</f>
        <v>https://ceds.ed.gov/cedselementdetails.aspx?termid=5132</v>
      </c>
      <c r="P902" s="6" t="str">
        <f>HYPERLINK("https://ceds.ed.gov/elementComment.aspx?elementName=Graduation Rate Survey Cohort Year &amp;elementID=5132", "Click here to submit comment")</f>
        <v>Click here to submit comment</v>
      </c>
    </row>
    <row r="903" spans="1:16" ht="75">
      <c r="A903" s="6" t="s">
        <v>6788</v>
      </c>
      <c r="B903" s="6" t="s">
        <v>6804</v>
      </c>
      <c r="C903" s="6" t="s">
        <v>6806</v>
      </c>
      <c r="D903" s="6" t="s">
        <v>2911</v>
      </c>
      <c r="E903" s="6" t="s">
        <v>2912</v>
      </c>
      <c r="F903" s="6" t="s">
        <v>5963</v>
      </c>
      <c r="G903" s="6" t="s">
        <v>2913</v>
      </c>
      <c r="H903" s="6"/>
      <c r="I903" s="6"/>
      <c r="J903" s="6"/>
      <c r="K903" s="6"/>
      <c r="L903" s="6" t="s">
        <v>2914</v>
      </c>
      <c r="M903" s="6"/>
      <c r="N903" s="6" t="s">
        <v>2915</v>
      </c>
      <c r="O903" s="6" t="str">
        <f>HYPERLINK("https://ceds.ed.gov/cedselementdetails.aspx?termid=5133")</f>
        <v>https://ceds.ed.gov/cedselementdetails.aspx?termid=5133</v>
      </c>
      <c r="P903" s="6" t="str">
        <f>HYPERLINK("https://ceds.ed.gov/elementComment.aspx?elementName=Graduation Rate Survey Indicator &amp;elementID=5133", "Click here to submit comment")</f>
        <v>Click here to submit comment</v>
      </c>
    </row>
    <row r="904" spans="1:16" ht="105">
      <c r="A904" s="6" t="s">
        <v>6788</v>
      </c>
      <c r="B904" s="6" t="s">
        <v>6804</v>
      </c>
      <c r="C904" s="6" t="s">
        <v>6806</v>
      </c>
      <c r="D904" s="6" t="s">
        <v>4550</v>
      </c>
      <c r="E904" s="6" t="s">
        <v>4551</v>
      </c>
      <c r="F904" s="7" t="s">
        <v>6602</v>
      </c>
      <c r="G904" s="6" t="s">
        <v>6069</v>
      </c>
      <c r="H904" s="6"/>
      <c r="I904" s="6"/>
      <c r="J904" s="6"/>
      <c r="K904" s="6"/>
      <c r="L904" s="6" t="s">
        <v>4552</v>
      </c>
      <c r="M904" s="6"/>
      <c r="N904" s="6" t="s">
        <v>4553</v>
      </c>
      <c r="O904" s="6" t="str">
        <f>HYPERLINK("https://ceds.ed.gov/cedselementdetails.aspx?termid=5563")</f>
        <v>https://ceds.ed.gov/cedselementdetails.aspx?termid=5563</v>
      </c>
      <c r="P904" s="6" t="str">
        <f>HYPERLINK("https://ceds.ed.gov/elementComment.aspx?elementName=Pre and Post Test Indicator &amp;elementID=5563", "Click here to submit comment")</f>
        <v>Click here to submit comment</v>
      </c>
    </row>
    <row r="905" spans="1:16" ht="60">
      <c r="A905" s="6" t="s">
        <v>6788</v>
      </c>
      <c r="B905" s="6" t="s">
        <v>6804</v>
      </c>
      <c r="C905" s="6" t="s">
        <v>6806</v>
      </c>
      <c r="D905" s="6" t="s">
        <v>4767</v>
      </c>
      <c r="E905" s="6" t="s">
        <v>4768</v>
      </c>
      <c r="F905" s="7" t="s">
        <v>6621</v>
      </c>
      <c r="G905" s="6" t="s">
        <v>218</v>
      </c>
      <c r="H905" s="6"/>
      <c r="I905" s="6"/>
      <c r="J905" s="6"/>
      <c r="K905" s="6"/>
      <c r="L905" s="6" t="s">
        <v>4769</v>
      </c>
      <c r="M905" s="6"/>
      <c r="N905" s="6" t="s">
        <v>4770</v>
      </c>
      <c r="O905" s="6" t="str">
        <f>HYPERLINK("https://ceds.ed.gov/cedselementdetails.aspx?termid=5565")</f>
        <v>https://ceds.ed.gov/cedselementdetails.aspx?termid=5565</v>
      </c>
      <c r="P905" s="6" t="str">
        <f>HYPERLINK("https://ceds.ed.gov/elementComment.aspx?elementName=Proficiency Status &amp;elementID=5565", "Click here to submit comment")</f>
        <v>Click here to submit comment</v>
      </c>
    </row>
    <row r="906" spans="1:16" ht="210">
      <c r="A906" s="6" t="s">
        <v>6788</v>
      </c>
      <c r="B906" s="6" t="s">
        <v>6804</v>
      </c>
      <c r="C906" s="6" t="s">
        <v>6806</v>
      </c>
      <c r="D906" s="6" t="s">
        <v>4861</v>
      </c>
      <c r="E906" s="6" t="s">
        <v>4862</v>
      </c>
      <c r="F906" s="7" t="s">
        <v>6627</v>
      </c>
      <c r="G906" s="6" t="s">
        <v>218</v>
      </c>
      <c r="H906" s="6"/>
      <c r="I906" s="6"/>
      <c r="J906" s="6"/>
      <c r="K906" s="6"/>
      <c r="L906" s="6" t="s">
        <v>4863</v>
      </c>
      <c r="M906" s="6"/>
      <c r="N906" s="6" t="s">
        <v>4864</v>
      </c>
      <c r="O906" s="6" t="str">
        <f>HYPERLINK("https://ceds.ed.gov/cedselementdetails.aspx?termid=5553")</f>
        <v>https://ceds.ed.gov/cedselementdetails.aspx?termid=5553</v>
      </c>
      <c r="P906" s="6" t="str">
        <f>HYPERLINK("https://ceds.ed.gov/elementComment.aspx?elementName=Progress Level &amp;elementID=5553", "Click here to submit comment")</f>
        <v>Click here to submit comment</v>
      </c>
    </row>
    <row r="907" spans="1:16" ht="30">
      <c r="A907" s="6" t="s">
        <v>6788</v>
      </c>
      <c r="B907" s="6" t="s">
        <v>6804</v>
      </c>
      <c r="C907" s="6" t="s">
        <v>6806</v>
      </c>
      <c r="D907" s="6" t="s">
        <v>1582</v>
      </c>
      <c r="E907" s="6" t="s">
        <v>1583</v>
      </c>
      <c r="F907" s="6" t="s">
        <v>13</v>
      </c>
      <c r="G907" s="6"/>
      <c r="H907" s="6" t="s">
        <v>54</v>
      </c>
      <c r="I907" s="6" t="s">
        <v>73</v>
      </c>
      <c r="J907" s="6"/>
      <c r="K907" s="6"/>
      <c r="L907" s="6" t="s">
        <v>1584</v>
      </c>
      <c r="M907" s="6"/>
      <c r="N907" s="6" t="s">
        <v>1585</v>
      </c>
      <c r="O907" s="6" t="str">
        <f>HYPERLINK("https://ceds.ed.gov/cedselementdetails.aspx?termid=6255")</f>
        <v>https://ceds.ed.gov/cedselementdetails.aspx?termid=6255</v>
      </c>
      <c r="P907" s="6" t="str">
        <f>HYPERLINK("https://ceds.ed.gov/elementComment.aspx?elementName=Career Education Plan Date &amp;elementID=6255", "Click here to submit comment")</f>
        <v>Click here to submit comment</v>
      </c>
    </row>
    <row r="908" spans="1:16" ht="105">
      <c r="A908" s="6" t="s">
        <v>6788</v>
      </c>
      <c r="B908" s="6" t="s">
        <v>6804</v>
      </c>
      <c r="C908" s="6" t="s">
        <v>6806</v>
      </c>
      <c r="D908" s="6" t="s">
        <v>1586</v>
      </c>
      <c r="E908" s="6" t="s">
        <v>1587</v>
      </c>
      <c r="F908" s="7" t="s">
        <v>6416</v>
      </c>
      <c r="G908" s="6"/>
      <c r="H908" s="6" t="s">
        <v>54</v>
      </c>
      <c r="I908" s="6"/>
      <c r="J908" s="6"/>
      <c r="K908" s="6"/>
      <c r="L908" s="6" t="s">
        <v>1588</v>
      </c>
      <c r="M908" s="6"/>
      <c r="N908" s="6" t="s">
        <v>1589</v>
      </c>
      <c r="O908" s="6" t="str">
        <f>HYPERLINK("https://ceds.ed.gov/cedselementdetails.aspx?termid=6256")</f>
        <v>https://ceds.ed.gov/cedselementdetails.aspx?termid=6256</v>
      </c>
      <c r="P908" s="6" t="str">
        <f>HYPERLINK("https://ceds.ed.gov/elementComment.aspx?elementName=Career Education Plan Type &amp;elementID=6256", "Click here to submit comment")</f>
        <v>Click here to submit comment</v>
      </c>
    </row>
    <row r="909" spans="1:16" ht="270">
      <c r="A909" s="6" t="s">
        <v>6788</v>
      </c>
      <c r="B909" s="6" t="s">
        <v>6804</v>
      </c>
      <c r="C909" s="6" t="s">
        <v>6806</v>
      </c>
      <c r="D909" s="6" t="s">
        <v>4763</v>
      </c>
      <c r="E909" s="6" t="s">
        <v>4764</v>
      </c>
      <c r="F909" s="7" t="s">
        <v>6620</v>
      </c>
      <c r="G909" s="6"/>
      <c r="H909" s="6" t="s">
        <v>66</v>
      </c>
      <c r="I909" s="6"/>
      <c r="J909" s="6" t="s">
        <v>848</v>
      </c>
      <c r="K909" s="6"/>
      <c r="L909" s="6" t="s">
        <v>4765</v>
      </c>
      <c r="M909" s="6"/>
      <c r="N909" s="6" t="s">
        <v>4766</v>
      </c>
      <c r="O909" s="6" t="str">
        <f>HYPERLINK("https://ceds.ed.gov/cedselementdetails.aspx?termid=5780")</f>
        <v>https://ceds.ed.gov/cedselementdetails.aspx?termid=5780</v>
      </c>
      <c r="P909" s="6" t="str">
        <f>HYPERLINK("https://ceds.ed.gov/elementComment.aspx?elementName=Professional or Technical Credential Conferred &amp;elementID=5780", "Click here to submit comment")</f>
        <v>Click here to submit comment</v>
      </c>
    </row>
    <row r="910" spans="1:16" ht="255">
      <c r="A910" s="6" t="s">
        <v>6788</v>
      </c>
      <c r="B910" s="6" t="s">
        <v>6804</v>
      </c>
      <c r="C910" s="6" t="s">
        <v>6807</v>
      </c>
      <c r="D910" s="6" t="s">
        <v>4269</v>
      </c>
      <c r="E910" s="6" t="s">
        <v>4270</v>
      </c>
      <c r="F910" s="6" t="s">
        <v>13</v>
      </c>
      <c r="G910" s="6" t="s">
        <v>6263</v>
      </c>
      <c r="H910" s="6"/>
      <c r="I910" s="6" t="s">
        <v>1461</v>
      </c>
      <c r="J910" s="6"/>
      <c r="K910" s="6" t="s">
        <v>4271</v>
      </c>
      <c r="L910" s="6" t="s">
        <v>4272</v>
      </c>
      <c r="M910" s="6"/>
      <c r="N910" s="6" t="s">
        <v>4273</v>
      </c>
      <c r="O910" s="6" t="str">
        <f>HYPERLINK("https://ceds.ed.gov/cedselementdetails.aspx?termid=5202")</f>
        <v>https://ceds.ed.gov/cedselementdetails.aspx?termid=5202</v>
      </c>
      <c r="P910" s="6" t="str">
        <f>HYPERLINK("https://ceds.ed.gov/elementComment.aspx?elementName=Number of Days in Attendance &amp;elementID=5202", "Click here to submit comment")</f>
        <v>Click here to submit comment</v>
      </c>
    </row>
    <row r="911" spans="1:16" ht="120">
      <c r="A911" s="6" t="s">
        <v>6788</v>
      </c>
      <c r="B911" s="6" t="s">
        <v>6804</v>
      </c>
      <c r="C911" s="6" t="s">
        <v>6807</v>
      </c>
      <c r="D911" s="6" t="s">
        <v>4261</v>
      </c>
      <c r="E911" s="6" t="s">
        <v>4262</v>
      </c>
      <c r="F911" s="6" t="s">
        <v>13</v>
      </c>
      <c r="G911" s="6" t="s">
        <v>6261</v>
      </c>
      <c r="H911" s="6"/>
      <c r="I911" s="6" t="s">
        <v>1461</v>
      </c>
      <c r="J911" s="6"/>
      <c r="K911" s="6"/>
      <c r="L911" s="6" t="s">
        <v>4263</v>
      </c>
      <c r="M911" s="6"/>
      <c r="N911" s="6" t="s">
        <v>4264</v>
      </c>
      <c r="O911" s="6" t="str">
        <f>HYPERLINK("https://ceds.ed.gov/cedselementdetails.aspx?termid=5201")</f>
        <v>https://ceds.ed.gov/cedselementdetails.aspx?termid=5201</v>
      </c>
      <c r="P911" s="6" t="str">
        <f>HYPERLINK("https://ceds.ed.gov/elementComment.aspx?elementName=Number of Days Absent &amp;elementID=5201", "Click here to submit comment")</f>
        <v>Click here to submit comment</v>
      </c>
    </row>
    <row r="912" spans="1:16" ht="409.5">
      <c r="A912" s="6" t="s">
        <v>6788</v>
      </c>
      <c r="B912" s="6" t="s">
        <v>6804</v>
      </c>
      <c r="C912" s="6" t="s">
        <v>6807</v>
      </c>
      <c r="D912" s="6" t="s">
        <v>6</v>
      </c>
      <c r="E912" s="6" t="s">
        <v>7</v>
      </c>
      <c r="F912" s="7" t="s">
        <v>6345</v>
      </c>
      <c r="G912" s="6"/>
      <c r="H912" s="6"/>
      <c r="I912" s="6"/>
      <c r="J912" s="6"/>
      <c r="K912" s="6"/>
      <c r="L912" s="6" t="s">
        <v>9</v>
      </c>
      <c r="M912" s="6"/>
      <c r="N912" s="6" t="s">
        <v>10</v>
      </c>
      <c r="O912" s="6" t="str">
        <f>HYPERLINK("https://ceds.ed.gov/cedselementdetails.aspx?termid=5592")</f>
        <v>https://ceds.ed.gov/cedselementdetails.aspx?termid=5592</v>
      </c>
      <c r="P912" s="6" t="str">
        <f>HYPERLINK("https://ceds.ed.gov/elementComment.aspx?elementName=Absent Attendance Category &amp;elementID=5592", "Click here to submit comment")</f>
        <v>Click here to submit comment</v>
      </c>
    </row>
    <row r="913" spans="1:16" ht="60">
      <c r="A913" s="6" t="s">
        <v>6788</v>
      </c>
      <c r="B913" s="6" t="s">
        <v>6804</v>
      </c>
      <c r="C913" s="6" t="s">
        <v>6807</v>
      </c>
      <c r="D913" s="6" t="s">
        <v>1520</v>
      </c>
      <c r="E913" s="6" t="s">
        <v>1521</v>
      </c>
      <c r="F913" s="6" t="s">
        <v>13</v>
      </c>
      <c r="G913" s="6"/>
      <c r="H913" s="6" t="s">
        <v>66</v>
      </c>
      <c r="I913" s="6" t="s">
        <v>73</v>
      </c>
      <c r="J913" s="6" t="s">
        <v>1522</v>
      </c>
      <c r="K913" s="6"/>
      <c r="L913" s="6" t="s">
        <v>1523</v>
      </c>
      <c r="M913" s="6"/>
      <c r="N913" s="6" t="s">
        <v>1524</v>
      </c>
      <c r="O913" s="6" t="str">
        <f>HYPERLINK("https://ceds.ed.gov/cedselementdetails.aspx?termid=6241")</f>
        <v>https://ceds.ed.gov/cedselementdetails.aspx?termid=6241</v>
      </c>
      <c r="P913" s="6" t="str">
        <f>HYPERLINK("https://ceds.ed.gov/elementComment.aspx?elementName=Calendar Event Date &amp;elementID=6241", "Click here to submit comment")</f>
        <v>Click here to submit comment</v>
      </c>
    </row>
    <row r="914" spans="1:16" ht="150">
      <c r="A914" s="6" t="s">
        <v>6788</v>
      </c>
      <c r="B914" s="6" t="s">
        <v>6804</v>
      </c>
      <c r="C914" s="6" t="s">
        <v>6807</v>
      </c>
      <c r="D914" s="6" t="s">
        <v>1407</v>
      </c>
      <c r="E914" s="6" t="s">
        <v>1408</v>
      </c>
      <c r="F914" s="7" t="s">
        <v>6407</v>
      </c>
      <c r="G914" s="6"/>
      <c r="H914" s="6"/>
      <c r="I914" s="6"/>
      <c r="J914" s="6"/>
      <c r="K914" s="6"/>
      <c r="L914" s="6" t="s">
        <v>1409</v>
      </c>
      <c r="M914" s="6"/>
      <c r="N914" s="6" t="s">
        <v>1410</v>
      </c>
      <c r="O914" s="6" t="str">
        <f>HYPERLINK("https://ceds.ed.gov/cedselementdetails.aspx?termid=5594")</f>
        <v>https://ceds.ed.gov/cedselementdetails.aspx?termid=5594</v>
      </c>
      <c r="P914" s="6" t="str">
        <f>HYPERLINK("https://ceds.ed.gov/elementComment.aspx?elementName=Attendance Event Type &amp;elementID=5594", "Click here to submit comment")</f>
        <v>Click here to submit comment</v>
      </c>
    </row>
    <row r="915" spans="1:16" ht="135">
      <c r="A915" s="6" t="s">
        <v>6788</v>
      </c>
      <c r="B915" s="6" t="s">
        <v>6804</v>
      </c>
      <c r="C915" s="6" t="s">
        <v>6807</v>
      </c>
      <c r="D915" s="6" t="s">
        <v>1411</v>
      </c>
      <c r="E915" s="6" t="s">
        <v>1412</v>
      </c>
      <c r="F915" s="7" t="s">
        <v>6408</v>
      </c>
      <c r="G915" s="6"/>
      <c r="H915" s="6" t="s">
        <v>66</v>
      </c>
      <c r="I915" s="6"/>
      <c r="J915" s="6" t="s">
        <v>1413</v>
      </c>
      <c r="K915" s="6"/>
      <c r="L915" s="6" t="s">
        <v>1414</v>
      </c>
      <c r="M915" s="6"/>
      <c r="N915" s="6" t="s">
        <v>1415</v>
      </c>
      <c r="O915" s="6" t="str">
        <f>HYPERLINK("https://ceds.ed.gov/cedselementdetails.aspx?termid=5076")</f>
        <v>https://ceds.ed.gov/cedselementdetails.aspx?termid=5076</v>
      </c>
      <c r="P915" s="6" t="str">
        <f>HYPERLINK("https://ceds.ed.gov/elementComment.aspx?elementName=Attendance Status &amp;elementID=5076", "Click here to submit comment")</f>
        <v>Click here to submit comment</v>
      </c>
    </row>
    <row r="916" spans="1:16" ht="285">
      <c r="A916" s="6" t="s">
        <v>6788</v>
      </c>
      <c r="B916" s="6" t="s">
        <v>6804</v>
      </c>
      <c r="C916" s="6" t="s">
        <v>6807</v>
      </c>
      <c r="D916" s="6" t="s">
        <v>4571</v>
      </c>
      <c r="E916" s="6" t="s">
        <v>4572</v>
      </c>
      <c r="F916" s="7" t="s">
        <v>6606</v>
      </c>
      <c r="G916" s="6"/>
      <c r="H916" s="6"/>
      <c r="I916" s="6"/>
      <c r="J916" s="6"/>
      <c r="K916" s="6"/>
      <c r="L916" s="6" t="s">
        <v>4573</v>
      </c>
      <c r="M916" s="6"/>
      <c r="N916" s="6" t="s">
        <v>4574</v>
      </c>
      <c r="O916" s="6" t="str">
        <f>HYPERLINK("https://ceds.ed.gov/cedselementdetails.aspx?termid=5593")</f>
        <v>https://ceds.ed.gov/cedselementdetails.aspx?termid=5593</v>
      </c>
      <c r="P916" s="6" t="str">
        <f>HYPERLINK("https://ceds.ed.gov/elementComment.aspx?elementName=Present Attendance Category &amp;elementID=5593", "Click here to submit comment")</f>
        <v>Click here to submit comment</v>
      </c>
    </row>
    <row r="917" spans="1:16" ht="120">
      <c r="A917" s="6" t="s">
        <v>6788</v>
      </c>
      <c r="B917" s="6" t="s">
        <v>6804</v>
      </c>
      <c r="C917" s="6" t="s">
        <v>6807</v>
      </c>
      <c r="D917" s="6" t="s">
        <v>5600</v>
      </c>
      <c r="E917" s="6" t="s">
        <v>5601</v>
      </c>
      <c r="F917" s="6" t="s">
        <v>13</v>
      </c>
      <c r="G917" s="6" t="s">
        <v>218</v>
      </c>
      <c r="H917" s="6"/>
      <c r="I917" s="6" t="s">
        <v>5602</v>
      </c>
      <c r="J917" s="6"/>
      <c r="K917" s="6"/>
      <c r="L917" s="6" t="s">
        <v>5603</v>
      </c>
      <c r="M917" s="6"/>
      <c r="N917" s="6" t="s">
        <v>5604</v>
      </c>
      <c r="O917" s="6" t="str">
        <f>HYPERLINK("https://ceds.ed.gov/cedselementdetails.aspx?termid=5271")</f>
        <v>https://ceds.ed.gov/cedselementdetails.aspx?termid=5271</v>
      </c>
      <c r="P917" s="6" t="str">
        <f>HYPERLINK("https://ceds.ed.gov/elementComment.aspx?elementName=Student Attendance Rate &amp;elementID=5271", "Click here to submit comment")</f>
        <v>Click here to submit comment</v>
      </c>
    </row>
    <row r="918" spans="1:16" ht="45">
      <c r="A918" s="6" t="s">
        <v>6788</v>
      </c>
      <c r="B918" s="6" t="s">
        <v>6804</v>
      </c>
      <c r="C918" s="6" t="s">
        <v>6808</v>
      </c>
      <c r="D918" s="6" t="s">
        <v>4821</v>
      </c>
      <c r="E918" s="6" t="s">
        <v>4822</v>
      </c>
      <c r="F918" s="6" t="s">
        <v>13</v>
      </c>
      <c r="G918" s="6" t="s">
        <v>6051</v>
      </c>
      <c r="H918" s="6"/>
      <c r="I918" s="6" t="s">
        <v>73</v>
      </c>
      <c r="J918" s="6"/>
      <c r="K918" s="6"/>
      <c r="L918" s="6" t="s">
        <v>4823</v>
      </c>
      <c r="M918" s="6"/>
      <c r="N918" s="6" t="s">
        <v>4824</v>
      </c>
      <c r="O918" s="6" t="str">
        <f>HYPERLINK("https://ceds.ed.gov/cedselementdetails.aspx?termid=5583")</f>
        <v>https://ceds.ed.gov/cedselementdetails.aspx?termid=5583</v>
      </c>
      <c r="P918" s="6" t="str">
        <f>HYPERLINK("https://ceds.ed.gov/elementComment.aspx?elementName=Program Participation Start Date &amp;elementID=5583", "Click here to submit comment")</f>
        <v>Click here to submit comment</v>
      </c>
    </row>
    <row r="919" spans="1:16" ht="45">
      <c r="A919" s="6" t="s">
        <v>6788</v>
      </c>
      <c r="B919" s="6" t="s">
        <v>6804</v>
      </c>
      <c r="C919" s="6" t="s">
        <v>6808</v>
      </c>
      <c r="D919" s="6" t="s">
        <v>4817</v>
      </c>
      <c r="E919" s="6" t="s">
        <v>4818</v>
      </c>
      <c r="F919" s="6" t="s">
        <v>13</v>
      </c>
      <c r="G919" s="6" t="s">
        <v>218</v>
      </c>
      <c r="H919" s="6"/>
      <c r="I919" s="6" t="s">
        <v>73</v>
      </c>
      <c r="J919" s="6"/>
      <c r="K919" s="6"/>
      <c r="L919" s="6" t="s">
        <v>4819</v>
      </c>
      <c r="M919" s="6"/>
      <c r="N919" s="6" t="s">
        <v>4820</v>
      </c>
      <c r="O919" s="6" t="str">
        <f>HYPERLINK("https://ceds.ed.gov/cedselementdetails.aspx?termid=5584")</f>
        <v>https://ceds.ed.gov/cedselementdetails.aspx?termid=5584</v>
      </c>
      <c r="P919" s="6" t="str">
        <f>HYPERLINK("https://ceds.ed.gov/elementComment.aspx?elementName=Program Participation Exit Date &amp;elementID=5584", "Click here to submit comment")</f>
        <v>Click here to submit comment</v>
      </c>
    </row>
    <row r="920" spans="1:16" ht="45">
      <c r="A920" s="6" t="s">
        <v>6788</v>
      </c>
      <c r="B920" s="6" t="s">
        <v>6804</v>
      </c>
      <c r="C920" s="6" t="s">
        <v>6808</v>
      </c>
      <c r="D920" s="6" t="s">
        <v>4792</v>
      </c>
      <c r="E920" s="6" t="s">
        <v>4793</v>
      </c>
      <c r="F920" s="6" t="s">
        <v>5963</v>
      </c>
      <c r="G920" s="6" t="s">
        <v>65</v>
      </c>
      <c r="H920" s="6"/>
      <c r="I920" s="6"/>
      <c r="J920" s="6"/>
      <c r="K920" s="6"/>
      <c r="L920" s="6" t="s">
        <v>4795</v>
      </c>
      <c r="M920" s="6"/>
      <c r="N920" s="6" t="s">
        <v>4796</v>
      </c>
      <c r="O920" s="6" t="str">
        <f>HYPERLINK("https://ceds.ed.gov/cedselementdetails.aspx?termid=5851")</f>
        <v>https://ceds.ed.gov/cedselementdetails.aspx?termid=5851</v>
      </c>
      <c r="P920" s="6" t="str">
        <f>HYPERLINK("https://ceds.ed.gov/elementComment.aspx?elementName=Program Heath Safety Checklist Use Status &amp;elementID=5851", "Click here to submit comment")</f>
        <v>Click here to submit comment</v>
      </c>
    </row>
    <row r="921" spans="1:16" ht="105">
      <c r="A921" s="6" t="s">
        <v>6788</v>
      </c>
      <c r="B921" s="6" t="s">
        <v>6804</v>
      </c>
      <c r="C921" s="6" t="s">
        <v>6808</v>
      </c>
      <c r="D921" s="6" t="s">
        <v>1551</v>
      </c>
      <c r="E921" s="6" t="s">
        <v>1552</v>
      </c>
      <c r="F921" s="6" t="s">
        <v>5963</v>
      </c>
      <c r="G921" s="6" t="s">
        <v>6084</v>
      </c>
      <c r="H921" s="6"/>
      <c r="I921" s="6"/>
      <c r="J921" s="6"/>
      <c r="K921" s="6"/>
      <c r="L921" s="6" t="s">
        <v>1553</v>
      </c>
      <c r="M921" s="6" t="s">
        <v>1554</v>
      </c>
      <c r="N921" s="6" t="s">
        <v>1555</v>
      </c>
      <c r="O921" s="6" t="str">
        <f>HYPERLINK("https://ceds.ed.gov/cedselementdetails.aspx?termid=5037")</f>
        <v>https://ceds.ed.gov/cedselementdetails.aspx?termid=5037</v>
      </c>
      <c r="P921" s="6" t="str">
        <f>HYPERLINK("https://ceds.ed.gov/elementComment.aspx?elementName=Career and Technical Education Concentrator &amp;elementID=5037", "Click here to submit comment")</f>
        <v>Click here to submit comment</v>
      </c>
    </row>
    <row r="922" spans="1:16" ht="75">
      <c r="A922" s="6" t="s">
        <v>6788</v>
      </c>
      <c r="B922" s="6" t="s">
        <v>6804</v>
      </c>
      <c r="C922" s="6" t="s">
        <v>6808</v>
      </c>
      <c r="D922" s="6" t="s">
        <v>1572</v>
      </c>
      <c r="E922" s="6" t="s">
        <v>1573</v>
      </c>
      <c r="F922" s="6" t="s">
        <v>5963</v>
      </c>
      <c r="G922" s="6" t="s">
        <v>218</v>
      </c>
      <c r="H922" s="6"/>
      <c r="I922" s="6"/>
      <c r="J922" s="6"/>
      <c r="K922" s="6"/>
      <c r="L922" s="6" t="s">
        <v>1574</v>
      </c>
      <c r="M922" s="6" t="s">
        <v>1575</v>
      </c>
      <c r="N922" s="6" t="s">
        <v>1576</v>
      </c>
      <c r="O922" s="6" t="str">
        <f>HYPERLINK("https://ceds.ed.gov/cedselementdetails.aspx?termid=5585")</f>
        <v>https://ceds.ed.gov/cedselementdetails.aspx?termid=5585</v>
      </c>
      <c r="P922" s="6" t="str">
        <f>HYPERLINK("https://ceds.ed.gov/elementComment.aspx?elementName=Career and Technical Education Participant &amp;elementID=5585", "Click here to submit comment")</f>
        <v>Click here to submit comment</v>
      </c>
    </row>
    <row r="923" spans="1:16" ht="270">
      <c r="A923" s="6" t="s">
        <v>6788</v>
      </c>
      <c r="B923" s="6" t="s">
        <v>6804</v>
      </c>
      <c r="C923" s="6" t="s">
        <v>6808</v>
      </c>
      <c r="D923" s="6" t="s">
        <v>1599</v>
      </c>
      <c r="E923" s="6" t="s">
        <v>1600</v>
      </c>
      <c r="F923" s="6" t="s">
        <v>5963</v>
      </c>
      <c r="G923" s="6" t="s">
        <v>218</v>
      </c>
      <c r="H923" s="6"/>
      <c r="I923" s="6"/>
      <c r="J923" s="6"/>
      <c r="K923" s="6"/>
      <c r="L923" s="6" t="s">
        <v>1601</v>
      </c>
      <c r="M923" s="6" t="s">
        <v>1602</v>
      </c>
      <c r="N923" s="6" t="s">
        <v>1603</v>
      </c>
      <c r="O923" s="6" t="str">
        <f>HYPERLINK("https://ceds.ed.gov/cedselementdetails.aspx?termid=5084")</f>
        <v>https://ceds.ed.gov/cedselementdetails.aspx?termid=5084</v>
      </c>
      <c r="P923" s="6" t="str">
        <f>HYPERLINK("https://ceds.ed.gov/elementComment.aspx?elementName=Career-Technical-Adult Education Displaced Homemaker Indicator &amp;elementID=5084", "Click here to submit comment")</f>
        <v>Click here to submit comment</v>
      </c>
    </row>
    <row r="924" spans="1:16" ht="105">
      <c r="A924" s="6" t="s">
        <v>6788</v>
      </c>
      <c r="B924" s="6" t="s">
        <v>6804</v>
      </c>
      <c r="C924" s="6" t="s">
        <v>6808</v>
      </c>
      <c r="D924" s="6" t="s">
        <v>5370</v>
      </c>
      <c r="E924" s="6" t="s">
        <v>5371</v>
      </c>
      <c r="F924" s="6" t="s">
        <v>5963</v>
      </c>
      <c r="G924" s="6" t="s">
        <v>6101</v>
      </c>
      <c r="H924" s="6" t="s">
        <v>3</v>
      </c>
      <c r="I924" s="6"/>
      <c r="J924" s="6"/>
      <c r="K924" s="6"/>
      <c r="L924" s="6" t="s">
        <v>5372</v>
      </c>
      <c r="M924" s="6"/>
      <c r="N924" s="6" t="s">
        <v>5373</v>
      </c>
      <c r="O924" s="6" t="str">
        <f>HYPERLINK("https://ceds.ed.gov/cedselementdetails.aspx?termid=5573")</f>
        <v>https://ceds.ed.gov/cedselementdetails.aspx?termid=5573</v>
      </c>
      <c r="P924" s="6" t="str">
        <f>HYPERLINK("https://ceds.ed.gov/elementComment.aspx?elementName=Single Parent Or Single Pregnant Woman Status &amp;elementID=5573", "Click here to submit comment")</f>
        <v>Click here to submit comment</v>
      </c>
    </row>
    <row r="925" spans="1:16" ht="90">
      <c r="A925" s="6" t="s">
        <v>6788</v>
      </c>
      <c r="B925" s="6" t="s">
        <v>6804</v>
      </c>
      <c r="C925" s="6" t="s">
        <v>6808</v>
      </c>
      <c r="D925" s="6" t="s">
        <v>1567</v>
      </c>
      <c r="E925" s="6" t="s">
        <v>1568</v>
      </c>
      <c r="F925" s="6" t="s">
        <v>5963</v>
      </c>
      <c r="G925" s="6" t="s">
        <v>218</v>
      </c>
      <c r="H925" s="6"/>
      <c r="I925" s="6"/>
      <c r="J925" s="6"/>
      <c r="K925" s="6"/>
      <c r="L925" s="6" t="s">
        <v>1569</v>
      </c>
      <c r="M925" s="6" t="s">
        <v>1570</v>
      </c>
      <c r="N925" s="6" t="s">
        <v>1571</v>
      </c>
      <c r="O925" s="6" t="str">
        <f>HYPERLINK("https://ceds.ed.gov/cedselementdetails.aspx?termid=5586")</f>
        <v>https://ceds.ed.gov/cedselementdetails.aspx?termid=5586</v>
      </c>
      <c r="P925" s="6" t="str">
        <f>HYPERLINK("https://ceds.ed.gov/elementComment.aspx?elementName=Career and Technical Education Nontraditional Completion &amp;elementID=5586", "Click here to submit comment")</f>
        <v>Click here to submit comment</v>
      </c>
    </row>
    <row r="926" spans="1:16" ht="105">
      <c r="A926" s="6" t="s">
        <v>6788</v>
      </c>
      <c r="B926" s="6" t="s">
        <v>6804</v>
      </c>
      <c r="C926" s="6" t="s">
        <v>6808</v>
      </c>
      <c r="D926" s="6" t="s">
        <v>1546</v>
      </c>
      <c r="E926" s="6" t="s">
        <v>1547</v>
      </c>
      <c r="F926" s="6" t="s">
        <v>5963</v>
      </c>
      <c r="G926" s="6" t="s">
        <v>6084</v>
      </c>
      <c r="H926" s="6"/>
      <c r="I926" s="6"/>
      <c r="J926" s="6"/>
      <c r="K926" s="6"/>
      <c r="L926" s="6" t="s">
        <v>1548</v>
      </c>
      <c r="M926" s="6" t="s">
        <v>1549</v>
      </c>
      <c r="N926" s="6" t="s">
        <v>1550</v>
      </c>
      <c r="O926" s="6" t="str">
        <f>HYPERLINK("https://ceds.ed.gov/cedselementdetails.aspx?termid=5036")</f>
        <v>https://ceds.ed.gov/cedselementdetails.aspx?termid=5036</v>
      </c>
      <c r="P926" s="6" t="str">
        <f>HYPERLINK("https://ceds.ed.gov/elementComment.aspx?elementName=Career and Technical Education Completer &amp;elementID=5036", "Click here to submit comment")</f>
        <v>Click here to submit comment</v>
      </c>
    </row>
    <row r="927" spans="1:16" ht="285">
      <c r="A927" s="6" t="s">
        <v>6788</v>
      </c>
      <c r="B927" s="6" t="s">
        <v>6804</v>
      </c>
      <c r="C927" s="6" t="s">
        <v>6809</v>
      </c>
      <c r="D927" s="6" t="s">
        <v>3040</v>
      </c>
      <c r="E927" s="6" t="s">
        <v>3041</v>
      </c>
      <c r="F927" s="6" t="s">
        <v>5963</v>
      </c>
      <c r="G927" s="6" t="s">
        <v>6200</v>
      </c>
      <c r="H927" s="6" t="s">
        <v>3</v>
      </c>
      <c r="I927" s="6"/>
      <c r="J927" s="6"/>
      <c r="K927" s="6"/>
      <c r="L927" s="6" t="s">
        <v>3042</v>
      </c>
      <c r="M927" s="6"/>
      <c r="N927" s="6" t="s">
        <v>3043</v>
      </c>
      <c r="O927" s="6" t="str">
        <f>HYPERLINK("https://ceds.ed.gov/cedselementdetails.aspx?termid=5151")</f>
        <v>https://ceds.ed.gov/cedselementdetails.aspx?termid=5151</v>
      </c>
      <c r="P927" s="6" t="str">
        <f>HYPERLINK("https://ceds.ed.gov/elementComment.aspx?elementName=IDEA Indicator &amp;elementID=5151", "Click here to submit comment")</f>
        <v>Click here to submit comment</v>
      </c>
    </row>
    <row r="928" spans="1:16" ht="45">
      <c r="A928" s="6" t="s">
        <v>6788</v>
      </c>
      <c r="B928" s="6" t="s">
        <v>6804</v>
      </c>
      <c r="C928" s="6" t="s">
        <v>6809</v>
      </c>
      <c r="D928" s="6" t="s">
        <v>2208</v>
      </c>
      <c r="E928" s="6" t="s">
        <v>2209</v>
      </c>
      <c r="F928" s="6" t="s">
        <v>5963</v>
      </c>
      <c r="G928" s="6" t="s">
        <v>218</v>
      </c>
      <c r="H928" s="6" t="s">
        <v>3</v>
      </c>
      <c r="I928" s="6"/>
      <c r="J928" s="6"/>
      <c r="K928" s="6"/>
      <c r="L928" s="6" t="s">
        <v>2210</v>
      </c>
      <c r="M928" s="6"/>
      <c r="N928" s="6" t="s">
        <v>2211</v>
      </c>
      <c r="O928" s="6" t="str">
        <f>HYPERLINK("https://ceds.ed.gov/cedselementdetails.aspx?termid=5569")</f>
        <v>https://ceds.ed.gov/cedselementdetails.aspx?termid=5569</v>
      </c>
      <c r="P928" s="6" t="str">
        <f>HYPERLINK("https://ceds.ed.gov/elementComment.aspx?elementName=Disability Status &amp;elementID=5569", "Click here to submit comment")</f>
        <v>Click here to submit comment</v>
      </c>
    </row>
    <row r="929" spans="1:16" ht="90">
      <c r="A929" s="6" t="s">
        <v>6788</v>
      </c>
      <c r="B929" s="6" t="s">
        <v>6804</v>
      </c>
      <c r="C929" s="6" t="s">
        <v>6809</v>
      </c>
      <c r="D929" s="6" t="s">
        <v>5289</v>
      </c>
      <c r="E929" s="6" t="s">
        <v>5290</v>
      </c>
      <c r="F929" s="6" t="s">
        <v>5963</v>
      </c>
      <c r="G929" s="6" t="s">
        <v>6200</v>
      </c>
      <c r="H929" s="6"/>
      <c r="I929" s="6"/>
      <c r="J929" s="6"/>
      <c r="K929" s="6"/>
      <c r="L929" s="6" t="s">
        <v>5291</v>
      </c>
      <c r="M929" s="6"/>
      <c r="N929" s="6" t="s">
        <v>5292</v>
      </c>
      <c r="O929" s="6" t="str">
        <f>HYPERLINK("https://ceds.ed.gov/cedselementdetails.aspx?termid=5249")</f>
        <v>https://ceds.ed.gov/cedselementdetails.aspx?termid=5249</v>
      </c>
      <c r="P929" s="6" t="str">
        <f>HYPERLINK("https://ceds.ed.gov/elementComment.aspx?elementName=Section 504 Status &amp;elementID=5249", "Click here to submit comment")</f>
        <v>Click here to submit comment</v>
      </c>
    </row>
    <row r="930" spans="1:16" ht="315">
      <c r="A930" s="6" t="s">
        <v>6788</v>
      </c>
      <c r="B930" s="6" t="s">
        <v>6804</v>
      </c>
      <c r="C930" s="6" t="s">
        <v>6809</v>
      </c>
      <c r="D930" s="6" t="s">
        <v>4587</v>
      </c>
      <c r="E930" s="6" t="s">
        <v>4588</v>
      </c>
      <c r="F930" s="7" t="s">
        <v>6607</v>
      </c>
      <c r="G930" s="6" t="s">
        <v>6286</v>
      </c>
      <c r="H930" s="6" t="s">
        <v>3</v>
      </c>
      <c r="I930" s="6"/>
      <c r="J930" s="6"/>
      <c r="K930" s="6"/>
      <c r="L930" s="6" t="s">
        <v>4589</v>
      </c>
      <c r="M930" s="6"/>
      <c r="N930" s="6" t="s">
        <v>4590</v>
      </c>
      <c r="O930" s="6" t="str">
        <f>HYPERLINK("https://ceds.ed.gov/cedselementdetails.aspx?termid=5218")</f>
        <v>https://ceds.ed.gov/cedselementdetails.aspx?termid=5218</v>
      </c>
      <c r="P930" s="6" t="str">
        <f>HYPERLINK("https://ceds.ed.gov/elementComment.aspx?elementName=Primary Disability Type &amp;elementID=5218", "Click here to submit comment")</f>
        <v>Click here to submit comment</v>
      </c>
    </row>
    <row r="931" spans="1:16" ht="60">
      <c r="A931" s="6" t="s">
        <v>6788</v>
      </c>
      <c r="B931" s="6" t="s">
        <v>6804</v>
      </c>
      <c r="C931" s="6" t="s">
        <v>6809</v>
      </c>
      <c r="D931" s="6" t="s">
        <v>1464</v>
      </c>
      <c r="E931" s="6" t="s">
        <v>1465</v>
      </c>
      <c r="F931" s="6" t="s">
        <v>5963</v>
      </c>
      <c r="G931" s="6" t="s">
        <v>2</v>
      </c>
      <c r="H931" s="6"/>
      <c r="I931" s="6"/>
      <c r="J931" s="6"/>
      <c r="K931" s="6"/>
      <c r="L931" s="6" t="s">
        <v>1467</v>
      </c>
      <c r="M931" s="6"/>
      <c r="N931" s="6" t="s">
        <v>1468</v>
      </c>
      <c r="O931" s="6" t="str">
        <f>HYPERLINK("https://ceds.ed.gov/cedselementdetails.aspx?termid=5031")</f>
        <v>https://ceds.ed.gov/cedselementdetails.aspx?termid=5031</v>
      </c>
      <c r="P931" s="6" t="str">
        <f>HYPERLINK("https://ceds.ed.gov/elementComment.aspx?elementName=Awaiting Initial IDEA Evaluation Status &amp;elementID=5031", "Click here to submit comment")</f>
        <v>Click here to submit comment</v>
      </c>
    </row>
    <row r="932" spans="1:16" ht="225">
      <c r="A932" s="6" t="s">
        <v>6788</v>
      </c>
      <c r="B932" s="6" t="s">
        <v>6804</v>
      </c>
      <c r="C932" s="6" t="s">
        <v>6809</v>
      </c>
      <c r="D932" s="6" t="s">
        <v>3031</v>
      </c>
      <c r="E932" s="6" t="s">
        <v>3032</v>
      </c>
      <c r="F932" s="7" t="s">
        <v>6536</v>
      </c>
      <c r="G932" s="6" t="s">
        <v>218</v>
      </c>
      <c r="H932" s="6"/>
      <c r="I932" s="6"/>
      <c r="J932" s="6"/>
      <c r="K932" s="6"/>
      <c r="L932" s="6" t="s">
        <v>3033</v>
      </c>
      <c r="M932" s="6"/>
      <c r="N932" s="6" t="s">
        <v>3034</v>
      </c>
      <c r="O932" s="6" t="str">
        <f>HYPERLINK("https://ceds.ed.gov/cedselementdetails.aspx?termid=5526")</f>
        <v>https://ceds.ed.gov/cedselementdetails.aspx?termid=5526</v>
      </c>
      <c r="P932" s="6" t="str">
        <f>HYPERLINK("https://ceds.ed.gov/elementComment.aspx?elementName=IDEA Educational Environment for School Age &amp;elementID=5526", "Click here to submit comment")</f>
        <v>Click here to submit comment</v>
      </c>
    </row>
    <row r="933" spans="1:16" ht="409.5">
      <c r="A933" s="6" t="s">
        <v>6788</v>
      </c>
      <c r="B933" s="6" t="s">
        <v>6804</v>
      </c>
      <c r="C933" s="6" t="s">
        <v>6809</v>
      </c>
      <c r="D933" s="6" t="s">
        <v>2199</v>
      </c>
      <c r="E933" s="6" t="s">
        <v>2200</v>
      </c>
      <c r="F933" s="7" t="s">
        <v>6459</v>
      </c>
      <c r="G933" s="6"/>
      <c r="H933" s="6" t="s">
        <v>54</v>
      </c>
      <c r="I933" s="6"/>
      <c r="J933" s="6"/>
      <c r="K933" s="6" t="s">
        <v>2201</v>
      </c>
      <c r="L933" s="6" t="s">
        <v>2202</v>
      </c>
      <c r="M933" s="6"/>
      <c r="N933" s="6" t="s">
        <v>2203</v>
      </c>
      <c r="O933" s="6" t="str">
        <f>HYPERLINK("https://ceds.ed.gov/cedselementdetails.aspx?termid=6286")</f>
        <v>https://ceds.ed.gov/cedselementdetails.aspx?termid=6286</v>
      </c>
      <c r="P933" s="6" t="str">
        <f>HYPERLINK("https://ceds.ed.gov/elementComment.aspx?elementName=Disability Condition Type &amp;elementID=6286", "Click here to submit comment")</f>
        <v>Click here to submit comment</v>
      </c>
    </row>
    <row r="934" spans="1:16" ht="255">
      <c r="A934" s="6" t="s">
        <v>6788</v>
      </c>
      <c r="B934" s="6" t="s">
        <v>6804</v>
      </c>
      <c r="C934" s="6" t="s">
        <v>6809</v>
      </c>
      <c r="D934" s="6" t="s">
        <v>2204</v>
      </c>
      <c r="E934" s="6" t="s">
        <v>2205</v>
      </c>
      <c r="F934" s="7" t="s">
        <v>6460</v>
      </c>
      <c r="G934" s="6"/>
      <c r="H934" s="6" t="s">
        <v>54</v>
      </c>
      <c r="I934" s="6"/>
      <c r="J934" s="6"/>
      <c r="K934" s="6" t="s">
        <v>2201</v>
      </c>
      <c r="L934" s="6" t="s">
        <v>2206</v>
      </c>
      <c r="M934" s="6"/>
      <c r="N934" s="6" t="s">
        <v>2207</v>
      </c>
      <c r="O934" s="6" t="str">
        <f>HYPERLINK("https://ceds.ed.gov/cedselementdetails.aspx?termid=6287")</f>
        <v>https://ceds.ed.gov/cedselementdetails.aspx?termid=6287</v>
      </c>
      <c r="P934" s="6" t="str">
        <f>HYPERLINK("https://ceds.ed.gov/elementComment.aspx?elementName=Disability Determination Source Type &amp;elementID=6287", "Click here to submit comment")</f>
        <v>Click here to submit comment</v>
      </c>
    </row>
    <row r="935" spans="1:16" ht="409.5">
      <c r="A935" s="6" t="s">
        <v>6788</v>
      </c>
      <c r="B935" s="6" t="s">
        <v>6804</v>
      </c>
      <c r="C935" s="6" t="s">
        <v>6810</v>
      </c>
      <c r="D935" s="6" t="s">
        <v>2225</v>
      </c>
      <c r="E935" s="6" t="s">
        <v>2226</v>
      </c>
      <c r="F935" s="7" t="s">
        <v>6461</v>
      </c>
      <c r="G935" s="6" t="s">
        <v>2</v>
      </c>
      <c r="H935" s="6"/>
      <c r="I935" s="6"/>
      <c r="J935" s="6"/>
      <c r="K935" s="6"/>
      <c r="L935" s="6" t="s">
        <v>2227</v>
      </c>
      <c r="M935" s="6"/>
      <c r="N935" s="6" t="s">
        <v>2228</v>
      </c>
      <c r="O935" s="6" t="str">
        <f>HYPERLINK("https://ceds.ed.gov/cedselementdetails.aspx?termid=5479")</f>
        <v>https://ceds.ed.gov/cedselementdetails.aspx?termid=5479</v>
      </c>
      <c r="P935" s="6" t="str">
        <f>HYPERLINK("https://ceds.ed.gov/elementComment.aspx?elementName=Disciplinary Action Taken &amp;elementID=5479", "Click here to submit comment")</f>
        <v>Click here to submit comment</v>
      </c>
    </row>
    <row r="936" spans="1:16" ht="255">
      <c r="A936" s="6" t="s">
        <v>6788</v>
      </c>
      <c r="B936" s="6" t="s">
        <v>6804</v>
      </c>
      <c r="C936" s="6" t="s">
        <v>6810</v>
      </c>
      <c r="D936" s="6" t="s">
        <v>2242</v>
      </c>
      <c r="E936" s="6" t="s">
        <v>2243</v>
      </c>
      <c r="F936" s="7" t="s">
        <v>6465</v>
      </c>
      <c r="G936" s="6" t="s">
        <v>218</v>
      </c>
      <c r="H936" s="6"/>
      <c r="I936" s="6"/>
      <c r="J936" s="6"/>
      <c r="K936" s="6"/>
      <c r="L936" s="6" t="s">
        <v>2244</v>
      </c>
      <c r="M936" s="6"/>
      <c r="N936" s="6" t="s">
        <v>2245</v>
      </c>
      <c r="O936" s="6" t="str">
        <f>HYPERLINK("https://ceds.ed.gov/cedselementdetails.aspx?termid=5536")</f>
        <v>https://ceds.ed.gov/cedselementdetails.aspx?termid=5536</v>
      </c>
      <c r="P936" s="6" t="str">
        <f>HYPERLINK("https://ceds.ed.gov/elementComment.aspx?elementName=Discipline Reason &amp;elementID=5536", "Click here to submit comment")</f>
        <v>Click here to submit comment</v>
      </c>
    </row>
    <row r="937" spans="1:16" ht="30">
      <c r="A937" s="6" t="s">
        <v>6788</v>
      </c>
      <c r="B937" s="6" t="s">
        <v>6804</v>
      </c>
      <c r="C937" s="6" t="s">
        <v>6810</v>
      </c>
      <c r="D937" s="6" t="s">
        <v>2221</v>
      </c>
      <c r="E937" s="6" t="s">
        <v>2222</v>
      </c>
      <c r="F937" s="6" t="s">
        <v>13</v>
      </c>
      <c r="G937" s="6" t="s">
        <v>2</v>
      </c>
      <c r="H937" s="6"/>
      <c r="I937" s="6" t="s">
        <v>73</v>
      </c>
      <c r="J937" s="6"/>
      <c r="K937" s="6"/>
      <c r="L937" s="6" t="s">
        <v>2223</v>
      </c>
      <c r="M937" s="6"/>
      <c r="N937" s="6" t="s">
        <v>2224</v>
      </c>
      <c r="O937" s="6" t="str">
        <f>HYPERLINK("https://ceds.ed.gov/cedselementdetails.aspx?termid=5083")</f>
        <v>https://ceds.ed.gov/cedselementdetails.aspx?termid=5083</v>
      </c>
      <c r="P937" s="6" t="str">
        <f>HYPERLINK("https://ceds.ed.gov/elementComment.aspx?elementName=Disciplinary Action Start Date &amp;elementID=5083", "Click here to submit comment")</f>
        <v>Click here to submit comment</v>
      </c>
    </row>
    <row r="938" spans="1:16" ht="30">
      <c r="A938" s="6" t="s">
        <v>6788</v>
      </c>
      <c r="B938" s="6" t="s">
        <v>6804</v>
      </c>
      <c r="C938" s="6" t="s">
        <v>6810</v>
      </c>
      <c r="D938" s="6" t="s">
        <v>2212</v>
      </c>
      <c r="E938" s="6" t="s">
        <v>2213</v>
      </c>
      <c r="F938" s="6" t="s">
        <v>13</v>
      </c>
      <c r="G938" s="6" t="s">
        <v>2</v>
      </c>
      <c r="H938" s="6"/>
      <c r="I938" s="6" t="s">
        <v>73</v>
      </c>
      <c r="J938" s="6"/>
      <c r="K938" s="6"/>
      <c r="L938" s="6" t="s">
        <v>2214</v>
      </c>
      <c r="M938" s="6"/>
      <c r="N938" s="6" t="s">
        <v>2215</v>
      </c>
      <c r="O938" s="6" t="str">
        <f>HYPERLINK("https://ceds.ed.gov/cedselementdetails.aspx?termid=5082")</f>
        <v>https://ceds.ed.gov/cedselementdetails.aspx?termid=5082</v>
      </c>
      <c r="P938" s="6" t="str">
        <f>HYPERLINK("https://ceds.ed.gov/elementComment.aspx?elementName=Disciplinary Action End Date &amp;elementID=5082", "Click here to submit comment")</f>
        <v>Click here to submit comment</v>
      </c>
    </row>
    <row r="939" spans="1:16" ht="30">
      <c r="A939" s="6" t="s">
        <v>6788</v>
      </c>
      <c r="B939" s="6" t="s">
        <v>6804</v>
      </c>
      <c r="C939" s="6" t="s">
        <v>6810</v>
      </c>
      <c r="D939" s="6" t="s">
        <v>2286</v>
      </c>
      <c r="E939" s="6" t="s">
        <v>2287</v>
      </c>
      <c r="F939" s="6" t="s">
        <v>13</v>
      </c>
      <c r="G939" s="6"/>
      <c r="H939" s="6"/>
      <c r="I939" s="6" t="s">
        <v>1461</v>
      </c>
      <c r="J939" s="6"/>
      <c r="K939" s="6"/>
      <c r="L939" s="6" t="s">
        <v>2288</v>
      </c>
      <c r="M939" s="6"/>
      <c r="N939" s="6" t="s">
        <v>2289</v>
      </c>
      <c r="O939" s="6" t="str">
        <f>HYPERLINK("https://ceds.ed.gov/cedselementdetails.aspx?termid=5502")</f>
        <v>https://ceds.ed.gov/cedselementdetails.aspx?termid=5502</v>
      </c>
      <c r="P939" s="6" t="str">
        <f>HYPERLINK("https://ceds.ed.gov/elementComment.aspx?elementName=Duration of Disciplinary Action &amp;elementID=5502", "Click here to submit comment")</f>
        <v>Click here to submit comment</v>
      </c>
    </row>
    <row r="940" spans="1:16" ht="60">
      <c r="A940" s="6" t="s">
        <v>6788</v>
      </c>
      <c r="B940" s="6" t="s">
        <v>6804</v>
      </c>
      <c r="C940" s="6" t="s">
        <v>6810</v>
      </c>
      <c r="D940" s="6" t="s">
        <v>5366</v>
      </c>
      <c r="E940" s="6" t="s">
        <v>5367</v>
      </c>
      <c r="F940" s="6" t="s">
        <v>5963</v>
      </c>
      <c r="G940" s="6"/>
      <c r="H940" s="6"/>
      <c r="I940" s="6"/>
      <c r="J940" s="6"/>
      <c r="K940" s="6"/>
      <c r="L940" s="6" t="s">
        <v>5368</v>
      </c>
      <c r="M940" s="6"/>
      <c r="N940" s="6" t="s">
        <v>5369</v>
      </c>
      <c r="O940" s="6" t="str">
        <f>HYPERLINK("https://ceds.ed.gov/cedselementdetails.aspx?termid=5505")</f>
        <v>https://ceds.ed.gov/cedselementdetails.aspx?termid=5505</v>
      </c>
      <c r="P940" s="6" t="str">
        <f>HYPERLINK("https://ceds.ed.gov/elementComment.aspx?elementName=Shortened Expulsion &amp;elementID=5505", "Click here to submit comment")</f>
        <v>Click here to submit comment</v>
      </c>
    </row>
    <row r="941" spans="1:16" ht="405">
      <c r="A941" s="6" t="s">
        <v>6788</v>
      </c>
      <c r="B941" s="6" t="s">
        <v>6804</v>
      </c>
      <c r="C941" s="6" t="s">
        <v>6810</v>
      </c>
      <c r="D941" s="6" t="s">
        <v>2229</v>
      </c>
      <c r="E941" s="6" t="s">
        <v>2230</v>
      </c>
      <c r="F941" s="7" t="s">
        <v>6462</v>
      </c>
      <c r="G941" s="6"/>
      <c r="H941" s="6"/>
      <c r="I941" s="6"/>
      <c r="J941" s="6"/>
      <c r="K941" s="6"/>
      <c r="L941" s="6" t="s">
        <v>2231</v>
      </c>
      <c r="M941" s="6"/>
      <c r="N941" s="6" t="s">
        <v>2232</v>
      </c>
      <c r="O941" s="6" t="str">
        <f>HYPERLINK("https://ceds.ed.gov/cedselementdetails.aspx?termid=5602")</f>
        <v>https://ceds.ed.gov/cedselementdetails.aspx?termid=5602</v>
      </c>
      <c r="P941" s="6" t="str">
        <f>HYPERLINK("https://ceds.ed.gov/elementComment.aspx?elementName=Discipline Action Length Difference Reason &amp;elementID=5602", "Click here to submit comment")</f>
        <v>Click here to submit comment</v>
      </c>
    </row>
    <row r="942" spans="1:16" ht="75">
      <c r="A942" s="6" t="s">
        <v>6788</v>
      </c>
      <c r="B942" s="6" t="s">
        <v>6804</v>
      </c>
      <c r="C942" s="6" t="s">
        <v>6810</v>
      </c>
      <c r="D942" s="6" t="s">
        <v>2447</v>
      </c>
      <c r="E942" s="6" t="s">
        <v>2448</v>
      </c>
      <c r="F942" s="6" t="s">
        <v>5963</v>
      </c>
      <c r="G942" s="6"/>
      <c r="H942" s="6"/>
      <c r="I942" s="6"/>
      <c r="J942" s="6"/>
      <c r="K942" s="6"/>
      <c r="L942" s="6" t="s">
        <v>2449</v>
      </c>
      <c r="M942" s="6"/>
      <c r="N942" s="6" t="s">
        <v>2450</v>
      </c>
      <c r="O942" s="6" t="str">
        <f>HYPERLINK("https://ceds.ed.gov/cedselementdetails.aspx?termid=5570")</f>
        <v>https://ceds.ed.gov/cedselementdetails.aspx?termid=5570</v>
      </c>
      <c r="P942" s="6" t="str">
        <f>HYPERLINK("https://ceds.ed.gov/elementComment.aspx?elementName=Educational Services After Removal &amp;elementID=5570", "Click here to submit comment")</f>
        <v>Click here to submit comment</v>
      </c>
    </row>
    <row r="943" spans="1:16" ht="45">
      <c r="A943" s="6" t="s">
        <v>6788</v>
      </c>
      <c r="B943" s="6" t="s">
        <v>6804</v>
      </c>
      <c r="C943" s="6" t="s">
        <v>6810</v>
      </c>
      <c r="D943" s="6" t="s">
        <v>2807</v>
      </c>
      <c r="E943" s="6" t="s">
        <v>2808</v>
      </c>
      <c r="F943" s="6" t="s">
        <v>5963</v>
      </c>
      <c r="G943" s="6"/>
      <c r="H943" s="6"/>
      <c r="I943" s="6"/>
      <c r="J943" s="6"/>
      <c r="K943" s="6"/>
      <c r="L943" s="6" t="s">
        <v>2809</v>
      </c>
      <c r="M943" s="6"/>
      <c r="N943" s="6" t="s">
        <v>2810</v>
      </c>
      <c r="O943" s="6" t="str">
        <f>HYPERLINK("https://ceds.ed.gov/cedselementdetails.aspx?termid=5504")</f>
        <v>https://ceds.ed.gov/cedselementdetails.aspx?termid=5504</v>
      </c>
      <c r="P943" s="6" t="str">
        <f>HYPERLINK("https://ceds.ed.gov/elementComment.aspx?elementName=Full Year Expulsion &amp;elementID=5504", "Click here to submit comment")</f>
        <v>Click here to submit comment</v>
      </c>
    </row>
    <row r="944" spans="1:16" ht="75">
      <c r="A944" s="6" t="s">
        <v>6788</v>
      </c>
      <c r="B944" s="6" t="s">
        <v>6804</v>
      </c>
      <c r="C944" s="6" t="s">
        <v>6810</v>
      </c>
      <c r="D944" s="6" t="s">
        <v>5025</v>
      </c>
      <c r="E944" s="6" t="s">
        <v>5026</v>
      </c>
      <c r="F944" s="6" t="s">
        <v>5963</v>
      </c>
      <c r="G944" s="6"/>
      <c r="H944" s="6"/>
      <c r="I944" s="6"/>
      <c r="J944" s="6"/>
      <c r="K944" s="6"/>
      <c r="L944" s="6" t="s">
        <v>5027</v>
      </c>
      <c r="M944" s="6"/>
      <c r="N944" s="6" t="s">
        <v>5028</v>
      </c>
      <c r="O944" s="6" t="str">
        <f>HYPERLINK("https://ceds.ed.gov/cedselementdetails.aspx?termid=5503")</f>
        <v>https://ceds.ed.gov/cedselementdetails.aspx?termid=5503</v>
      </c>
      <c r="P944" s="6" t="str">
        <f>HYPERLINK("https://ceds.ed.gov/elementComment.aspx?elementName=Related to Zero Tolerance Policy &amp;elementID=5503", "Click here to submit comment")</f>
        <v>Click here to submit comment</v>
      </c>
    </row>
    <row r="945" spans="1:16" ht="105">
      <c r="A945" s="6" t="s">
        <v>6788</v>
      </c>
      <c r="B945" s="6" t="s">
        <v>6804</v>
      </c>
      <c r="C945" s="6" t="s">
        <v>6810</v>
      </c>
      <c r="D945" s="6" t="s">
        <v>3044</v>
      </c>
      <c r="E945" s="6" t="s">
        <v>3045</v>
      </c>
      <c r="F945" s="7" t="s">
        <v>6538</v>
      </c>
      <c r="G945" s="6" t="s">
        <v>218</v>
      </c>
      <c r="H945" s="6"/>
      <c r="I945" s="6"/>
      <c r="J945" s="6"/>
      <c r="K945" s="6"/>
      <c r="L945" s="6" t="s">
        <v>3046</v>
      </c>
      <c r="M945" s="6"/>
      <c r="N945" s="6" t="s">
        <v>3047</v>
      </c>
      <c r="O945" s="6" t="str">
        <f>HYPERLINK("https://ceds.ed.gov/cedselementdetails.aspx?termid=5532")</f>
        <v>https://ceds.ed.gov/cedselementdetails.aspx?termid=5532</v>
      </c>
      <c r="P945" s="6" t="str">
        <f>HYPERLINK("https://ceds.ed.gov/elementComment.aspx?elementName=IDEA Interim Removal &amp;elementID=5532", "Click here to submit comment")</f>
        <v>Click here to submit comment</v>
      </c>
    </row>
    <row r="946" spans="1:16" ht="75">
      <c r="A946" s="6" t="s">
        <v>6788</v>
      </c>
      <c r="B946" s="6" t="s">
        <v>6804</v>
      </c>
      <c r="C946" s="6" t="s">
        <v>6810</v>
      </c>
      <c r="D946" s="6" t="s">
        <v>3048</v>
      </c>
      <c r="E946" s="6" t="s">
        <v>3049</v>
      </c>
      <c r="F946" s="7" t="s">
        <v>6539</v>
      </c>
      <c r="G946" s="6" t="s">
        <v>218</v>
      </c>
      <c r="H946" s="6"/>
      <c r="I946" s="6"/>
      <c r="J946" s="6"/>
      <c r="K946" s="6"/>
      <c r="L946" s="6" t="s">
        <v>3050</v>
      </c>
      <c r="M946" s="6"/>
      <c r="N946" s="6" t="s">
        <v>3051</v>
      </c>
      <c r="O946" s="6" t="str">
        <f>HYPERLINK("https://ceds.ed.gov/cedselementdetails.aspx?termid=5530")</f>
        <v>https://ceds.ed.gov/cedselementdetails.aspx?termid=5530</v>
      </c>
      <c r="P946" s="6" t="str">
        <f>HYPERLINK("https://ceds.ed.gov/elementComment.aspx?elementName=IDEA Interim Removal Reason &amp;elementID=5530", "Click here to submit comment")</f>
        <v>Click here to submit comment</v>
      </c>
    </row>
    <row r="947" spans="1:16" ht="75">
      <c r="A947" s="6" t="s">
        <v>6788</v>
      </c>
      <c r="B947" s="6" t="s">
        <v>6804</v>
      </c>
      <c r="C947" s="6" t="s">
        <v>6810</v>
      </c>
      <c r="D947" s="6" t="s">
        <v>2216</v>
      </c>
      <c r="E947" s="6" t="s">
        <v>2217</v>
      </c>
      <c r="F947" s="6" t="s">
        <v>5963</v>
      </c>
      <c r="G947" s="6"/>
      <c r="H947" s="6" t="s">
        <v>54</v>
      </c>
      <c r="I947" s="6"/>
      <c r="J947" s="6"/>
      <c r="K947" s="6"/>
      <c r="L947" s="6" t="s">
        <v>2219</v>
      </c>
      <c r="M947" s="6"/>
      <c r="N947" s="6" t="s">
        <v>2220</v>
      </c>
      <c r="O947" s="6" t="str">
        <f>HYPERLINK("https://ceds.ed.gov/cedselementdetails.aspx?termid=6288")</f>
        <v>https://ceds.ed.gov/cedselementdetails.aspx?termid=6288</v>
      </c>
      <c r="P947" s="6" t="str">
        <f>HYPERLINK("https://ceds.ed.gov/elementComment.aspx?elementName=Disciplinary Action IEP Placement Meeting Indicator &amp;elementID=6288", "Click here to submit comment")</f>
        <v>Click here to submit comment</v>
      </c>
    </row>
    <row r="948" spans="1:16" ht="180">
      <c r="A948" s="6" t="s">
        <v>6788</v>
      </c>
      <c r="B948" s="6" t="s">
        <v>6804</v>
      </c>
      <c r="C948" s="6" t="s">
        <v>6733</v>
      </c>
      <c r="D948" s="6" t="s">
        <v>3419</v>
      </c>
      <c r="E948" s="6" t="s">
        <v>3420</v>
      </c>
      <c r="F948" s="7" t="s">
        <v>6563</v>
      </c>
      <c r="G948" s="6" t="s">
        <v>6214</v>
      </c>
      <c r="H948" s="6"/>
      <c r="I948" s="6"/>
      <c r="J948" s="6"/>
      <c r="K948" s="6"/>
      <c r="L948" s="6" t="s">
        <v>3421</v>
      </c>
      <c r="M948" s="6"/>
      <c r="N948" s="6" t="s">
        <v>3422</v>
      </c>
      <c r="O948" s="6" t="str">
        <f>HYPERLINK("https://ceds.ed.gov/cedselementdetails.aspx?termid=5316")</f>
        <v>https://ceds.ed.gov/cedselementdetails.aspx?termid=5316</v>
      </c>
      <c r="P948" s="6" t="str">
        <f>HYPERLINK("https://ceds.ed.gov/elementComment.aspx?elementName=Language Type &amp;elementID=5316", "Click here to submit comment")</f>
        <v>Click here to submit comment</v>
      </c>
    </row>
    <row r="949" spans="1:16" ht="90">
      <c r="A949" s="6" t="s">
        <v>6788</v>
      </c>
      <c r="B949" s="6" t="s">
        <v>6804</v>
      </c>
      <c r="C949" s="6" t="s">
        <v>6733</v>
      </c>
      <c r="D949" s="6" t="s">
        <v>3406</v>
      </c>
      <c r="E949" s="6" t="s">
        <v>3407</v>
      </c>
      <c r="F949" s="5" t="s">
        <v>939</v>
      </c>
      <c r="G949" s="6" t="s">
        <v>6214</v>
      </c>
      <c r="H949" s="6" t="s">
        <v>66</v>
      </c>
      <c r="I949" s="6"/>
      <c r="J949" s="6" t="s">
        <v>2645</v>
      </c>
      <c r="K949" s="6" t="s">
        <v>3408</v>
      </c>
      <c r="L949" s="6" t="s">
        <v>3409</v>
      </c>
      <c r="M949" s="6"/>
      <c r="N949" s="6" t="s">
        <v>3410</v>
      </c>
      <c r="O949" s="6" t="str">
        <f>HYPERLINK("https://ceds.ed.gov/cedselementdetails.aspx?termid=5317")</f>
        <v>https://ceds.ed.gov/cedselementdetails.aspx?termid=5317</v>
      </c>
      <c r="P949" s="6" t="str">
        <f>HYPERLINK("https://ceds.ed.gov/elementComment.aspx?elementName=Language Code &amp;elementID=5317", "Click here to submit comment")</f>
        <v>Click here to submit comment</v>
      </c>
    </row>
    <row r="950" spans="1:16" ht="90">
      <c r="A950" s="6" t="s">
        <v>6788</v>
      </c>
      <c r="B950" s="6" t="s">
        <v>6804</v>
      </c>
      <c r="C950" s="6" t="s">
        <v>6811</v>
      </c>
      <c r="D950" s="6" t="s">
        <v>2466</v>
      </c>
      <c r="E950" s="6" t="s">
        <v>2467</v>
      </c>
      <c r="F950" s="7" t="s">
        <v>6491</v>
      </c>
      <c r="G950" s="6" t="s">
        <v>5968</v>
      </c>
      <c r="H950" s="6"/>
      <c r="I950" s="6"/>
      <c r="J950" s="6"/>
      <c r="K950" s="6"/>
      <c r="L950" s="6" t="s">
        <v>2468</v>
      </c>
      <c r="M950" s="6"/>
      <c r="N950" s="6" t="s">
        <v>2469</v>
      </c>
      <c r="O950" s="6" t="str">
        <f>HYPERLINK("https://ceds.ed.gov/cedselementdetails.aspx?termid=5092")</f>
        <v>https://ceds.ed.gov/cedselementdetails.aspx?termid=5092</v>
      </c>
      <c r="P950" s="6" t="str">
        <f>HYPERLINK("https://ceds.ed.gov/elementComment.aspx?elementName=Eligibility Status for School Food Service Programs &amp;elementID=5092", "Click here to submit comment")</f>
        <v>Click here to submit comment</v>
      </c>
    </row>
    <row r="951" spans="1:16" ht="30">
      <c r="A951" s="6" t="s">
        <v>6788</v>
      </c>
      <c r="B951" s="6" t="s">
        <v>6804</v>
      </c>
      <c r="C951" s="6" t="s">
        <v>6811</v>
      </c>
      <c r="D951" s="6" t="s">
        <v>5596</v>
      </c>
      <c r="E951" s="6" t="s">
        <v>5597</v>
      </c>
      <c r="F951" s="6" t="s">
        <v>13</v>
      </c>
      <c r="G951" s="6"/>
      <c r="H951" s="6"/>
      <c r="I951" s="6" t="s">
        <v>73</v>
      </c>
      <c r="J951" s="6"/>
      <c r="K951" s="6"/>
      <c r="L951" s="6" t="s">
        <v>5598</v>
      </c>
      <c r="M951" s="6"/>
      <c r="N951" s="6" t="s">
        <v>5599</v>
      </c>
      <c r="O951" s="6" t="str">
        <f>HYPERLINK("https://ceds.ed.gov/cedselementdetails.aspx?termid=6192")</f>
        <v>https://ceds.ed.gov/cedselementdetails.aspx?termid=6192</v>
      </c>
      <c r="P951" s="6" t="str">
        <f>HYPERLINK("https://ceds.ed.gov/elementComment.aspx?elementName=Status Start Date &amp;elementID=6192", "Click here to submit comment")</f>
        <v>Click here to submit comment</v>
      </c>
    </row>
    <row r="952" spans="1:16" ht="30">
      <c r="A952" s="6" t="s">
        <v>6788</v>
      </c>
      <c r="B952" s="6" t="s">
        <v>6804</v>
      </c>
      <c r="C952" s="6" t="s">
        <v>6811</v>
      </c>
      <c r="D952" s="6" t="s">
        <v>5592</v>
      </c>
      <c r="E952" s="6" t="s">
        <v>5593</v>
      </c>
      <c r="F952" s="6" t="s">
        <v>13</v>
      </c>
      <c r="G952" s="6"/>
      <c r="H952" s="6"/>
      <c r="I952" s="6" t="s">
        <v>73</v>
      </c>
      <c r="J952" s="6"/>
      <c r="K952" s="6"/>
      <c r="L952" s="6" t="s">
        <v>5594</v>
      </c>
      <c r="M952" s="6"/>
      <c r="N952" s="6" t="s">
        <v>5595</v>
      </c>
      <c r="O952" s="6" t="str">
        <f>HYPERLINK("https://ceds.ed.gov/cedselementdetails.aspx?termid=6193")</f>
        <v>https://ceds.ed.gov/cedselementdetails.aspx?termid=6193</v>
      </c>
      <c r="P952" s="6" t="str">
        <f>HYPERLINK("https://ceds.ed.gov/elementComment.aspx?elementName=Status End Date &amp;elementID=6193", "Click here to submit comment")</f>
        <v>Click here to submit comment</v>
      </c>
    </row>
    <row r="953" spans="1:16" ht="105">
      <c r="A953" s="6" t="s">
        <v>6788</v>
      </c>
      <c r="B953" s="6" t="s">
        <v>6804</v>
      </c>
      <c r="C953" s="6" t="s">
        <v>6811</v>
      </c>
      <c r="D953" s="6" t="s">
        <v>2432</v>
      </c>
      <c r="E953" s="6" t="s">
        <v>2433</v>
      </c>
      <c r="F953" s="6" t="s">
        <v>5963</v>
      </c>
      <c r="G953" s="6" t="s">
        <v>6084</v>
      </c>
      <c r="H953" s="6"/>
      <c r="I953" s="6"/>
      <c r="J953" s="6"/>
      <c r="K953" s="6"/>
      <c r="L953" s="6" t="s">
        <v>2435</v>
      </c>
      <c r="M953" s="6"/>
      <c r="N953" s="6" t="s">
        <v>2436</v>
      </c>
      <c r="O953" s="6" t="str">
        <f>HYPERLINK("https://ceds.ed.gov/cedselementdetails.aspx?termid=5086")</f>
        <v>https://ceds.ed.gov/cedselementdetails.aspx?termid=5086</v>
      </c>
      <c r="P953" s="6" t="str">
        <f>HYPERLINK("https://ceds.ed.gov/elementComment.aspx?elementName=Economic Disadvantage Status &amp;elementID=5086", "Click here to submit comment")</f>
        <v>Click here to submit comment</v>
      </c>
    </row>
    <row r="954" spans="1:16" ht="390">
      <c r="A954" s="6" t="s">
        <v>6788</v>
      </c>
      <c r="B954" s="6" t="s">
        <v>6804</v>
      </c>
      <c r="C954" s="6" t="s">
        <v>6811</v>
      </c>
      <c r="D954" s="6" t="s">
        <v>4423</v>
      </c>
      <c r="E954" s="6" t="s">
        <v>4424</v>
      </c>
      <c r="F954" s="7" t="s">
        <v>6596</v>
      </c>
      <c r="G954" s="6" t="s">
        <v>5988</v>
      </c>
      <c r="H954" s="6"/>
      <c r="I954" s="6"/>
      <c r="J954" s="6"/>
      <c r="K954" s="6"/>
      <c r="L954" s="6" t="s">
        <v>4425</v>
      </c>
      <c r="M954" s="6"/>
      <c r="N954" s="6" t="s">
        <v>4426</v>
      </c>
      <c r="O954" s="6" t="str">
        <f>HYPERLINK("https://ceds.ed.gov/cedselementdetails.aspx?termid=5325")</f>
        <v>https://ceds.ed.gov/cedselementdetails.aspx?termid=5325</v>
      </c>
      <c r="P954" s="6" t="str">
        <f>HYPERLINK("https://ceds.ed.gov/elementComment.aspx?elementName=Participation in School Food Service Programs &amp;elementID=5325", "Click here to submit comment")</f>
        <v>Click here to submit comment</v>
      </c>
    </row>
    <row r="955" spans="1:16" ht="409.5">
      <c r="A955" s="6" t="s">
        <v>6788</v>
      </c>
      <c r="B955" s="6" t="s">
        <v>6804</v>
      </c>
      <c r="C955" s="6" t="s">
        <v>6812</v>
      </c>
      <c r="D955" s="6" t="s">
        <v>3002</v>
      </c>
      <c r="E955" s="6" t="s">
        <v>3003</v>
      </c>
      <c r="F955" s="6" t="s">
        <v>5963</v>
      </c>
      <c r="G955" s="6" t="s">
        <v>6199</v>
      </c>
      <c r="H955" s="6"/>
      <c r="I955" s="6"/>
      <c r="J955" s="6"/>
      <c r="K955" s="6"/>
      <c r="L955" s="6" t="s">
        <v>3004</v>
      </c>
      <c r="M955" s="6"/>
      <c r="N955" s="6" t="s">
        <v>3005</v>
      </c>
      <c r="O955" s="6" t="str">
        <f>HYPERLINK("https://ceds.ed.gov/cedselementdetails.aspx?termid=5149")</f>
        <v>https://ceds.ed.gov/cedselementdetails.aspx?termid=5149</v>
      </c>
      <c r="P955" s="6" t="str">
        <f>HYPERLINK("https://ceds.ed.gov/elementComment.aspx?elementName=Homelessness Status &amp;elementID=5149", "Click here to submit comment")</f>
        <v>Click here to submit comment</v>
      </c>
    </row>
    <row r="956" spans="1:16" ht="30">
      <c r="A956" s="6" t="s">
        <v>6788</v>
      </c>
      <c r="B956" s="6" t="s">
        <v>6804</v>
      </c>
      <c r="C956" s="6" t="s">
        <v>6812</v>
      </c>
      <c r="D956" s="6" t="s">
        <v>5596</v>
      </c>
      <c r="E956" s="6" t="s">
        <v>5597</v>
      </c>
      <c r="F956" s="6" t="s">
        <v>13</v>
      </c>
      <c r="G956" s="6"/>
      <c r="H956" s="6"/>
      <c r="I956" s="6" t="s">
        <v>73</v>
      </c>
      <c r="J956" s="6"/>
      <c r="K956" s="6"/>
      <c r="L956" s="6" t="s">
        <v>5598</v>
      </c>
      <c r="M956" s="6"/>
      <c r="N956" s="6" t="s">
        <v>5599</v>
      </c>
      <c r="O956" s="6" t="str">
        <f>HYPERLINK("https://ceds.ed.gov/cedselementdetails.aspx?termid=6192")</f>
        <v>https://ceds.ed.gov/cedselementdetails.aspx?termid=6192</v>
      </c>
      <c r="P956" s="6" t="str">
        <f>HYPERLINK("https://ceds.ed.gov/elementComment.aspx?elementName=Status Start Date &amp;elementID=6192", "Click here to submit comment")</f>
        <v>Click here to submit comment</v>
      </c>
    </row>
    <row r="957" spans="1:16" ht="30">
      <c r="A957" s="6" t="s">
        <v>6788</v>
      </c>
      <c r="B957" s="6" t="s">
        <v>6804</v>
      </c>
      <c r="C957" s="6" t="s">
        <v>6812</v>
      </c>
      <c r="D957" s="6" t="s">
        <v>5592</v>
      </c>
      <c r="E957" s="6" t="s">
        <v>5593</v>
      </c>
      <c r="F957" s="6" t="s">
        <v>13</v>
      </c>
      <c r="G957" s="6"/>
      <c r="H957" s="6"/>
      <c r="I957" s="6" t="s">
        <v>73</v>
      </c>
      <c r="J957" s="6"/>
      <c r="K957" s="6"/>
      <c r="L957" s="6" t="s">
        <v>5594</v>
      </c>
      <c r="M957" s="6"/>
      <c r="N957" s="6" t="s">
        <v>5595</v>
      </c>
      <c r="O957" s="6" t="str">
        <f>HYPERLINK("https://ceds.ed.gov/cedselementdetails.aspx?termid=6193")</f>
        <v>https://ceds.ed.gov/cedselementdetails.aspx?termid=6193</v>
      </c>
      <c r="P957" s="6" t="str">
        <f>HYPERLINK("https://ceds.ed.gov/elementComment.aspx?elementName=Status End Date &amp;elementID=6193", "Click here to submit comment")</f>
        <v>Click here to submit comment</v>
      </c>
    </row>
    <row r="958" spans="1:16" ht="105">
      <c r="A958" s="6" t="s">
        <v>6788</v>
      </c>
      <c r="B958" s="6" t="s">
        <v>6804</v>
      </c>
      <c r="C958" s="6" t="s">
        <v>6812</v>
      </c>
      <c r="D958" s="6" t="s">
        <v>2989</v>
      </c>
      <c r="E958" s="6" t="s">
        <v>2990</v>
      </c>
      <c r="F958" s="7" t="s">
        <v>6533</v>
      </c>
      <c r="G958" s="6" t="s">
        <v>218</v>
      </c>
      <c r="H958" s="6"/>
      <c r="I958" s="6"/>
      <c r="J958" s="6"/>
      <c r="K958" s="6"/>
      <c r="L958" s="6" t="s">
        <v>2992</v>
      </c>
      <c r="M958" s="6"/>
      <c r="N958" s="6" t="s">
        <v>2993</v>
      </c>
      <c r="O958" s="6" t="str">
        <f>HYPERLINK("https://ceds.ed.gov/cedselementdetails.aspx?termid=5146")</f>
        <v>https://ceds.ed.gov/cedselementdetails.aspx?termid=5146</v>
      </c>
      <c r="P958" s="6" t="str">
        <f>HYPERLINK("https://ceds.ed.gov/elementComment.aspx?elementName=Homeless Primary Nighttime Residence &amp;elementID=5146", "Click here to submit comment")</f>
        <v>Click here to submit comment</v>
      </c>
    </row>
    <row r="959" spans="1:16" ht="45">
      <c r="A959" s="6" t="s">
        <v>6788</v>
      </c>
      <c r="B959" s="6" t="s">
        <v>6804</v>
      </c>
      <c r="C959" s="6" t="s">
        <v>6812</v>
      </c>
      <c r="D959" s="6" t="s">
        <v>2994</v>
      </c>
      <c r="E959" s="6" t="s">
        <v>2995</v>
      </c>
      <c r="F959" s="6" t="s">
        <v>5963</v>
      </c>
      <c r="G959" s="6"/>
      <c r="H959" s="6"/>
      <c r="I959" s="6"/>
      <c r="J959" s="6"/>
      <c r="K959" s="6"/>
      <c r="L959" s="6" t="s">
        <v>2996</v>
      </c>
      <c r="M959" s="6"/>
      <c r="N959" s="6" t="s">
        <v>2997</v>
      </c>
      <c r="O959" s="6" t="str">
        <f>HYPERLINK("https://ceds.ed.gov/cedselementdetails.aspx?termid=5147")</f>
        <v>https://ceds.ed.gov/cedselementdetails.aspx?termid=5147</v>
      </c>
      <c r="P959" s="6" t="str">
        <f>HYPERLINK("https://ceds.ed.gov/elementComment.aspx?elementName=Homeless Serviced Indicator &amp;elementID=5147", "Click here to submit comment")</f>
        <v>Click here to submit comment</v>
      </c>
    </row>
    <row r="960" spans="1:16" ht="45">
      <c r="A960" s="6" t="s">
        <v>6788</v>
      </c>
      <c r="B960" s="6" t="s">
        <v>6804</v>
      </c>
      <c r="C960" s="6" t="s">
        <v>6812</v>
      </c>
      <c r="D960" s="6" t="s">
        <v>2998</v>
      </c>
      <c r="E960" s="6" t="s">
        <v>2999</v>
      </c>
      <c r="F960" s="6" t="s">
        <v>5963</v>
      </c>
      <c r="G960" s="6" t="s">
        <v>218</v>
      </c>
      <c r="H960" s="6"/>
      <c r="I960" s="6"/>
      <c r="J960" s="6"/>
      <c r="K960" s="6"/>
      <c r="L960" s="6" t="s">
        <v>3000</v>
      </c>
      <c r="M960" s="6"/>
      <c r="N960" s="6" t="s">
        <v>3001</v>
      </c>
      <c r="O960" s="6" t="str">
        <f>HYPERLINK("https://ceds.ed.gov/cedselementdetails.aspx?termid=5148")</f>
        <v>https://ceds.ed.gov/cedselementdetails.aspx?termid=5148</v>
      </c>
      <c r="P960" s="6" t="str">
        <f>HYPERLINK("https://ceds.ed.gov/elementComment.aspx?elementName=Homeless Unaccompanied Youth Status &amp;elementID=5148", "Click here to submit comment")</f>
        <v>Click here to submit comment</v>
      </c>
    </row>
    <row r="961" spans="1:16" ht="120">
      <c r="A961" s="6" t="s">
        <v>6788</v>
      </c>
      <c r="B961" s="6" t="s">
        <v>6804</v>
      </c>
      <c r="C961" s="6" t="s">
        <v>6813</v>
      </c>
      <c r="D961" s="6" t="s">
        <v>5808</v>
      </c>
      <c r="E961" s="6" t="s">
        <v>5809</v>
      </c>
      <c r="F961" s="6" t="s">
        <v>5963</v>
      </c>
      <c r="G961" s="6" t="s">
        <v>5968</v>
      </c>
      <c r="H961" s="6"/>
      <c r="I961" s="6"/>
      <c r="J961" s="6"/>
      <c r="K961" s="6"/>
      <c r="L961" s="6" t="s">
        <v>5810</v>
      </c>
      <c r="M961" s="6"/>
      <c r="N961" s="6" t="s">
        <v>5811</v>
      </c>
      <c r="O961" s="6" t="str">
        <f>HYPERLINK("https://ceds.ed.gov/cedselementdetails.aspx?termid=5291")</f>
        <v>https://ceds.ed.gov/cedselementdetails.aspx?termid=5291</v>
      </c>
      <c r="P961" s="6" t="str">
        <f>HYPERLINK("https://ceds.ed.gov/elementComment.aspx?elementName=Title III Immigrant Status &amp;elementID=5291", "Click here to submit comment")</f>
        <v>Click here to submit comment</v>
      </c>
    </row>
    <row r="962" spans="1:16" ht="90">
      <c r="A962" s="6" t="s">
        <v>6788</v>
      </c>
      <c r="B962" s="6" t="s">
        <v>6804</v>
      </c>
      <c r="C962" s="6" t="s">
        <v>6813</v>
      </c>
      <c r="D962" s="6" t="s">
        <v>5804</v>
      </c>
      <c r="E962" s="6" t="s">
        <v>5805</v>
      </c>
      <c r="F962" s="6" t="s">
        <v>5963</v>
      </c>
      <c r="G962" s="6" t="s">
        <v>218</v>
      </c>
      <c r="H962" s="6"/>
      <c r="I962" s="6"/>
      <c r="J962" s="6"/>
      <c r="K962" s="6"/>
      <c r="L962" s="6" t="s">
        <v>5806</v>
      </c>
      <c r="M962" s="6"/>
      <c r="N962" s="6" t="s">
        <v>5807</v>
      </c>
      <c r="O962" s="6" t="str">
        <f>HYPERLINK("https://ceds.ed.gov/cedselementdetails.aspx?termid=5290")</f>
        <v>https://ceds.ed.gov/cedselementdetails.aspx?termid=5290</v>
      </c>
      <c r="P962" s="6" t="str">
        <f>HYPERLINK("https://ceds.ed.gov/elementComment.aspx?elementName=Title III Immigrant Participation Status &amp;elementID=5290", "Click here to submit comment")</f>
        <v>Click here to submit comment</v>
      </c>
    </row>
    <row r="963" spans="1:16" ht="30">
      <c r="A963" s="6" t="s">
        <v>6788</v>
      </c>
      <c r="B963" s="6" t="s">
        <v>6804</v>
      </c>
      <c r="C963" s="6" t="s">
        <v>6813</v>
      </c>
      <c r="D963" s="6" t="s">
        <v>5596</v>
      </c>
      <c r="E963" s="6" t="s">
        <v>5597</v>
      </c>
      <c r="F963" s="6" t="s">
        <v>13</v>
      </c>
      <c r="G963" s="6"/>
      <c r="H963" s="6"/>
      <c r="I963" s="6" t="s">
        <v>73</v>
      </c>
      <c r="J963" s="6"/>
      <c r="K963" s="6"/>
      <c r="L963" s="6" t="s">
        <v>5598</v>
      </c>
      <c r="M963" s="6"/>
      <c r="N963" s="6" t="s">
        <v>5599</v>
      </c>
      <c r="O963" s="6" t="str">
        <f>HYPERLINK("https://ceds.ed.gov/cedselementdetails.aspx?termid=6192")</f>
        <v>https://ceds.ed.gov/cedselementdetails.aspx?termid=6192</v>
      </c>
      <c r="P963" s="6" t="str">
        <f>HYPERLINK("https://ceds.ed.gov/elementComment.aspx?elementName=Status Start Date &amp;elementID=6192", "Click here to submit comment")</f>
        <v>Click here to submit comment</v>
      </c>
    </row>
    <row r="964" spans="1:16" ht="30">
      <c r="A964" s="6" t="s">
        <v>6788</v>
      </c>
      <c r="B964" s="6" t="s">
        <v>6804</v>
      </c>
      <c r="C964" s="6" t="s">
        <v>6813</v>
      </c>
      <c r="D964" s="6" t="s">
        <v>5592</v>
      </c>
      <c r="E964" s="6" t="s">
        <v>5593</v>
      </c>
      <c r="F964" s="6" t="s">
        <v>13</v>
      </c>
      <c r="G964" s="6"/>
      <c r="H964" s="6"/>
      <c r="I964" s="6" t="s">
        <v>73</v>
      </c>
      <c r="J964" s="6"/>
      <c r="K964" s="6"/>
      <c r="L964" s="6" t="s">
        <v>5594</v>
      </c>
      <c r="M964" s="6"/>
      <c r="N964" s="6" t="s">
        <v>5595</v>
      </c>
      <c r="O964" s="6" t="str">
        <f>HYPERLINK("https://ceds.ed.gov/cedselementdetails.aspx?termid=6193")</f>
        <v>https://ceds.ed.gov/cedselementdetails.aspx?termid=6193</v>
      </c>
      <c r="P964" s="6" t="str">
        <f>HYPERLINK("https://ceds.ed.gov/elementComment.aspx?elementName=Status End Date &amp;elementID=6193", "Click here to submit comment")</f>
        <v>Click here to submit comment</v>
      </c>
    </row>
    <row r="965" spans="1:16" ht="45">
      <c r="A965" s="6" t="s">
        <v>6788</v>
      </c>
      <c r="B965" s="6" t="s">
        <v>6804</v>
      </c>
      <c r="C965" s="6" t="s">
        <v>6813</v>
      </c>
      <c r="D965" s="6" t="s">
        <v>2767</v>
      </c>
      <c r="E965" s="6" t="s">
        <v>2768</v>
      </c>
      <c r="F965" s="6" t="s">
        <v>13</v>
      </c>
      <c r="G965" s="6"/>
      <c r="H965" s="6"/>
      <c r="I965" s="6" t="s">
        <v>73</v>
      </c>
      <c r="J965" s="6"/>
      <c r="K965" s="6"/>
      <c r="L965" s="6" t="s">
        <v>2770</v>
      </c>
      <c r="M965" s="6"/>
      <c r="N965" s="6" t="s">
        <v>2771</v>
      </c>
      <c r="O965" s="6" t="str">
        <f>HYPERLINK("https://ceds.ed.gov/cedselementdetails.aspx?termid=5520")</f>
        <v>https://ceds.ed.gov/cedselementdetails.aspx?termid=5520</v>
      </c>
      <c r="P965" s="6" t="str">
        <f>HYPERLINK("https://ceds.ed.gov/elementComment.aspx?elementName=First Entry Date into a US School &amp;elementID=5520", "Click here to submit comment")</f>
        <v>Click here to submit comment</v>
      </c>
    </row>
    <row r="966" spans="1:16" ht="409.5">
      <c r="A966" s="6" t="s">
        <v>6788</v>
      </c>
      <c r="B966" s="6" t="s">
        <v>6804</v>
      </c>
      <c r="C966" s="6" t="s">
        <v>6814</v>
      </c>
      <c r="D966" s="6" t="s">
        <v>3991</v>
      </c>
      <c r="E966" s="6" t="s">
        <v>3992</v>
      </c>
      <c r="F966" s="6" t="s">
        <v>5963</v>
      </c>
      <c r="G966" s="6" t="s">
        <v>6084</v>
      </c>
      <c r="H966" s="6"/>
      <c r="I966" s="6"/>
      <c r="J966" s="6"/>
      <c r="K966" s="6"/>
      <c r="L966" s="6" t="s">
        <v>3993</v>
      </c>
      <c r="M966" s="6" t="s">
        <v>3994</v>
      </c>
      <c r="N966" s="6" t="s">
        <v>3995</v>
      </c>
      <c r="O966" s="6" t="str">
        <f>HYPERLINK("https://ceds.ed.gov/cedselementdetails.aspx?termid=5180")</f>
        <v>https://ceds.ed.gov/cedselementdetails.aspx?termid=5180</v>
      </c>
      <c r="P966" s="6" t="str">
        <f>HYPERLINK("https://ceds.ed.gov/elementComment.aspx?elementName=Limited English Proficiency Status &amp;elementID=5180", "Click here to submit comment")</f>
        <v>Click here to submit comment</v>
      </c>
    </row>
    <row r="967" spans="1:16" ht="45">
      <c r="A967" s="6" t="s">
        <v>6788</v>
      </c>
      <c r="B967" s="6" t="s">
        <v>6804</v>
      </c>
      <c r="C967" s="6" t="s">
        <v>6814</v>
      </c>
      <c r="D967" s="6" t="s">
        <v>4821</v>
      </c>
      <c r="E967" s="6" t="s">
        <v>4822</v>
      </c>
      <c r="F967" s="6" t="s">
        <v>13</v>
      </c>
      <c r="G967" s="6" t="s">
        <v>6051</v>
      </c>
      <c r="H967" s="6"/>
      <c r="I967" s="6" t="s">
        <v>73</v>
      </c>
      <c r="J967" s="6"/>
      <c r="K967" s="6"/>
      <c r="L967" s="6" t="s">
        <v>4823</v>
      </c>
      <c r="M967" s="6"/>
      <c r="N967" s="6" t="s">
        <v>4824</v>
      </c>
      <c r="O967" s="6" t="str">
        <f>HYPERLINK("https://ceds.ed.gov/cedselementdetails.aspx?termid=5583")</f>
        <v>https://ceds.ed.gov/cedselementdetails.aspx?termid=5583</v>
      </c>
      <c r="P967" s="6" t="str">
        <f>HYPERLINK("https://ceds.ed.gov/elementComment.aspx?elementName=Program Participation Start Date &amp;elementID=5583", "Click here to submit comment")</f>
        <v>Click here to submit comment</v>
      </c>
    </row>
    <row r="968" spans="1:16" ht="45">
      <c r="A968" s="6" t="s">
        <v>6788</v>
      </c>
      <c r="B968" s="6" t="s">
        <v>6804</v>
      </c>
      <c r="C968" s="6" t="s">
        <v>6814</v>
      </c>
      <c r="D968" s="6" t="s">
        <v>4817</v>
      </c>
      <c r="E968" s="6" t="s">
        <v>4818</v>
      </c>
      <c r="F968" s="6" t="s">
        <v>13</v>
      </c>
      <c r="G968" s="6" t="s">
        <v>218</v>
      </c>
      <c r="H968" s="6"/>
      <c r="I968" s="6" t="s">
        <v>73</v>
      </c>
      <c r="J968" s="6"/>
      <c r="K968" s="6"/>
      <c r="L968" s="6" t="s">
        <v>4819</v>
      </c>
      <c r="M968" s="6"/>
      <c r="N968" s="6" t="s">
        <v>4820</v>
      </c>
      <c r="O968" s="6" t="str">
        <f>HYPERLINK("https://ceds.ed.gov/cedselementdetails.aspx?termid=5584")</f>
        <v>https://ceds.ed.gov/cedselementdetails.aspx?termid=5584</v>
      </c>
      <c r="P968" s="6" t="str">
        <f>HYPERLINK("https://ceds.ed.gov/elementComment.aspx?elementName=Program Participation Exit Date &amp;elementID=5584", "Click here to submit comment")</f>
        <v>Click here to submit comment</v>
      </c>
    </row>
    <row r="969" spans="1:16" ht="45">
      <c r="A969" s="6" t="s">
        <v>6788</v>
      </c>
      <c r="B969" s="6" t="s">
        <v>6804</v>
      </c>
      <c r="C969" s="6" t="s">
        <v>6814</v>
      </c>
      <c r="D969" s="6" t="s">
        <v>3986</v>
      </c>
      <c r="E969" s="6" t="s">
        <v>3987</v>
      </c>
      <c r="F969" s="6" t="s">
        <v>13</v>
      </c>
      <c r="G969" s="6" t="s">
        <v>218</v>
      </c>
      <c r="H969" s="6"/>
      <c r="I969" s="6" t="s">
        <v>73</v>
      </c>
      <c r="J969" s="6"/>
      <c r="K969" s="6"/>
      <c r="L969" s="6" t="s">
        <v>3988</v>
      </c>
      <c r="M969" s="6" t="s">
        <v>3989</v>
      </c>
      <c r="N969" s="6" t="s">
        <v>3990</v>
      </c>
      <c r="O969" s="6" t="str">
        <f>HYPERLINK("https://ceds.ed.gov/cedselementdetails.aspx?termid=5562")</f>
        <v>https://ceds.ed.gov/cedselementdetails.aspx?termid=5562</v>
      </c>
      <c r="P969" s="6" t="str">
        <f>HYPERLINK("https://ceds.ed.gov/elementComment.aspx?elementName=Limited English Proficiency Exit Date &amp;elementID=5562", "Click here to submit comment")</f>
        <v>Click here to submit comment</v>
      </c>
    </row>
    <row r="970" spans="1:16" ht="210">
      <c r="A970" s="6" t="s">
        <v>6788</v>
      </c>
      <c r="B970" s="6" t="s">
        <v>6804</v>
      </c>
      <c r="C970" s="6" t="s">
        <v>6814</v>
      </c>
      <c r="D970" s="6" t="s">
        <v>4459</v>
      </c>
      <c r="E970" s="6" t="s">
        <v>4460</v>
      </c>
      <c r="F970" s="6" t="s">
        <v>5963</v>
      </c>
      <c r="G970" s="6" t="s">
        <v>218</v>
      </c>
      <c r="H970" s="6"/>
      <c r="I970" s="6"/>
      <c r="J970" s="6"/>
      <c r="K970" s="6"/>
      <c r="L970" s="6" t="s">
        <v>4461</v>
      </c>
      <c r="M970" s="6" t="s">
        <v>4462</v>
      </c>
      <c r="N970" s="6" t="s">
        <v>4463</v>
      </c>
      <c r="O970" s="6" t="str">
        <f>HYPERLINK("https://ceds.ed.gov/cedselementdetails.aspx?termid=5574")</f>
        <v>https://ceds.ed.gov/cedselementdetails.aspx?termid=5574</v>
      </c>
      <c r="P970" s="6" t="str">
        <f>HYPERLINK("https://ceds.ed.gov/elementComment.aspx?elementName=Perkins Limited English Proficiency Status &amp;elementID=5574", "Click here to submit comment")</f>
        <v>Click here to submit comment</v>
      </c>
    </row>
    <row r="971" spans="1:16" ht="105">
      <c r="A971" s="6" t="s">
        <v>6788</v>
      </c>
      <c r="B971" s="6" t="s">
        <v>6804</v>
      </c>
      <c r="C971" s="6" t="s">
        <v>6814</v>
      </c>
      <c r="D971" s="6" t="s">
        <v>5800</v>
      </c>
      <c r="E971" s="6" t="s">
        <v>5801</v>
      </c>
      <c r="F971" s="7" t="s">
        <v>6682</v>
      </c>
      <c r="G971" s="6" t="s">
        <v>218</v>
      </c>
      <c r="H971" s="6"/>
      <c r="I971" s="6"/>
      <c r="J971" s="6"/>
      <c r="K971" s="6"/>
      <c r="L971" s="6" t="s">
        <v>5802</v>
      </c>
      <c r="M971" s="6"/>
      <c r="N971" s="6" t="s">
        <v>5803</v>
      </c>
      <c r="O971" s="6" t="str">
        <f>HYPERLINK("https://ceds.ed.gov/cedselementdetails.aspx?termid=5527")</f>
        <v>https://ceds.ed.gov/cedselementdetails.aspx?termid=5527</v>
      </c>
      <c r="P971" s="6" t="str">
        <f>HYPERLINK("https://ceds.ed.gov/elementComment.aspx?elementName=Title III Accountability Progress Status &amp;elementID=5527", "Click here to submit comment")</f>
        <v>Click here to submit comment</v>
      </c>
    </row>
    <row r="972" spans="1:16" ht="75">
      <c r="A972" s="6" t="s">
        <v>6788</v>
      </c>
      <c r="B972" s="6" t="s">
        <v>6804</v>
      </c>
      <c r="C972" s="6" t="s">
        <v>6814</v>
      </c>
      <c r="D972" s="6" t="s">
        <v>5816</v>
      </c>
      <c r="E972" s="6" t="s">
        <v>5817</v>
      </c>
      <c r="F972" s="6" t="s">
        <v>5963</v>
      </c>
      <c r="G972" s="6" t="s">
        <v>218</v>
      </c>
      <c r="H972" s="6"/>
      <c r="I972" s="6"/>
      <c r="J972" s="6"/>
      <c r="K972" s="6"/>
      <c r="L972" s="6" t="s">
        <v>5818</v>
      </c>
      <c r="M972" s="6" t="s">
        <v>5819</v>
      </c>
      <c r="N972" s="6" t="s">
        <v>5820</v>
      </c>
      <c r="O972" s="6" t="str">
        <f>HYPERLINK("https://ceds.ed.gov/cedselementdetails.aspx?termid=5557")</f>
        <v>https://ceds.ed.gov/cedselementdetails.aspx?termid=5557</v>
      </c>
      <c r="P972" s="6" t="str">
        <f>HYPERLINK("https://ceds.ed.gov/elementComment.aspx?elementName=Title III Limited English Proficient Participation Status &amp;elementID=5557", "Click here to submit comment")</f>
        <v>Click here to submit comment</v>
      </c>
    </row>
    <row r="973" spans="1:16" ht="45">
      <c r="A973" s="6" t="s">
        <v>6788</v>
      </c>
      <c r="B973" s="6" t="s">
        <v>6804</v>
      </c>
      <c r="C973" s="6" t="s">
        <v>6814</v>
      </c>
      <c r="D973" s="6" t="s">
        <v>3980</v>
      </c>
      <c r="E973" s="6" t="s">
        <v>3981</v>
      </c>
      <c r="F973" s="6" t="s">
        <v>13</v>
      </c>
      <c r="G973" s="6"/>
      <c r="H973" s="6"/>
      <c r="I973" s="6" t="s">
        <v>73</v>
      </c>
      <c r="J973" s="6"/>
      <c r="K973" s="6"/>
      <c r="L973" s="6" t="s">
        <v>3983</v>
      </c>
      <c r="M973" s="6" t="s">
        <v>3984</v>
      </c>
      <c r="N973" s="6" t="s">
        <v>3985</v>
      </c>
      <c r="O973" s="6" t="str">
        <f>HYPERLINK("https://ceds.ed.gov/cedselementdetails.aspx?termid=6213")</f>
        <v>https://ceds.ed.gov/cedselementdetails.aspx?termid=6213</v>
      </c>
      <c r="P973" s="6" t="str">
        <f>HYPERLINK("https://ceds.ed.gov/elementComment.aspx?elementName=Limited English Proficiency Entry Date &amp;elementID=6213", "Click here to submit comment")</f>
        <v>Click here to submit comment</v>
      </c>
    </row>
    <row r="974" spans="1:16" ht="285">
      <c r="A974" s="6" t="s">
        <v>6788</v>
      </c>
      <c r="B974" s="6" t="s">
        <v>6804</v>
      </c>
      <c r="C974" s="6" t="s">
        <v>6815</v>
      </c>
      <c r="D974" s="6" t="s">
        <v>5610</v>
      </c>
      <c r="E974" s="6" t="s">
        <v>5611</v>
      </c>
      <c r="F974" s="7" t="s">
        <v>6665</v>
      </c>
      <c r="G974" s="6" t="s">
        <v>6330</v>
      </c>
      <c r="H974" s="6"/>
      <c r="I974" s="6"/>
      <c r="J974" s="6"/>
      <c r="K974" s="6"/>
      <c r="L974" s="6" t="s">
        <v>5612</v>
      </c>
      <c r="M974" s="6"/>
      <c r="N974" s="6" t="s">
        <v>5613</v>
      </c>
      <c r="O974" s="6" t="str">
        <f>HYPERLINK("https://ceds.ed.gov/cedselementdetails.aspx?termid=5163")</f>
        <v>https://ceds.ed.gov/cedselementdetails.aspx?termid=5163</v>
      </c>
      <c r="P974" s="6" t="str">
        <f>HYPERLINK("https://ceds.ed.gov/elementComment.aspx?elementName=Student Identification System &amp;elementID=5163", "Click here to submit comment")</f>
        <v>Click here to submit comment</v>
      </c>
    </row>
    <row r="975" spans="1:16" ht="135">
      <c r="A975" s="6" t="s">
        <v>6788</v>
      </c>
      <c r="B975" s="6" t="s">
        <v>6804</v>
      </c>
      <c r="C975" s="6" t="s">
        <v>6815</v>
      </c>
      <c r="D975" s="6" t="s">
        <v>5614</v>
      </c>
      <c r="E975" s="6" t="s">
        <v>5615</v>
      </c>
      <c r="F975" s="6" t="s">
        <v>13</v>
      </c>
      <c r="G975" s="6" t="s">
        <v>6330</v>
      </c>
      <c r="H975" s="6"/>
      <c r="I975" s="6" t="s">
        <v>100</v>
      </c>
      <c r="J975" s="6"/>
      <c r="K975" s="6"/>
      <c r="L975" s="6" t="s">
        <v>5616</v>
      </c>
      <c r="M975" s="6"/>
      <c r="N975" s="6" t="s">
        <v>5617</v>
      </c>
      <c r="O975" s="6" t="str">
        <f>HYPERLINK("https://ceds.ed.gov/cedselementdetails.aspx?termid=5157")</f>
        <v>https://ceds.ed.gov/cedselementdetails.aspx?termid=5157</v>
      </c>
      <c r="P975" s="6" t="str">
        <f>HYPERLINK("https://ceds.ed.gov/elementComment.aspx?elementName=Student Identifier &amp;elementID=5157", "Click here to submit comment")</f>
        <v>Click here to submit comment</v>
      </c>
    </row>
    <row r="976" spans="1:16" ht="270">
      <c r="A976" s="6" t="s">
        <v>6788</v>
      </c>
      <c r="B976" s="6" t="s">
        <v>6804</v>
      </c>
      <c r="C976" s="6" t="s">
        <v>6815</v>
      </c>
      <c r="D976" s="6" t="s">
        <v>4147</v>
      </c>
      <c r="E976" s="6" t="s">
        <v>4148</v>
      </c>
      <c r="F976" s="6" t="s">
        <v>5963</v>
      </c>
      <c r="G976" s="6" t="s">
        <v>6084</v>
      </c>
      <c r="H976" s="6" t="s">
        <v>3</v>
      </c>
      <c r="I976" s="6"/>
      <c r="J976" s="6"/>
      <c r="K976" s="6"/>
      <c r="L976" s="6" t="s">
        <v>4149</v>
      </c>
      <c r="M976" s="6"/>
      <c r="N976" s="6" t="s">
        <v>4150</v>
      </c>
      <c r="O976" s="6" t="str">
        <f>HYPERLINK("https://ceds.ed.gov/cedselementdetails.aspx?termid=5189")</f>
        <v>https://ceds.ed.gov/cedselementdetails.aspx?termid=5189</v>
      </c>
      <c r="P976" s="6" t="str">
        <f>HYPERLINK("https://ceds.ed.gov/elementComment.aspx?elementName=Migrant Status &amp;elementID=5189", "Click here to submit comment")</f>
        <v>Click here to submit comment</v>
      </c>
    </row>
    <row r="977" spans="1:16" ht="45">
      <c r="A977" s="6" t="s">
        <v>6788</v>
      </c>
      <c r="B977" s="6" t="s">
        <v>6804</v>
      </c>
      <c r="C977" s="6" t="s">
        <v>6815</v>
      </c>
      <c r="D977" s="6" t="s">
        <v>4821</v>
      </c>
      <c r="E977" s="6" t="s">
        <v>4822</v>
      </c>
      <c r="F977" s="6" t="s">
        <v>13</v>
      </c>
      <c r="G977" s="6" t="s">
        <v>6051</v>
      </c>
      <c r="H977" s="6"/>
      <c r="I977" s="6" t="s">
        <v>73</v>
      </c>
      <c r="J977" s="6"/>
      <c r="K977" s="6"/>
      <c r="L977" s="6" t="s">
        <v>4823</v>
      </c>
      <c r="M977" s="6"/>
      <c r="N977" s="6" t="s">
        <v>4824</v>
      </c>
      <c r="O977" s="6" t="str">
        <f>HYPERLINK("https://ceds.ed.gov/cedselementdetails.aspx?termid=5583")</f>
        <v>https://ceds.ed.gov/cedselementdetails.aspx?termid=5583</v>
      </c>
      <c r="P977" s="6" t="str">
        <f>HYPERLINK("https://ceds.ed.gov/elementComment.aspx?elementName=Program Participation Start Date &amp;elementID=5583", "Click here to submit comment")</f>
        <v>Click here to submit comment</v>
      </c>
    </row>
    <row r="978" spans="1:16" ht="45">
      <c r="A978" s="6" t="s">
        <v>6788</v>
      </c>
      <c r="B978" s="6" t="s">
        <v>6804</v>
      </c>
      <c r="C978" s="6" t="s">
        <v>6815</v>
      </c>
      <c r="D978" s="6" t="s">
        <v>4817</v>
      </c>
      <c r="E978" s="6" t="s">
        <v>4818</v>
      </c>
      <c r="F978" s="6" t="s">
        <v>13</v>
      </c>
      <c r="G978" s="6" t="s">
        <v>218</v>
      </c>
      <c r="H978" s="6"/>
      <c r="I978" s="6" t="s">
        <v>73</v>
      </c>
      <c r="J978" s="6"/>
      <c r="K978" s="6"/>
      <c r="L978" s="6" t="s">
        <v>4819</v>
      </c>
      <c r="M978" s="6"/>
      <c r="N978" s="6" t="s">
        <v>4820</v>
      </c>
      <c r="O978" s="6" t="str">
        <f>HYPERLINK("https://ceds.ed.gov/cedselementdetails.aspx?termid=5584")</f>
        <v>https://ceds.ed.gov/cedselementdetails.aspx?termid=5584</v>
      </c>
      <c r="P978" s="6" t="str">
        <f>HYPERLINK("https://ceds.ed.gov/elementComment.aspx?elementName=Program Participation Exit Date &amp;elementID=5584", "Click here to submit comment")</f>
        <v>Click here to submit comment</v>
      </c>
    </row>
    <row r="979" spans="1:16" ht="75">
      <c r="A979" s="6" t="s">
        <v>6788</v>
      </c>
      <c r="B979" s="6" t="s">
        <v>6804</v>
      </c>
      <c r="C979" s="6" t="s">
        <v>6815</v>
      </c>
      <c r="D979" s="6" t="s">
        <v>4092</v>
      </c>
      <c r="E979" s="6" t="s">
        <v>4093</v>
      </c>
      <c r="F979" s="6" t="s">
        <v>5963</v>
      </c>
      <c r="G979" s="6" t="s">
        <v>218</v>
      </c>
      <c r="H979" s="6"/>
      <c r="I979" s="6"/>
      <c r="J979" s="6"/>
      <c r="K979" s="6"/>
      <c r="L979" s="6" t="s">
        <v>4094</v>
      </c>
      <c r="M979" s="6" t="s">
        <v>4095</v>
      </c>
      <c r="N979" s="6" t="s">
        <v>4096</v>
      </c>
      <c r="O979" s="6" t="str">
        <f>HYPERLINK("https://ceds.ed.gov/cedselementdetails.aspx?termid=5555")</f>
        <v>https://ceds.ed.gov/cedselementdetails.aspx?termid=5555</v>
      </c>
      <c r="P979" s="6" t="str">
        <f>HYPERLINK("https://ceds.ed.gov/elementComment.aspx?elementName=Migrant Education Program Continuation of Services Status &amp;elementID=5555", "Click here to submit comment")</f>
        <v>Click here to submit comment</v>
      </c>
    </row>
    <row r="980" spans="1:16" ht="150">
      <c r="A980" s="6" t="s">
        <v>6788</v>
      </c>
      <c r="B980" s="6" t="s">
        <v>6804</v>
      </c>
      <c r="C980" s="6" t="s">
        <v>6815</v>
      </c>
      <c r="D980" s="6" t="s">
        <v>1768</v>
      </c>
      <c r="E980" s="6" t="s">
        <v>1769</v>
      </c>
      <c r="F980" s="7" t="s">
        <v>6428</v>
      </c>
      <c r="G980" s="6" t="s">
        <v>1480</v>
      </c>
      <c r="H980" s="6"/>
      <c r="I980" s="6"/>
      <c r="J980" s="6"/>
      <c r="K980" s="6"/>
      <c r="L980" s="6" t="s">
        <v>1770</v>
      </c>
      <c r="M980" s="6"/>
      <c r="N980" s="6" t="s">
        <v>1771</v>
      </c>
      <c r="O980" s="6" t="str">
        <f>HYPERLINK("https://ceds.ed.gov/cedselementdetails.aspx?termid=5419")</f>
        <v>https://ceds.ed.gov/cedselementdetails.aspx?termid=5419</v>
      </c>
      <c r="P980" s="6" t="str">
        <f>HYPERLINK("https://ceds.ed.gov/elementComment.aspx?elementName=Continuation of Services Reason &amp;elementID=5419", "Click here to submit comment")</f>
        <v>Click here to submit comment</v>
      </c>
    </row>
    <row r="981" spans="1:16" ht="60">
      <c r="A981" s="6" t="s">
        <v>6788</v>
      </c>
      <c r="B981" s="6" t="s">
        <v>6804</v>
      </c>
      <c r="C981" s="6" t="s">
        <v>6815</v>
      </c>
      <c r="D981" s="6" t="s">
        <v>4107</v>
      </c>
      <c r="E981" s="6" t="s">
        <v>4108</v>
      </c>
      <c r="F981" s="6" t="s">
        <v>5963</v>
      </c>
      <c r="G981" s="6" t="s">
        <v>218</v>
      </c>
      <c r="H981" s="6"/>
      <c r="I981" s="6"/>
      <c r="J981" s="6"/>
      <c r="K981" s="6"/>
      <c r="L981" s="6" t="s">
        <v>4109</v>
      </c>
      <c r="M981" s="6" t="s">
        <v>4110</v>
      </c>
      <c r="N981" s="6" t="s">
        <v>4111</v>
      </c>
      <c r="O981" s="6" t="str">
        <f>HYPERLINK("https://ceds.ed.gov/cedselementdetails.aspx?termid=5185")</f>
        <v>https://ceds.ed.gov/cedselementdetails.aspx?termid=5185</v>
      </c>
      <c r="P981" s="6" t="str">
        <f>HYPERLINK("https://ceds.ed.gov/elementComment.aspx?elementName=Migrant Education Program Participation Status &amp;elementID=5185", "Click here to submit comment")</f>
        <v>Click here to submit comment</v>
      </c>
    </row>
    <row r="982" spans="1:16" ht="225">
      <c r="A982" s="6" t="s">
        <v>6788</v>
      </c>
      <c r="B982" s="6" t="s">
        <v>6804</v>
      </c>
      <c r="C982" s="6" t="s">
        <v>6815</v>
      </c>
      <c r="D982" s="6" t="s">
        <v>4127</v>
      </c>
      <c r="E982" s="6" t="s">
        <v>4128</v>
      </c>
      <c r="F982" s="7" t="s">
        <v>6585</v>
      </c>
      <c r="G982" s="6" t="s">
        <v>218</v>
      </c>
      <c r="H982" s="6"/>
      <c r="I982" s="6"/>
      <c r="J982" s="6"/>
      <c r="K982" s="6"/>
      <c r="L982" s="6" t="s">
        <v>4129</v>
      </c>
      <c r="M982" s="6" t="s">
        <v>4130</v>
      </c>
      <c r="N982" s="6" t="s">
        <v>4131</v>
      </c>
      <c r="O982" s="6" t="str">
        <f>HYPERLINK("https://ceds.ed.gov/cedselementdetails.aspx?termid=5186")</f>
        <v>https://ceds.ed.gov/cedselementdetails.aspx?termid=5186</v>
      </c>
      <c r="P982" s="6" t="str">
        <f>HYPERLINK("https://ceds.ed.gov/elementComment.aspx?elementName=Migrant Education Program Services Type &amp;elementID=5186", "Click here to submit comment")</f>
        <v>Click here to submit comment</v>
      </c>
    </row>
    <row r="983" spans="1:16" ht="195">
      <c r="A983" s="6" t="s">
        <v>6788</v>
      </c>
      <c r="B983" s="6" t="s">
        <v>6804</v>
      </c>
      <c r="C983" s="6" t="s">
        <v>6815</v>
      </c>
      <c r="D983" s="6" t="s">
        <v>4102</v>
      </c>
      <c r="E983" s="6" t="s">
        <v>4103</v>
      </c>
      <c r="F983" s="7" t="s">
        <v>6582</v>
      </c>
      <c r="G983" s="6" t="s">
        <v>1480</v>
      </c>
      <c r="H983" s="6"/>
      <c r="I983" s="6"/>
      <c r="J983" s="6"/>
      <c r="K983" s="6"/>
      <c r="L983" s="6" t="s">
        <v>4104</v>
      </c>
      <c r="M983" s="6" t="s">
        <v>4105</v>
      </c>
      <c r="N983" s="6" t="s">
        <v>4106</v>
      </c>
      <c r="O983" s="6" t="str">
        <f>HYPERLINK("https://ceds.ed.gov/cedselementdetails.aspx?termid=5427")</f>
        <v>https://ceds.ed.gov/cedselementdetails.aspx?termid=5427</v>
      </c>
      <c r="P983" s="6" t="str">
        <f>HYPERLINK("https://ceds.ed.gov/elementComment.aspx?elementName=Migrant Education Program Enrollment Type &amp;elementID=5427", "Click here to submit comment")</f>
        <v>Click here to submit comment</v>
      </c>
    </row>
    <row r="984" spans="1:16" ht="75">
      <c r="A984" s="6" t="s">
        <v>6788</v>
      </c>
      <c r="B984" s="6" t="s">
        <v>6804</v>
      </c>
      <c r="C984" s="6" t="s">
        <v>6815</v>
      </c>
      <c r="D984" s="6" t="s">
        <v>4117</v>
      </c>
      <c r="E984" s="6" t="s">
        <v>4118</v>
      </c>
      <c r="F984" s="7" t="s">
        <v>6583</v>
      </c>
      <c r="G984" s="6" t="s">
        <v>1480</v>
      </c>
      <c r="H984" s="6"/>
      <c r="I984" s="6"/>
      <c r="J984" s="6"/>
      <c r="K984" s="6"/>
      <c r="L984" s="6" t="s">
        <v>4119</v>
      </c>
      <c r="M984" s="6" t="s">
        <v>4120</v>
      </c>
      <c r="N984" s="6" t="s">
        <v>4121</v>
      </c>
      <c r="O984" s="6" t="str">
        <f>HYPERLINK("https://ceds.ed.gov/cedselementdetails.aspx?termid=5430")</f>
        <v>https://ceds.ed.gov/cedselementdetails.aspx?termid=5430</v>
      </c>
      <c r="P984" s="6" t="str">
        <f>HYPERLINK("https://ceds.ed.gov/elementComment.aspx?elementName=Migrant Education Program Project Based &amp;elementID=5430", "Click here to submit comment")</f>
        <v>Click here to submit comment</v>
      </c>
    </row>
    <row r="985" spans="1:16" ht="120">
      <c r="A985" s="6" t="s">
        <v>6788</v>
      </c>
      <c r="B985" s="6" t="s">
        <v>6804</v>
      </c>
      <c r="C985" s="6" t="s">
        <v>6815</v>
      </c>
      <c r="D985" s="6" t="s">
        <v>4143</v>
      </c>
      <c r="E985" s="6" t="s">
        <v>4144</v>
      </c>
      <c r="F985" s="6" t="s">
        <v>5963</v>
      </c>
      <c r="G985" s="6" t="s">
        <v>218</v>
      </c>
      <c r="H985" s="6"/>
      <c r="I985" s="6"/>
      <c r="J985" s="6"/>
      <c r="K985" s="6"/>
      <c r="L985" s="6" t="s">
        <v>4145</v>
      </c>
      <c r="M985" s="6"/>
      <c r="N985" s="6" t="s">
        <v>4146</v>
      </c>
      <c r="O985" s="6" t="str">
        <f>HYPERLINK("https://ceds.ed.gov/cedselementdetails.aspx?termid=5554")</f>
        <v>https://ceds.ed.gov/cedselementdetails.aspx?termid=5554</v>
      </c>
      <c r="P985" s="6" t="str">
        <f>HYPERLINK("https://ceds.ed.gov/elementComment.aspx?elementName=Migrant Prioritized for Services &amp;elementID=5554", "Click here to submit comment")</f>
        <v>Click here to submit comment</v>
      </c>
    </row>
    <row r="986" spans="1:16" ht="195">
      <c r="A986" s="6" t="s">
        <v>6788</v>
      </c>
      <c r="B986" s="6" t="s">
        <v>6804</v>
      </c>
      <c r="C986" s="6" t="s">
        <v>6815</v>
      </c>
      <c r="D986" s="6" t="s">
        <v>4151</v>
      </c>
      <c r="E986" s="6" t="s">
        <v>4152</v>
      </c>
      <c r="F986" s="6" t="s">
        <v>13</v>
      </c>
      <c r="G986" s="6" t="s">
        <v>1480</v>
      </c>
      <c r="H986" s="6"/>
      <c r="I986" s="6" t="s">
        <v>73</v>
      </c>
      <c r="J986" s="6"/>
      <c r="K986" s="6"/>
      <c r="L986" s="6" t="s">
        <v>4153</v>
      </c>
      <c r="M986" s="6"/>
      <c r="N986" s="6" t="s">
        <v>4154</v>
      </c>
      <c r="O986" s="6" t="str">
        <f>HYPERLINK("https://ceds.ed.gov/cedselementdetails.aspx?termid=5422")</f>
        <v>https://ceds.ed.gov/cedselementdetails.aspx?termid=5422</v>
      </c>
      <c r="P986" s="6" t="str">
        <f>HYPERLINK("https://ceds.ed.gov/elementComment.aspx?elementName=Migrant Student Qualifying Arrival Date &amp;elementID=5422", "Click here to submit comment")</f>
        <v>Click here to submit comment</v>
      </c>
    </row>
    <row r="987" spans="1:16" ht="30">
      <c r="A987" s="6" t="s">
        <v>6788</v>
      </c>
      <c r="B987" s="6" t="s">
        <v>6804</v>
      </c>
      <c r="C987" s="6" t="s">
        <v>6815</v>
      </c>
      <c r="D987" s="6" t="s">
        <v>3432</v>
      </c>
      <c r="E987" s="6" t="s">
        <v>3433</v>
      </c>
      <c r="F987" s="6" t="s">
        <v>13</v>
      </c>
      <c r="G987" s="6" t="s">
        <v>218</v>
      </c>
      <c r="H987" s="6"/>
      <c r="I987" s="6" t="s">
        <v>73</v>
      </c>
      <c r="J987" s="6"/>
      <c r="K987" s="6"/>
      <c r="L987" s="6" t="s">
        <v>3434</v>
      </c>
      <c r="M987" s="6"/>
      <c r="N987" s="6" t="s">
        <v>3435</v>
      </c>
      <c r="O987" s="6" t="str">
        <f>HYPERLINK("https://ceds.ed.gov/cedselementdetails.aspx?termid=5171")</f>
        <v>https://ceds.ed.gov/cedselementdetails.aspx?termid=5171</v>
      </c>
      <c r="P987" s="6" t="str">
        <f>HYPERLINK("https://ceds.ed.gov/elementComment.aspx?elementName=Last Qualifying Move Date &amp;elementID=5171", "Click here to submit comment")</f>
        <v>Click here to submit comment</v>
      </c>
    </row>
    <row r="988" spans="1:16" ht="30">
      <c r="A988" s="6" t="s">
        <v>6788</v>
      </c>
      <c r="B988" s="6" t="s">
        <v>6804</v>
      </c>
      <c r="C988" s="6" t="s">
        <v>6815</v>
      </c>
      <c r="D988" s="6" t="s">
        <v>4903</v>
      </c>
      <c r="E988" s="6" t="s">
        <v>4904</v>
      </c>
      <c r="F988" s="6" t="s">
        <v>13</v>
      </c>
      <c r="G988" s="6" t="s">
        <v>1480</v>
      </c>
      <c r="H988" s="6"/>
      <c r="I988" s="6" t="s">
        <v>100</v>
      </c>
      <c r="J988" s="6"/>
      <c r="K988" s="6"/>
      <c r="L988" s="6" t="s">
        <v>4905</v>
      </c>
      <c r="M988" s="6"/>
      <c r="N988" s="6" t="s">
        <v>4906</v>
      </c>
      <c r="O988" s="6" t="str">
        <f>HYPERLINK("https://ceds.ed.gov/cedselementdetails.aspx?termid=5423")</f>
        <v>https://ceds.ed.gov/cedselementdetails.aspx?termid=5423</v>
      </c>
      <c r="P988" s="6" t="str">
        <f>HYPERLINK("https://ceds.ed.gov/elementComment.aspx?elementName=Qualifying Move From City &amp;elementID=5423", "Click here to submit comment")</f>
        <v>Click here to submit comment</v>
      </c>
    </row>
    <row r="989" spans="1:16" ht="409.5">
      <c r="A989" s="6" t="s">
        <v>6788</v>
      </c>
      <c r="B989" s="6" t="s">
        <v>6804</v>
      </c>
      <c r="C989" s="6" t="s">
        <v>6815</v>
      </c>
      <c r="D989" s="6" t="s">
        <v>4907</v>
      </c>
      <c r="E989" s="6" t="s">
        <v>4908</v>
      </c>
      <c r="F989" s="7" t="s">
        <v>6433</v>
      </c>
      <c r="G989" s="6" t="s">
        <v>1480</v>
      </c>
      <c r="H989" s="6"/>
      <c r="I989" s="6"/>
      <c r="J989" s="6"/>
      <c r="K989" s="6"/>
      <c r="L989" s="6" t="s">
        <v>4909</v>
      </c>
      <c r="M989" s="6"/>
      <c r="N989" s="6" t="s">
        <v>4910</v>
      </c>
      <c r="O989" s="6" t="str">
        <f>HYPERLINK("https://ceds.ed.gov/cedselementdetails.aspx?termid=5424")</f>
        <v>https://ceds.ed.gov/cedselementdetails.aspx?termid=5424</v>
      </c>
      <c r="P989" s="6" t="str">
        <f>HYPERLINK("https://ceds.ed.gov/elementComment.aspx?elementName=Qualifying Move From Country &amp;elementID=5424", "Click here to submit comment")</f>
        <v>Click here to submit comment</v>
      </c>
    </row>
    <row r="990" spans="1:16" ht="409.5">
      <c r="A990" s="6" t="s">
        <v>6788</v>
      </c>
      <c r="B990" s="6" t="s">
        <v>6804</v>
      </c>
      <c r="C990" s="6" t="s">
        <v>6815</v>
      </c>
      <c r="D990" s="6" t="s">
        <v>4911</v>
      </c>
      <c r="E990" s="6" t="s">
        <v>4912</v>
      </c>
      <c r="F990" s="7" t="s">
        <v>6633</v>
      </c>
      <c r="G990" s="6" t="s">
        <v>1480</v>
      </c>
      <c r="H990" s="6"/>
      <c r="I990" s="6"/>
      <c r="J990" s="6"/>
      <c r="K990" s="6"/>
      <c r="L990" s="6" t="s">
        <v>4913</v>
      </c>
      <c r="M990" s="6"/>
      <c r="N990" s="6" t="s">
        <v>4914</v>
      </c>
      <c r="O990" s="6" t="str">
        <f>HYPERLINK("https://ceds.ed.gov/cedselementdetails.aspx?termid=5425")</f>
        <v>https://ceds.ed.gov/cedselementdetails.aspx?termid=5425</v>
      </c>
      <c r="P990" s="6" t="str">
        <f>HYPERLINK("https://ceds.ed.gov/elementComment.aspx?elementName=Qualifying Move From State &amp;elementID=5425", "Click here to submit comment")</f>
        <v>Click here to submit comment</v>
      </c>
    </row>
    <row r="991" spans="1:16" ht="120">
      <c r="A991" s="6" t="s">
        <v>6788</v>
      </c>
      <c r="B991" s="6" t="s">
        <v>6804</v>
      </c>
      <c r="C991" s="6" t="s">
        <v>6815</v>
      </c>
      <c r="D991" s="6" t="s">
        <v>4097</v>
      </c>
      <c r="E991" s="6" t="s">
        <v>4098</v>
      </c>
      <c r="F991" s="6" t="s">
        <v>13</v>
      </c>
      <c r="G991" s="6" t="s">
        <v>1480</v>
      </c>
      <c r="H991" s="6"/>
      <c r="I991" s="6" t="s">
        <v>73</v>
      </c>
      <c r="J991" s="6"/>
      <c r="K991" s="6"/>
      <c r="L991" s="6" t="s">
        <v>4099</v>
      </c>
      <c r="M991" s="6" t="s">
        <v>4100</v>
      </c>
      <c r="N991" s="6" t="s">
        <v>4101</v>
      </c>
      <c r="O991" s="6" t="str">
        <f>HYPERLINK("https://ceds.ed.gov/cedselementdetails.aspx?termid=5420")</f>
        <v>https://ceds.ed.gov/cedselementdetails.aspx?termid=5420</v>
      </c>
      <c r="P991" s="6" t="str">
        <f>HYPERLINK("https://ceds.ed.gov/elementComment.aspx?elementName=Migrant Education Program Eligibility Expiration Date &amp;elementID=5420", "Click here to submit comment")</f>
        <v>Click here to submit comment</v>
      </c>
    </row>
    <row r="992" spans="1:16" ht="60">
      <c r="A992" s="6" t="s">
        <v>6788</v>
      </c>
      <c r="B992" s="6" t="s">
        <v>6804</v>
      </c>
      <c r="C992" s="6" t="s">
        <v>6815</v>
      </c>
      <c r="D992" s="6" t="s">
        <v>2169</v>
      </c>
      <c r="E992" s="6" t="s">
        <v>2170</v>
      </c>
      <c r="F992" s="6" t="s">
        <v>13</v>
      </c>
      <c r="G992" s="6" t="s">
        <v>1480</v>
      </c>
      <c r="H992" s="6"/>
      <c r="I992" s="6" t="s">
        <v>2171</v>
      </c>
      <c r="J992" s="6"/>
      <c r="K992" s="6"/>
      <c r="L992" s="6" t="s">
        <v>2172</v>
      </c>
      <c r="M992" s="6"/>
      <c r="N992" s="6" t="s">
        <v>2173</v>
      </c>
      <c r="O992" s="6" t="str">
        <f>HYPERLINK("https://ceds.ed.gov/cedselementdetails.aspx?termid=5426")</f>
        <v>https://ceds.ed.gov/cedselementdetails.aspx?termid=5426</v>
      </c>
      <c r="P992" s="6" t="str">
        <f>HYPERLINK("https://ceds.ed.gov/elementComment.aspx?elementName=Designated Graduation School Identifier &amp;elementID=5426", "Click here to submit comment")</f>
        <v>Click here to submit comment</v>
      </c>
    </row>
    <row r="993" spans="1:16" ht="30">
      <c r="A993" s="6" t="s">
        <v>6788</v>
      </c>
      <c r="B993" s="6" t="s">
        <v>6804</v>
      </c>
      <c r="C993" s="6" t="s">
        <v>6815</v>
      </c>
      <c r="D993" s="6" t="s">
        <v>1477</v>
      </c>
      <c r="E993" s="6" t="s">
        <v>1478</v>
      </c>
      <c r="F993" s="6" t="s">
        <v>13</v>
      </c>
      <c r="G993" s="6" t="s">
        <v>1480</v>
      </c>
      <c r="H993" s="6"/>
      <c r="I993" s="6" t="s">
        <v>106</v>
      </c>
      <c r="J993" s="6"/>
      <c r="K993" s="6"/>
      <c r="L993" s="6" t="s">
        <v>1481</v>
      </c>
      <c r="M993" s="6"/>
      <c r="N993" s="6" t="s">
        <v>1482</v>
      </c>
      <c r="O993" s="6" t="str">
        <f>HYPERLINK("https://ceds.ed.gov/cedselementdetails.aspx?termid=5418")</f>
        <v>https://ceds.ed.gov/cedselementdetails.aspx?termid=5418</v>
      </c>
      <c r="P993" s="6" t="str">
        <f>HYPERLINK("https://ceds.ed.gov/elementComment.aspx?elementName=Birthdate Verification &amp;elementID=5418", "Click here to submit comment")</f>
        <v>Click here to submit comment</v>
      </c>
    </row>
    <row r="994" spans="1:16" ht="45">
      <c r="A994" s="6" t="s">
        <v>6788</v>
      </c>
      <c r="B994" s="6" t="s">
        <v>6804</v>
      </c>
      <c r="C994" s="6" t="s">
        <v>6815</v>
      </c>
      <c r="D994" s="6" t="s">
        <v>3092</v>
      </c>
      <c r="E994" s="6" t="s">
        <v>3093</v>
      </c>
      <c r="F994" s="6" t="s">
        <v>5963</v>
      </c>
      <c r="G994" s="6" t="s">
        <v>1480</v>
      </c>
      <c r="H994" s="6"/>
      <c r="I994" s="6"/>
      <c r="J994" s="6"/>
      <c r="K994" s="6"/>
      <c r="L994" s="6" t="s">
        <v>3094</v>
      </c>
      <c r="M994" s="6"/>
      <c r="N994" s="6" t="s">
        <v>3095</v>
      </c>
      <c r="O994" s="6" t="str">
        <f>HYPERLINK("https://ceds.ed.gov/cedselementdetails.aspx?termid=5428")</f>
        <v>https://ceds.ed.gov/cedselementdetails.aspx?termid=5428</v>
      </c>
      <c r="P994" s="6" t="str">
        <f>HYPERLINK("https://ceds.ed.gov/elementComment.aspx?elementName=Immunization Record Flag &amp;elementID=5428", "Click here to submit comment")</f>
        <v>Click here to submit comment</v>
      </c>
    </row>
    <row r="995" spans="1:16" ht="45">
      <c r="A995" s="6" t="s">
        <v>6788</v>
      </c>
      <c r="B995" s="6" t="s">
        <v>6804</v>
      </c>
      <c r="C995" s="6" t="s">
        <v>6815</v>
      </c>
      <c r="D995" s="6" t="s">
        <v>4177</v>
      </c>
      <c r="E995" s="6" t="s">
        <v>4178</v>
      </c>
      <c r="F995" s="6" t="s">
        <v>5963</v>
      </c>
      <c r="G995" s="6" t="s">
        <v>1480</v>
      </c>
      <c r="H995" s="6"/>
      <c r="I995" s="6"/>
      <c r="J995" s="6"/>
      <c r="K995" s="6"/>
      <c r="L995" s="6" t="s">
        <v>4179</v>
      </c>
      <c r="M995" s="6"/>
      <c r="N995" s="6" t="s">
        <v>4180</v>
      </c>
      <c r="O995" s="6" t="str">
        <f>HYPERLINK("https://ceds.ed.gov/cedselementdetails.aspx?termid=5421")</f>
        <v>https://ceds.ed.gov/cedselementdetails.aspx?termid=5421</v>
      </c>
      <c r="P995" s="6" t="str">
        <f>HYPERLINK("https://ceds.ed.gov/elementComment.aspx?elementName=Multiple Birth Indicator &amp;elementID=5421", "Click here to submit comment")</f>
        <v>Click here to submit comment</v>
      </c>
    </row>
    <row r="996" spans="1:16" ht="105">
      <c r="A996" s="6" t="s">
        <v>6788</v>
      </c>
      <c r="B996" s="6" t="s">
        <v>6804</v>
      </c>
      <c r="C996" s="6" t="s">
        <v>6816</v>
      </c>
      <c r="D996" s="6" t="s">
        <v>4229</v>
      </c>
      <c r="E996" s="6" t="s">
        <v>4230</v>
      </c>
      <c r="F996" s="6" t="s">
        <v>6180</v>
      </c>
      <c r="G996" s="6" t="s">
        <v>6084</v>
      </c>
      <c r="H996" s="6"/>
      <c r="I996" s="6"/>
      <c r="J996" s="6"/>
      <c r="K996" s="6"/>
      <c r="L996" s="6" t="s">
        <v>4231</v>
      </c>
      <c r="M996" s="6"/>
      <c r="N996" s="6" t="s">
        <v>4232</v>
      </c>
      <c r="O996" s="6" t="str">
        <f>HYPERLINK("https://ceds.ed.gov/cedselementdetails.aspx?termid=5193")</f>
        <v>https://ceds.ed.gov/cedselementdetails.aspx?termid=5193</v>
      </c>
      <c r="P996" s="6" t="str">
        <f>HYPERLINK("https://ceds.ed.gov/elementComment.aspx?elementName=Neglected or Delinquent Status &amp;elementID=5193", "Click here to submit comment")</f>
        <v>Click here to submit comment</v>
      </c>
    </row>
    <row r="997" spans="1:16" ht="45">
      <c r="A997" s="6" t="s">
        <v>6788</v>
      </c>
      <c r="B997" s="6" t="s">
        <v>6804</v>
      </c>
      <c r="C997" s="6" t="s">
        <v>6816</v>
      </c>
      <c r="D997" s="6" t="s">
        <v>4821</v>
      </c>
      <c r="E997" s="6" t="s">
        <v>4822</v>
      </c>
      <c r="F997" s="6" t="s">
        <v>13</v>
      </c>
      <c r="G997" s="6" t="s">
        <v>6051</v>
      </c>
      <c r="H997" s="6"/>
      <c r="I997" s="6" t="s">
        <v>73</v>
      </c>
      <c r="J997" s="6"/>
      <c r="K997" s="6"/>
      <c r="L997" s="6" t="s">
        <v>4823</v>
      </c>
      <c r="M997" s="6"/>
      <c r="N997" s="6" t="s">
        <v>4824</v>
      </c>
      <c r="O997" s="6" t="str">
        <f>HYPERLINK("https://ceds.ed.gov/cedselementdetails.aspx?termid=5583")</f>
        <v>https://ceds.ed.gov/cedselementdetails.aspx?termid=5583</v>
      </c>
      <c r="P997" s="6" t="str">
        <f>HYPERLINK("https://ceds.ed.gov/elementComment.aspx?elementName=Program Participation Start Date &amp;elementID=5583", "Click here to submit comment")</f>
        <v>Click here to submit comment</v>
      </c>
    </row>
    <row r="998" spans="1:16" ht="45">
      <c r="A998" s="6" t="s">
        <v>6788</v>
      </c>
      <c r="B998" s="6" t="s">
        <v>6804</v>
      </c>
      <c r="C998" s="6" t="s">
        <v>6816</v>
      </c>
      <c r="D998" s="6" t="s">
        <v>4817</v>
      </c>
      <c r="E998" s="6" t="s">
        <v>4818</v>
      </c>
      <c r="F998" s="6" t="s">
        <v>13</v>
      </c>
      <c r="G998" s="6" t="s">
        <v>218</v>
      </c>
      <c r="H998" s="6"/>
      <c r="I998" s="6" t="s">
        <v>73</v>
      </c>
      <c r="J998" s="6"/>
      <c r="K998" s="6"/>
      <c r="L998" s="6" t="s">
        <v>4819</v>
      </c>
      <c r="M998" s="6"/>
      <c r="N998" s="6" t="s">
        <v>4820</v>
      </c>
      <c r="O998" s="6" t="str">
        <f>HYPERLINK("https://ceds.ed.gov/cedselementdetails.aspx?termid=5584")</f>
        <v>https://ceds.ed.gov/cedselementdetails.aspx?termid=5584</v>
      </c>
      <c r="P998" s="6" t="str">
        <f>HYPERLINK("https://ceds.ed.gov/elementComment.aspx?elementName=Program Participation Exit Date &amp;elementID=5584", "Click here to submit comment")</f>
        <v>Click here to submit comment</v>
      </c>
    </row>
    <row r="999" spans="1:16" ht="180">
      <c r="A999" s="6" t="s">
        <v>6788</v>
      </c>
      <c r="B999" s="6" t="s">
        <v>6804</v>
      </c>
      <c r="C999" s="6" t="s">
        <v>6816</v>
      </c>
      <c r="D999" s="6" t="s">
        <v>4211</v>
      </c>
      <c r="E999" s="6" t="s">
        <v>4212</v>
      </c>
      <c r="F999" s="6" t="s">
        <v>5963</v>
      </c>
      <c r="G999" s="6" t="s">
        <v>218</v>
      </c>
      <c r="H999" s="6"/>
      <c r="I999" s="6"/>
      <c r="J999" s="6"/>
      <c r="K999" s="6" t="s">
        <v>4214</v>
      </c>
      <c r="L999" s="6" t="s">
        <v>4215</v>
      </c>
      <c r="M999" s="6"/>
      <c r="N999" s="6" t="s">
        <v>4216</v>
      </c>
      <c r="O999" s="6" t="str">
        <f>HYPERLINK("https://ceds.ed.gov/cedselementdetails.aspx?termid=5636")</f>
        <v>https://ceds.ed.gov/cedselementdetails.aspx?termid=5636</v>
      </c>
      <c r="P999" s="6" t="str">
        <f>HYPERLINK("https://ceds.ed.gov/elementComment.aspx?elementName=Neglected or Delinquent Academic Achievement Indicator &amp;elementID=5636", "Click here to submit comment")</f>
        <v>Click here to submit comment</v>
      </c>
    </row>
    <row r="1000" spans="1:16" ht="180">
      <c r="A1000" s="6" t="s">
        <v>6788</v>
      </c>
      <c r="B1000" s="6" t="s">
        <v>6804</v>
      </c>
      <c r="C1000" s="6" t="s">
        <v>6816</v>
      </c>
      <c r="D1000" s="6" t="s">
        <v>4217</v>
      </c>
      <c r="E1000" s="6" t="s">
        <v>4218</v>
      </c>
      <c r="F1000" s="6" t="s">
        <v>5963</v>
      </c>
      <c r="G1000" s="6" t="s">
        <v>218</v>
      </c>
      <c r="H1000" s="6"/>
      <c r="I1000" s="6"/>
      <c r="J1000" s="6"/>
      <c r="K1000" s="6" t="s">
        <v>4214</v>
      </c>
      <c r="L1000" s="6" t="s">
        <v>4219</v>
      </c>
      <c r="M1000" s="6"/>
      <c r="N1000" s="6" t="s">
        <v>4220</v>
      </c>
      <c r="O1000" s="6" t="str">
        <f>HYPERLINK("https://ceds.ed.gov/cedselementdetails.aspx?termid=5638")</f>
        <v>https://ceds.ed.gov/cedselementdetails.aspx?termid=5638</v>
      </c>
      <c r="P1000" s="6" t="str">
        <f>HYPERLINK("https://ceds.ed.gov/elementComment.aspx?elementName=Neglected or Delinquent Academic Outcome Indicator &amp;elementID=5638", "Click here to submit comment")</f>
        <v>Click here to submit comment</v>
      </c>
    </row>
    <row r="1001" spans="1:16" ht="60">
      <c r="A1001" s="6" t="s">
        <v>6788</v>
      </c>
      <c r="B1001" s="6" t="s">
        <v>6804</v>
      </c>
      <c r="C1001" s="6" t="s">
        <v>6816</v>
      </c>
      <c r="D1001" s="6" t="s">
        <v>4221</v>
      </c>
      <c r="E1001" s="6" t="s">
        <v>4222</v>
      </c>
      <c r="F1001" s="6" t="s">
        <v>5963</v>
      </c>
      <c r="G1001" s="6" t="s">
        <v>207</v>
      </c>
      <c r="H1001" s="6"/>
      <c r="I1001" s="6"/>
      <c r="J1001" s="6"/>
      <c r="K1001" s="6"/>
      <c r="L1001" s="6" t="s">
        <v>4223</v>
      </c>
      <c r="M1001" s="6"/>
      <c r="N1001" s="6" t="s">
        <v>4224</v>
      </c>
      <c r="O1001" s="6" t="str">
        <f>HYPERLINK("https://ceds.ed.gov/cedselementdetails.aspx?termid=5475")</f>
        <v>https://ceds.ed.gov/cedselementdetails.aspx?termid=5475</v>
      </c>
      <c r="P1001" s="6" t="str">
        <f>HYPERLINK("https://ceds.ed.gov/elementComment.aspx?elementName=Neglected or Delinquent Obtained Employment &amp;elementID=5475", "Click here to submit comment")</f>
        <v>Click here to submit comment</v>
      </c>
    </row>
    <row r="1002" spans="1:16" ht="195">
      <c r="A1002" s="6" t="s">
        <v>6788</v>
      </c>
      <c r="B1002" s="6" t="s">
        <v>6804</v>
      </c>
      <c r="C1002" s="6" t="s">
        <v>6816</v>
      </c>
      <c r="D1002" s="6" t="s">
        <v>4225</v>
      </c>
      <c r="E1002" s="6" t="s">
        <v>4226</v>
      </c>
      <c r="F1002" s="7" t="s">
        <v>6590</v>
      </c>
      <c r="G1002" s="6" t="s">
        <v>218</v>
      </c>
      <c r="H1002" s="6"/>
      <c r="I1002" s="6"/>
      <c r="J1002" s="6"/>
      <c r="K1002" s="6"/>
      <c r="L1002" s="6" t="s">
        <v>4227</v>
      </c>
      <c r="M1002" s="6"/>
      <c r="N1002" s="6" t="s">
        <v>4228</v>
      </c>
      <c r="O1002" s="6" t="str">
        <f>HYPERLINK("https://ceds.ed.gov/cedselementdetails.aspx?termid=5194")</f>
        <v>https://ceds.ed.gov/cedselementdetails.aspx?termid=5194</v>
      </c>
      <c r="P1002" s="6" t="str">
        <f>HYPERLINK("https://ceds.ed.gov/elementComment.aspx?elementName=Neglected or Delinquent Program Type &amp;elementID=5194", "Click here to submit comment")</f>
        <v>Click here to submit comment</v>
      </c>
    </row>
    <row r="1003" spans="1:16" ht="409.5">
      <c r="A1003" s="6" t="s">
        <v>6788</v>
      </c>
      <c r="B1003" s="6" t="s">
        <v>6804</v>
      </c>
      <c r="C1003" s="6" t="s">
        <v>6817</v>
      </c>
      <c r="D1003" s="6" t="s">
        <v>4856</v>
      </c>
      <c r="E1003" s="6" t="s">
        <v>4857</v>
      </c>
      <c r="F1003" s="7" t="s">
        <v>6626</v>
      </c>
      <c r="G1003" s="6" t="s">
        <v>5968</v>
      </c>
      <c r="H1003" s="6" t="s">
        <v>66</v>
      </c>
      <c r="I1003" s="6"/>
      <c r="J1003" s="6" t="s">
        <v>4858</v>
      </c>
      <c r="K1003" s="6"/>
      <c r="L1003" s="6" t="s">
        <v>4859</v>
      </c>
      <c r="M1003" s="6"/>
      <c r="N1003" s="6" t="s">
        <v>4860</v>
      </c>
      <c r="O1003" s="6" t="str">
        <f>HYPERLINK("https://ceds.ed.gov/cedselementdetails.aspx?termid=5225")</f>
        <v>https://ceds.ed.gov/cedselementdetails.aspx?termid=5225</v>
      </c>
      <c r="P1003" s="6" t="str">
        <f>HYPERLINK("https://ceds.ed.gov/elementComment.aspx?elementName=Program Type &amp;elementID=5225", "Click here to submit comment")</f>
        <v>Click here to submit comment</v>
      </c>
    </row>
    <row r="1004" spans="1:16" ht="195">
      <c r="A1004" s="6" t="s">
        <v>6788</v>
      </c>
      <c r="B1004" s="6" t="s">
        <v>6804</v>
      </c>
      <c r="C1004" s="6" t="s">
        <v>6817</v>
      </c>
      <c r="D1004" s="6" t="s">
        <v>4825</v>
      </c>
      <c r="E1004" s="6" t="s">
        <v>4826</v>
      </c>
      <c r="F1004" s="7" t="s">
        <v>6624</v>
      </c>
      <c r="G1004" s="6"/>
      <c r="H1004" s="6"/>
      <c r="I1004" s="6"/>
      <c r="J1004" s="6"/>
      <c r="K1004" s="6"/>
      <c r="L1004" s="6" t="s">
        <v>4828</v>
      </c>
      <c r="M1004" s="6"/>
      <c r="N1004" s="6" t="s">
        <v>4829</v>
      </c>
      <c r="O1004" s="6" t="str">
        <f>HYPERLINK("https://ceds.ed.gov/cedselementdetails.aspx?termid=6209")</f>
        <v>https://ceds.ed.gov/cedselementdetails.aspx?termid=6209</v>
      </c>
      <c r="P1004" s="6" t="str">
        <f>HYPERLINK("https://ceds.ed.gov/elementComment.aspx?elementName=Program Participation Status &amp;elementID=6209", "Click here to submit comment")</f>
        <v>Click here to submit comment</v>
      </c>
    </row>
    <row r="1005" spans="1:16" ht="45">
      <c r="A1005" s="6" t="s">
        <v>6788</v>
      </c>
      <c r="B1005" s="6" t="s">
        <v>6804</v>
      </c>
      <c r="C1005" s="6" t="s">
        <v>6817</v>
      </c>
      <c r="D1005" s="6" t="s">
        <v>4821</v>
      </c>
      <c r="E1005" s="6" t="s">
        <v>4822</v>
      </c>
      <c r="F1005" s="6" t="s">
        <v>13</v>
      </c>
      <c r="G1005" s="6" t="s">
        <v>6051</v>
      </c>
      <c r="H1005" s="6"/>
      <c r="I1005" s="6" t="s">
        <v>73</v>
      </c>
      <c r="J1005" s="6"/>
      <c r="K1005" s="6"/>
      <c r="L1005" s="6" t="s">
        <v>4823</v>
      </c>
      <c r="M1005" s="6"/>
      <c r="N1005" s="6" t="s">
        <v>4824</v>
      </c>
      <c r="O1005" s="6" t="str">
        <f>HYPERLINK("https://ceds.ed.gov/cedselementdetails.aspx?termid=5583")</f>
        <v>https://ceds.ed.gov/cedselementdetails.aspx?termid=5583</v>
      </c>
      <c r="P1005" s="6" t="str">
        <f>HYPERLINK("https://ceds.ed.gov/elementComment.aspx?elementName=Program Participation Start Date &amp;elementID=5583", "Click here to submit comment")</f>
        <v>Click here to submit comment</v>
      </c>
    </row>
    <row r="1006" spans="1:16" ht="45">
      <c r="A1006" s="6" t="s">
        <v>6788</v>
      </c>
      <c r="B1006" s="6" t="s">
        <v>6804</v>
      </c>
      <c r="C1006" s="6" t="s">
        <v>6817</v>
      </c>
      <c r="D1006" s="6" t="s">
        <v>4817</v>
      </c>
      <c r="E1006" s="6" t="s">
        <v>4818</v>
      </c>
      <c r="F1006" s="6" t="s">
        <v>13</v>
      </c>
      <c r="G1006" s="6" t="s">
        <v>218</v>
      </c>
      <c r="H1006" s="6"/>
      <c r="I1006" s="6" t="s">
        <v>73</v>
      </c>
      <c r="J1006" s="6"/>
      <c r="K1006" s="6"/>
      <c r="L1006" s="6" t="s">
        <v>4819</v>
      </c>
      <c r="M1006" s="6"/>
      <c r="N1006" s="6" t="s">
        <v>4820</v>
      </c>
      <c r="O1006" s="6" t="str">
        <f>HYPERLINK("https://ceds.ed.gov/cedselementdetails.aspx?termid=5584")</f>
        <v>https://ceds.ed.gov/cedselementdetails.aspx?termid=5584</v>
      </c>
      <c r="P1006" s="6" t="str">
        <f>HYPERLINK("https://ceds.ed.gov/elementComment.aspx?elementName=Program Participation Exit Date &amp;elementID=5584", "Click here to submit comment")</f>
        <v>Click here to submit comment</v>
      </c>
    </row>
    <row r="1007" spans="1:16" ht="409.5">
      <c r="A1007" s="6" t="s">
        <v>6788</v>
      </c>
      <c r="B1007" s="6" t="s">
        <v>6804</v>
      </c>
      <c r="C1007" s="6" t="s">
        <v>6817</v>
      </c>
      <c r="D1007" s="6" t="s">
        <v>2594</v>
      </c>
      <c r="E1007" s="6" t="s">
        <v>2595</v>
      </c>
      <c r="F1007" s="7" t="s">
        <v>6502</v>
      </c>
      <c r="G1007" s="6"/>
      <c r="H1007" s="6" t="s">
        <v>3</v>
      </c>
      <c r="I1007" s="6"/>
      <c r="J1007" s="6"/>
      <c r="K1007" s="6"/>
      <c r="L1007" s="6" t="s">
        <v>2596</v>
      </c>
      <c r="M1007" s="6"/>
      <c r="N1007" s="6" t="s">
        <v>2597</v>
      </c>
      <c r="O1007" s="6" t="str">
        <f>HYPERLINK("https://ceds.ed.gov/cedselementdetails.aspx?termid=5222")</f>
        <v>https://ceds.ed.gov/cedselementdetails.aspx?termid=5222</v>
      </c>
      <c r="P1007" s="6" t="str">
        <f>HYPERLINK("https://ceds.ed.gov/elementComment.aspx?elementName=Exit Reason &amp;elementID=5222", "Click here to submit comment")</f>
        <v>Click here to submit comment</v>
      </c>
    </row>
    <row r="1008" spans="1:16" ht="60">
      <c r="A1008" s="6" t="s">
        <v>6788</v>
      </c>
      <c r="B1008" s="6" t="s">
        <v>6804</v>
      </c>
      <c r="C1008" s="6" t="s">
        <v>6817</v>
      </c>
      <c r="D1008" s="6" t="s">
        <v>4797</v>
      </c>
      <c r="E1008" s="6" t="s">
        <v>4798</v>
      </c>
      <c r="F1008" s="6" t="s">
        <v>13</v>
      </c>
      <c r="G1008" s="6"/>
      <c r="H1008" s="6" t="s">
        <v>3</v>
      </c>
      <c r="I1008" s="6" t="s">
        <v>100</v>
      </c>
      <c r="J1008" s="6"/>
      <c r="K1008" s="6"/>
      <c r="L1008" s="6" t="s">
        <v>4799</v>
      </c>
      <c r="M1008" s="6"/>
      <c r="N1008" s="6" t="s">
        <v>4800</v>
      </c>
      <c r="O1008" s="6" t="str">
        <f>HYPERLINK("https://ceds.ed.gov/cedselementdetails.aspx?termid=5618")</f>
        <v>https://ceds.ed.gov/cedselementdetails.aspx?termid=5618</v>
      </c>
      <c r="P1008" s="6" t="str">
        <f>HYPERLINK("https://ceds.ed.gov/elementComment.aspx?elementName=Program Identifier &amp;elementID=5618", "Click here to submit comment")</f>
        <v>Click here to submit comment</v>
      </c>
    </row>
    <row r="1009" spans="1:16" ht="60">
      <c r="A1009" s="6" t="s">
        <v>6788</v>
      </c>
      <c r="B1009" s="6" t="s">
        <v>6804</v>
      </c>
      <c r="C1009" s="6" t="s">
        <v>6817</v>
      </c>
      <c r="D1009" s="6" t="s">
        <v>4813</v>
      </c>
      <c r="E1009" s="6" t="s">
        <v>4814</v>
      </c>
      <c r="F1009" s="6" t="s">
        <v>13</v>
      </c>
      <c r="G1009" s="6"/>
      <c r="H1009" s="6" t="s">
        <v>3</v>
      </c>
      <c r="I1009" s="6" t="s">
        <v>106</v>
      </c>
      <c r="J1009" s="6"/>
      <c r="K1009" s="6"/>
      <c r="L1009" s="6" t="s">
        <v>4815</v>
      </c>
      <c r="M1009" s="6"/>
      <c r="N1009" s="6" t="s">
        <v>4816</v>
      </c>
      <c r="O1009" s="6" t="str">
        <f>HYPERLINK("https://ceds.ed.gov/cedselementdetails.aspx?termid=5619")</f>
        <v>https://ceds.ed.gov/cedselementdetails.aspx?termid=5619</v>
      </c>
      <c r="P1009" s="6" t="str">
        <f>HYPERLINK("https://ceds.ed.gov/elementComment.aspx?elementName=Program Name &amp;elementID=5619", "Click here to submit comment")</f>
        <v>Click here to submit comment</v>
      </c>
    </row>
    <row r="1010" spans="1:16" ht="345">
      <c r="A1010" s="6" t="s">
        <v>6788</v>
      </c>
      <c r="B1010" s="6" t="s">
        <v>6804</v>
      </c>
      <c r="C1010" s="6" t="s">
        <v>6817</v>
      </c>
      <c r="D1010" s="6" t="s">
        <v>5928</v>
      </c>
      <c r="E1010" s="6" t="s">
        <v>5929</v>
      </c>
      <c r="F1010" s="7" t="s">
        <v>6695</v>
      </c>
      <c r="G1010" s="6"/>
      <c r="H1010" s="6" t="s">
        <v>54</v>
      </c>
      <c r="I1010" s="6"/>
      <c r="J1010" s="6"/>
      <c r="K1010" s="6"/>
      <c r="L1010" s="6" t="s">
        <v>5930</v>
      </c>
      <c r="M1010" s="6"/>
      <c r="N1010" s="6" t="s">
        <v>5931</v>
      </c>
      <c r="O1010" s="6" t="str">
        <f>HYPERLINK("https://ceds.ed.gov/cedselementdetails.aspx?termid=6471")</f>
        <v>https://ceds.ed.gov/cedselementdetails.aspx?termid=6471</v>
      </c>
      <c r="P1010" s="6" t="str">
        <f>HYPERLINK("https://ceds.ed.gov/elementComment.aspx?elementName=Work-based Learning Opportunity Type &amp;elementID=6471", "Click here to submit comment")</f>
        <v>Click here to submit comment</v>
      </c>
    </row>
    <row r="1011" spans="1:16" ht="90">
      <c r="A1011" s="6" t="s">
        <v>6788</v>
      </c>
      <c r="B1011" s="6" t="s">
        <v>6804</v>
      </c>
      <c r="C1011" s="6" t="s">
        <v>6734</v>
      </c>
      <c r="D1011" s="6" t="s">
        <v>5411</v>
      </c>
      <c r="E1011" s="6" t="s">
        <v>5412</v>
      </c>
      <c r="F1011" s="6" t="s">
        <v>13</v>
      </c>
      <c r="G1011" s="6"/>
      <c r="H1011" s="6"/>
      <c r="I1011" s="6" t="s">
        <v>5413</v>
      </c>
      <c r="J1011" s="6"/>
      <c r="K1011" s="6"/>
      <c r="L1011" s="6" t="s">
        <v>5414</v>
      </c>
      <c r="M1011" s="6" t="s">
        <v>5415</v>
      </c>
      <c r="N1011" s="6" t="s">
        <v>5416</v>
      </c>
      <c r="O1011" s="6" t="str">
        <f>HYPERLINK("https://ceds.ed.gov/cedselementdetails.aspx?termid=6208")</f>
        <v>https://ceds.ed.gov/cedselementdetails.aspx?termid=6208</v>
      </c>
      <c r="P1011" s="6" t="str">
        <f>HYPERLINK("https://ceds.ed.gov/elementComment.aspx?elementName=Special Education Full Time Equivalency &amp;elementID=6208", "Click here to submit comment")</f>
        <v>Click here to submit comment</v>
      </c>
    </row>
    <row r="1012" spans="1:16" ht="45">
      <c r="A1012" s="6" t="s">
        <v>6788</v>
      </c>
      <c r="B1012" s="6" t="s">
        <v>6804</v>
      </c>
      <c r="C1012" s="6" t="s">
        <v>6734</v>
      </c>
      <c r="D1012" s="6" t="s">
        <v>4821</v>
      </c>
      <c r="E1012" s="6" t="s">
        <v>4822</v>
      </c>
      <c r="F1012" s="6" t="s">
        <v>13</v>
      </c>
      <c r="G1012" s="6" t="s">
        <v>6051</v>
      </c>
      <c r="H1012" s="6"/>
      <c r="I1012" s="6" t="s">
        <v>73</v>
      </c>
      <c r="J1012" s="6"/>
      <c r="K1012" s="6"/>
      <c r="L1012" s="6" t="s">
        <v>4823</v>
      </c>
      <c r="M1012" s="6"/>
      <c r="N1012" s="6" t="s">
        <v>4824</v>
      </c>
      <c r="O1012" s="6" t="str">
        <f>HYPERLINK("https://ceds.ed.gov/cedselementdetails.aspx?termid=5583")</f>
        <v>https://ceds.ed.gov/cedselementdetails.aspx?termid=5583</v>
      </c>
      <c r="P1012" s="6" t="str">
        <f>HYPERLINK("https://ceds.ed.gov/elementComment.aspx?elementName=Program Participation Start Date &amp;elementID=5583", "Click here to submit comment")</f>
        <v>Click here to submit comment</v>
      </c>
    </row>
    <row r="1013" spans="1:16" ht="45">
      <c r="A1013" s="6" t="s">
        <v>6788</v>
      </c>
      <c r="B1013" s="6" t="s">
        <v>6804</v>
      </c>
      <c r="C1013" s="6" t="s">
        <v>6734</v>
      </c>
      <c r="D1013" s="6" t="s">
        <v>4817</v>
      </c>
      <c r="E1013" s="6" t="s">
        <v>4818</v>
      </c>
      <c r="F1013" s="6" t="s">
        <v>13</v>
      </c>
      <c r="G1013" s="6" t="s">
        <v>218</v>
      </c>
      <c r="H1013" s="6"/>
      <c r="I1013" s="6" t="s">
        <v>73</v>
      </c>
      <c r="J1013" s="6"/>
      <c r="K1013" s="6"/>
      <c r="L1013" s="6" t="s">
        <v>4819</v>
      </c>
      <c r="M1013" s="6"/>
      <c r="N1013" s="6" t="s">
        <v>4820</v>
      </c>
      <c r="O1013" s="6" t="str">
        <f>HYPERLINK("https://ceds.ed.gov/cedselementdetails.aspx?termid=5584")</f>
        <v>https://ceds.ed.gov/cedselementdetails.aspx?termid=5584</v>
      </c>
      <c r="P1013" s="6" t="str">
        <f>HYPERLINK("https://ceds.ed.gov/elementComment.aspx?elementName=Program Participation Exit Date &amp;elementID=5584", "Click here to submit comment")</f>
        <v>Click here to submit comment</v>
      </c>
    </row>
    <row r="1014" spans="1:16" ht="409.5">
      <c r="A1014" s="6" t="s">
        <v>6788</v>
      </c>
      <c r="B1014" s="6" t="s">
        <v>6804</v>
      </c>
      <c r="C1014" s="6" t="s">
        <v>6734</v>
      </c>
      <c r="D1014" s="6" t="s">
        <v>5406</v>
      </c>
      <c r="E1014" s="6" t="s">
        <v>5407</v>
      </c>
      <c r="F1014" s="7" t="s">
        <v>6660</v>
      </c>
      <c r="G1014" s="6" t="s">
        <v>218</v>
      </c>
      <c r="H1014" s="6" t="s">
        <v>66</v>
      </c>
      <c r="I1014" s="6"/>
      <c r="J1014" s="6" t="s">
        <v>5408</v>
      </c>
      <c r="K1014" s="6"/>
      <c r="L1014" s="6" t="s">
        <v>5409</v>
      </c>
      <c r="M1014" s="6"/>
      <c r="N1014" s="6" t="s">
        <v>5410</v>
      </c>
      <c r="O1014" s="6" t="str">
        <f>HYPERLINK("https://ceds.ed.gov/cedselementdetails.aspx?termid=5260")</f>
        <v>https://ceds.ed.gov/cedselementdetails.aspx?termid=5260</v>
      </c>
      <c r="P1014" s="6" t="str">
        <f>HYPERLINK("https://ceds.ed.gov/elementComment.aspx?elementName=Special Education Exit Reason &amp;elementID=5260", "Click here to submit comment")</f>
        <v>Click here to submit comment</v>
      </c>
    </row>
    <row r="1015" spans="1:16" ht="45">
      <c r="A1015" s="6" t="s">
        <v>6788</v>
      </c>
      <c r="B1015" s="6" t="s">
        <v>6804</v>
      </c>
      <c r="C1015" s="6" t="s">
        <v>6734</v>
      </c>
      <c r="D1015" s="6" t="s">
        <v>5425</v>
      </c>
      <c r="E1015" s="6" t="s">
        <v>5426</v>
      </c>
      <c r="F1015" s="6" t="s">
        <v>13</v>
      </c>
      <c r="G1015" s="6" t="s">
        <v>218</v>
      </c>
      <c r="H1015" s="6"/>
      <c r="I1015" s="6" t="s">
        <v>73</v>
      </c>
      <c r="J1015" s="6"/>
      <c r="K1015" s="6"/>
      <c r="L1015" s="6" t="s">
        <v>5428</v>
      </c>
      <c r="M1015" s="6"/>
      <c r="N1015" s="6" t="s">
        <v>5429</v>
      </c>
      <c r="O1015" s="6" t="str">
        <f>HYPERLINK("https://ceds.ed.gov/cedselementdetails.aspx?termid=5263")</f>
        <v>https://ceds.ed.gov/cedselementdetails.aspx?termid=5263</v>
      </c>
      <c r="P1015" s="6" t="str">
        <f>HYPERLINK("https://ceds.ed.gov/elementComment.aspx?elementName=Special Education Services Exit Date &amp;elementID=5263", "Click here to submit comment")</f>
        <v>Click here to submit comment</v>
      </c>
    </row>
    <row r="1016" spans="1:16" ht="150">
      <c r="A1016" s="6" t="s">
        <v>6788</v>
      </c>
      <c r="B1016" s="6" t="s">
        <v>6804</v>
      </c>
      <c r="C1016" s="6" t="s">
        <v>6818</v>
      </c>
      <c r="D1016" s="6" t="s">
        <v>5752</v>
      </c>
      <c r="E1016" s="6" t="s">
        <v>5753</v>
      </c>
      <c r="F1016" s="7" t="s">
        <v>6676</v>
      </c>
      <c r="G1016" s="6" t="s">
        <v>5968</v>
      </c>
      <c r="H1016" s="6"/>
      <c r="I1016" s="6"/>
      <c r="J1016" s="6"/>
      <c r="K1016" s="6"/>
      <c r="L1016" s="6" t="s">
        <v>5754</v>
      </c>
      <c r="M1016" s="6"/>
      <c r="N1016" s="6" t="s">
        <v>5755</v>
      </c>
      <c r="O1016" s="6" t="str">
        <f>HYPERLINK("https://ceds.ed.gov/cedselementdetails.aspx?termid=5281")</f>
        <v>https://ceds.ed.gov/cedselementdetails.aspx?termid=5281</v>
      </c>
      <c r="P1016" s="6" t="str">
        <f>HYPERLINK("https://ceds.ed.gov/elementComment.aspx?elementName=Title I Indicator &amp;elementID=5281", "Click here to submit comment")</f>
        <v>Click here to submit comment</v>
      </c>
    </row>
    <row r="1017" spans="1:16" ht="45">
      <c r="A1017" s="6" t="s">
        <v>6788</v>
      </c>
      <c r="B1017" s="6" t="s">
        <v>6804</v>
      </c>
      <c r="C1017" s="6" t="s">
        <v>6818</v>
      </c>
      <c r="D1017" s="6" t="s">
        <v>4821</v>
      </c>
      <c r="E1017" s="6" t="s">
        <v>4822</v>
      </c>
      <c r="F1017" s="6" t="s">
        <v>13</v>
      </c>
      <c r="G1017" s="6" t="s">
        <v>6051</v>
      </c>
      <c r="H1017" s="6"/>
      <c r="I1017" s="6" t="s">
        <v>73</v>
      </c>
      <c r="J1017" s="6"/>
      <c r="K1017" s="6"/>
      <c r="L1017" s="6" t="s">
        <v>4823</v>
      </c>
      <c r="M1017" s="6"/>
      <c r="N1017" s="6" t="s">
        <v>4824</v>
      </c>
      <c r="O1017" s="6" t="str">
        <f>HYPERLINK("https://ceds.ed.gov/cedselementdetails.aspx?termid=5583")</f>
        <v>https://ceds.ed.gov/cedselementdetails.aspx?termid=5583</v>
      </c>
      <c r="P1017" s="6" t="str">
        <f>HYPERLINK("https://ceds.ed.gov/elementComment.aspx?elementName=Program Participation Start Date &amp;elementID=5583", "Click here to submit comment")</f>
        <v>Click here to submit comment</v>
      </c>
    </row>
    <row r="1018" spans="1:16" ht="45">
      <c r="A1018" s="6" t="s">
        <v>6788</v>
      </c>
      <c r="B1018" s="6" t="s">
        <v>6804</v>
      </c>
      <c r="C1018" s="6" t="s">
        <v>6818</v>
      </c>
      <c r="D1018" s="6" t="s">
        <v>4817</v>
      </c>
      <c r="E1018" s="6" t="s">
        <v>4818</v>
      </c>
      <c r="F1018" s="6" t="s">
        <v>13</v>
      </c>
      <c r="G1018" s="6" t="s">
        <v>218</v>
      </c>
      <c r="H1018" s="6"/>
      <c r="I1018" s="6" t="s">
        <v>73</v>
      </c>
      <c r="J1018" s="6"/>
      <c r="K1018" s="6"/>
      <c r="L1018" s="6" t="s">
        <v>4819</v>
      </c>
      <c r="M1018" s="6"/>
      <c r="N1018" s="6" t="s">
        <v>4820</v>
      </c>
      <c r="O1018" s="6" t="str">
        <f>HYPERLINK("https://ceds.ed.gov/cedselementdetails.aspx?termid=5584")</f>
        <v>https://ceds.ed.gov/cedselementdetails.aspx?termid=5584</v>
      </c>
      <c r="P1018" s="6" t="str">
        <f>HYPERLINK("https://ceds.ed.gov/elementComment.aspx?elementName=Program Participation Exit Date &amp;elementID=5584", "Click here to submit comment")</f>
        <v>Click here to submit comment</v>
      </c>
    </row>
    <row r="1019" spans="1:16" ht="105">
      <c r="A1019" s="6" t="s">
        <v>6788</v>
      </c>
      <c r="B1019" s="6" t="s">
        <v>6804</v>
      </c>
      <c r="C1019" s="6" t="s">
        <v>6818</v>
      </c>
      <c r="D1019" s="6" t="s">
        <v>5172</v>
      </c>
      <c r="E1019" s="6" t="s">
        <v>5173</v>
      </c>
      <c r="F1019" s="6" t="s">
        <v>5963</v>
      </c>
      <c r="G1019" s="6" t="s">
        <v>218</v>
      </c>
      <c r="H1019" s="6"/>
      <c r="I1019" s="6"/>
      <c r="J1019" s="6"/>
      <c r="K1019" s="6"/>
      <c r="L1019" s="6" t="s">
        <v>5175</v>
      </c>
      <c r="M1019" s="6"/>
      <c r="N1019" s="6" t="s">
        <v>5176</v>
      </c>
      <c r="O1019" s="6" t="str">
        <f>HYPERLINK("https://ceds.ed.gov/cedselementdetails.aspx?termid=5235")</f>
        <v>https://ceds.ed.gov/cedselementdetails.aspx?termid=5235</v>
      </c>
      <c r="P1019" s="6" t="str">
        <f>HYPERLINK("https://ceds.ed.gov/elementComment.aspx?elementName=School Choice Applied for Transfer Status &amp;elementID=5235", "Click here to submit comment")</f>
        <v>Click here to submit comment</v>
      </c>
    </row>
    <row r="1020" spans="1:16" ht="165">
      <c r="A1020" s="6" t="s">
        <v>6788</v>
      </c>
      <c r="B1020" s="6" t="s">
        <v>6804</v>
      </c>
      <c r="C1020" s="6" t="s">
        <v>6818</v>
      </c>
      <c r="D1020" s="6" t="s">
        <v>5177</v>
      </c>
      <c r="E1020" s="6" t="s">
        <v>5178</v>
      </c>
      <c r="F1020" s="6" t="s">
        <v>5963</v>
      </c>
      <c r="G1020" s="6" t="s">
        <v>218</v>
      </c>
      <c r="H1020" s="6"/>
      <c r="I1020" s="6"/>
      <c r="J1020" s="6"/>
      <c r="K1020" s="6" t="s">
        <v>5179</v>
      </c>
      <c r="L1020" s="6" t="s">
        <v>5180</v>
      </c>
      <c r="M1020" s="6"/>
      <c r="N1020" s="6" t="s">
        <v>5181</v>
      </c>
      <c r="O1020" s="6" t="str">
        <f>HYPERLINK("https://ceds.ed.gov/cedselementdetails.aspx?termid=5236")</f>
        <v>https://ceds.ed.gov/cedselementdetails.aspx?termid=5236</v>
      </c>
      <c r="P1020" s="6" t="str">
        <f>HYPERLINK("https://ceds.ed.gov/elementComment.aspx?elementName=School Choice Eligible for Transfer Status &amp;elementID=5236", "Click here to submit comment")</f>
        <v>Click here to submit comment</v>
      </c>
    </row>
    <row r="1021" spans="1:16" ht="90">
      <c r="A1021" s="6" t="s">
        <v>6788</v>
      </c>
      <c r="B1021" s="6" t="s">
        <v>6804</v>
      </c>
      <c r="C1021" s="6" t="s">
        <v>6818</v>
      </c>
      <c r="D1021" s="6" t="s">
        <v>5182</v>
      </c>
      <c r="E1021" s="6" t="s">
        <v>5183</v>
      </c>
      <c r="F1021" s="6" t="s">
        <v>5963</v>
      </c>
      <c r="G1021" s="6" t="s">
        <v>5968</v>
      </c>
      <c r="H1021" s="6"/>
      <c r="I1021" s="6"/>
      <c r="J1021" s="6"/>
      <c r="K1021" s="6"/>
      <c r="L1021" s="6" t="s">
        <v>5184</v>
      </c>
      <c r="M1021" s="6"/>
      <c r="N1021" s="6" t="s">
        <v>5185</v>
      </c>
      <c r="O1021" s="6" t="str">
        <f>HYPERLINK("https://ceds.ed.gov/cedselementdetails.aspx?termid=5237")</f>
        <v>https://ceds.ed.gov/cedselementdetails.aspx?termid=5237</v>
      </c>
      <c r="P1021" s="6" t="str">
        <f>HYPERLINK("https://ceds.ed.gov/elementComment.aspx?elementName=School Choice Transfer Status &amp;elementID=5237", "Click here to submit comment")</f>
        <v>Click here to submit comment</v>
      </c>
    </row>
    <row r="1022" spans="1:16" ht="90">
      <c r="A1022" s="6" t="s">
        <v>6788</v>
      </c>
      <c r="B1022" s="6" t="s">
        <v>6804</v>
      </c>
      <c r="C1022" s="6" t="s">
        <v>6818</v>
      </c>
      <c r="D1022" s="6" t="s">
        <v>5772</v>
      </c>
      <c r="E1022" s="6" t="s">
        <v>5773</v>
      </c>
      <c r="F1022" s="6" t="s">
        <v>5963</v>
      </c>
      <c r="G1022" s="6" t="s">
        <v>218</v>
      </c>
      <c r="H1022" s="6"/>
      <c r="I1022" s="6"/>
      <c r="J1022" s="6"/>
      <c r="K1022" s="6"/>
      <c r="L1022" s="6" t="s">
        <v>5774</v>
      </c>
      <c r="M1022" s="6"/>
      <c r="N1022" s="6" t="s">
        <v>5775</v>
      </c>
      <c r="O1022" s="6" t="str">
        <f>HYPERLINK("https://ceds.ed.gov/cedselementdetails.aspx?termid=5286")</f>
        <v>https://ceds.ed.gov/cedselementdetails.aspx?termid=5286</v>
      </c>
      <c r="P1022" s="6" t="str">
        <f>HYPERLINK("https://ceds.ed.gov/elementComment.aspx?elementName=Title I School Supplemental Services Applied Status &amp;elementID=5286", "Click here to submit comment")</f>
        <v>Click here to submit comment</v>
      </c>
    </row>
    <row r="1023" spans="1:16" ht="75">
      <c r="A1023" s="6" t="s">
        <v>6788</v>
      </c>
      <c r="B1023" s="6" t="s">
        <v>6804</v>
      </c>
      <c r="C1023" s="6" t="s">
        <v>6818</v>
      </c>
      <c r="D1023" s="6" t="s">
        <v>5776</v>
      </c>
      <c r="E1023" s="6" t="s">
        <v>5777</v>
      </c>
      <c r="F1023" s="6" t="s">
        <v>5963</v>
      </c>
      <c r="G1023" s="6" t="s">
        <v>218</v>
      </c>
      <c r="H1023" s="6"/>
      <c r="I1023" s="6"/>
      <c r="J1023" s="6"/>
      <c r="K1023" s="6"/>
      <c r="L1023" s="6" t="s">
        <v>5778</v>
      </c>
      <c r="M1023" s="6"/>
      <c r="N1023" s="6" t="s">
        <v>5779</v>
      </c>
      <c r="O1023" s="6" t="str">
        <f>HYPERLINK("https://ceds.ed.gov/cedselementdetails.aspx?termid=5287")</f>
        <v>https://ceds.ed.gov/cedselementdetails.aspx?termid=5287</v>
      </c>
      <c r="P1023" s="6" t="str">
        <f>HYPERLINK("https://ceds.ed.gov/elementComment.aspx?elementName=Title I School Supplemental Services Eligible Status &amp;elementID=5287", "Click here to submit comment")</f>
        <v>Click here to submit comment</v>
      </c>
    </row>
    <row r="1024" spans="1:16" ht="75">
      <c r="A1024" s="6" t="s">
        <v>6788</v>
      </c>
      <c r="B1024" s="6" t="s">
        <v>6804</v>
      </c>
      <c r="C1024" s="6" t="s">
        <v>6818</v>
      </c>
      <c r="D1024" s="6" t="s">
        <v>5780</v>
      </c>
      <c r="E1024" s="6" t="s">
        <v>5781</v>
      </c>
      <c r="F1024" s="6" t="s">
        <v>5963</v>
      </c>
      <c r="G1024" s="6" t="s">
        <v>218</v>
      </c>
      <c r="H1024" s="6"/>
      <c r="I1024" s="6"/>
      <c r="J1024" s="6"/>
      <c r="K1024" s="6"/>
      <c r="L1024" s="6" t="s">
        <v>5782</v>
      </c>
      <c r="M1024" s="6"/>
      <c r="N1024" s="6" t="s">
        <v>5783</v>
      </c>
      <c r="O1024" s="6" t="str">
        <f>HYPERLINK("https://ceds.ed.gov/cedselementdetails.aspx?termid=5288")</f>
        <v>https://ceds.ed.gov/cedselementdetails.aspx?termid=5288</v>
      </c>
      <c r="P1024" s="6" t="str">
        <f>HYPERLINK("https://ceds.ed.gov/elementComment.aspx?elementName=Title I School Supplemental Services Received Status &amp;elementID=5288", "Click here to submit comment")</f>
        <v>Click here to submit comment</v>
      </c>
    </row>
    <row r="1025" spans="1:16" ht="60">
      <c r="A1025" s="6" t="s">
        <v>6788</v>
      </c>
      <c r="B1025" s="6" t="s">
        <v>6804</v>
      </c>
      <c r="C1025" s="6" t="s">
        <v>6818</v>
      </c>
      <c r="D1025" s="6" t="s">
        <v>5784</v>
      </c>
      <c r="E1025" s="6" t="s">
        <v>5785</v>
      </c>
      <c r="F1025" s="6" t="s">
        <v>5963</v>
      </c>
      <c r="G1025" s="6" t="s">
        <v>218</v>
      </c>
      <c r="H1025" s="6"/>
      <c r="I1025" s="6"/>
      <c r="J1025" s="6"/>
      <c r="K1025" s="6"/>
      <c r="L1025" s="6" t="s">
        <v>5786</v>
      </c>
      <c r="M1025" s="6"/>
      <c r="N1025" s="6" t="s">
        <v>5787</v>
      </c>
      <c r="O1025" s="6" t="str">
        <f>HYPERLINK("https://ceds.ed.gov/cedselementdetails.aspx?termid=5541")</f>
        <v>https://ceds.ed.gov/cedselementdetails.aspx?termid=5541</v>
      </c>
      <c r="P1025" s="6" t="str">
        <f>HYPERLINK("https://ceds.ed.gov/elementComment.aspx?elementName=Title I Schoolwide Program Participation &amp;elementID=5541", "Click here to submit comment")</f>
        <v>Click here to submit comment</v>
      </c>
    </row>
    <row r="1026" spans="1:16" ht="75">
      <c r="A1026" s="6" t="s">
        <v>6788</v>
      </c>
      <c r="B1026" s="6" t="s">
        <v>6804</v>
      </c>
      <c r="C1026" s="6" t="s">
        <v>6818</v>
      </c>
      <c r="D1026" s="6" t="s">
        <v>5792</v>
      </c>
      <c r="E1026" s="6" t="s">
        <v>5793</v>
      </c>
      <c r="F1026" s="6" t="s">
        <v>5963</v>
      </c>
      <c r="G1026" s="6" t="s">
        <v>218</v>
      </c>
      <c r="H1026" s="6"/>
      <c r="I1026" s="6"/>
      <c r="J1026" s="6"/>
      <c r="K1026" s="6"/>
      <c r="L1026" s="6" t="s">
        <v>5794</v>
      </c>
      <c r="M1026" s="6"/>
      <c r="N1026" s="6" t="s">
        <v>5795</v>
      </c>
      <c r="O1026" s="6" t="str">
        <f>HYPERLINK("https://ceds.ed.gov/cedselementdetails.aspx?termid=5542")</f>
        <v>https://ceds.ed.gov/cedselementdetails.aspx?termid=5542</v>
      </c>
      <c r="P1026" s="6" t="str">
        <f>HYPERLINK("https://ceds.ed.gov/elementComment.aspx?elementName=Title I Targeted Assistance Participation &amp;elementID=5542", "Click here to submit comment")</f>
        <v>Click here to submit comment</v>
      </c>
    </row>
    <row r="1027" spans="1:16" ht="330">
      <c r="A1027" s="6" t="s">
        <v>6788</v>
      </c>
      <c r="B1027" s="6" t="s">
        <v>6804</v>
      </c>
      <c r="C1027" s="6" t="s">
        <v>6739</v>
      </c>
      <c r="D1027" s="6" t="s">
        <v>3259</v>
      </c>
      <c r="E1027" s="6" t="s">
        <v>3260</v>
      </c>
      <c r="F1027" s="7" t="s">
        <v>6552</v>
      </c>
      <c r="G1027" s="6" t="s">
        <v>5988</v>
      </c>
      <c r="H1027" s="6"/>
      <c r="I1027" s="6"/>
      <c r="J1027" s="6"/>
      <c r="K1027" s="6"/>
      <c r="L1027" s="6" t="s">
        <v>3261</v>
      </c>
      <c r="M1027" s="6"/>
      <c r="N1027" s="6" t="s">
        <v>3262</v>
      </c>
      <c r="O1027" s="6" t="str">
        <f>HYPERLINK("https://ceds.ed.gov/cedselementdetails.aspx?termid=5320")</f>
        <v>https://ceds.ed.gov/cedselementdetails.aspx?termid=5320</v>
      </c>
      <c r="P1027" s="6" t="str">
        <f>HYPERLINK("https://ceds.ed.gov/elementComment.aspx?elementName=Individualized Program Type &amp;elementID=5320", "Click here to submit comment")</f>
        <v>Click here to submit comment</v>
      </c>
    </row>
    <row r="1028" spans="1:16" ht="135">
      <c r="A1028" s="6" t="s">
        <v>6788</v>
      </c>
      <c r="B1028" s="6" t="s">
        <v>6804</v>
      </c>
      <c r="C1028" s="6" t="s">
        <v>6739</v>
      </c>
      <c r="D1028" s="6" t="s">
        <v>3203</v>
      </c>
      <c r="E1028" s="6" t="s">
        <v>3204</v>
      </c>
      <c r="F1028" s="7" t="s">
        <v>6549</v>
      </c>
      <c r="G1028" s="6"/>
      <c r="H1028" s="6"/>
      <c r="I1028" s="6"/>
      <c r="J1028" s="6"/>
      <c r="K1028" s="6"/>
      <c r="L1028" s="6" t="s">
        <v>3205</v>
      </c>
      <c r="M1028" s="6"/>
      <c r="N1028" s="6" t="s">
        <v>3206</v>
      </c>
      <c r="O1028" s="6" t="str">
        <f>HYPERLINK("https://ceds.ed.gov/cedselementdetails.aspx?termid=6196")</f>
        <v>https://ceds.ed.gov/cedselementdetails.aspx?termid=6196</v>
      </c>
      <c r="P1028" s="6" t="str">
        <f>HYPERLINK("https://ceds.ed.gov/elementComment.aspx?elementName=Individualized Program Date Type &amp;elementID=6196", "Click here to submit comment")</f>
        <v>Click here to submit comment</v>
      </c>
    </row>
    <row r="1029" spans="1:16" ht="45">
      <c r="A1029" s="6" t="s">
        <v>6788</v>
      </c>
      <c r="B1029" s="6" t="s">
        <v>6804</v>
      </c>
      <c r="C1029" s="6" t="s">
        <v>6739</v>
      </c>
      <c r="D1029" s="6" t="s">
        <v>3199</v>
      </c>
      <c r="E1029" s="6" t="s">
        <v>3200</v>
      </c>
      <c r="F1029" s="6" t="s">
        <v>13</v>
      </c>
      <c r="G1029" s="6"/>
      <c r="H1029" s="6" t="s">
        <v>3</v>
      </c>
      <c r="I1029" s="6" t="s">
        <v>73</v>
      </c>
      <c r="J1029" s="6"/>
      <c r="K1029" s="6"/>
      <c r="L1029" s="6" t="s">
        <v>3201</v>
      </c>
      <c r="M1029" s="6"/>
      <c r="N1029" s="6" t="s">
        <v>3202</v>
      </c>
      <c r="O1029" s="6" t="str">
        <f>HYPERLINK("https://ceds.ed.gov/cedselementdetails.aspx?termid=6197")</f>
        <v>https://ceds.ed.gov/cedselementdetails.aspx?termid=6197</v>
      </c>
      <c r="P1029" s="6" t="str">
        <f>HYPERLINK("https://ceds.ed.gov/elementComment.aspx?elementName=Individualized Program Date &amp;elementID=6197", "Click here to submit comment")</f>
        <v>Click here to submit comment</v>
      </c>
    </row>
    <row r="1030" spans="1:16" ht="60">
      <c r="A1030" s="6" t="s">
        <v>6788</v>
      </c>
      <c r="B1030" s="6" t="s">
        <v>6804</v>
      </c>
      <c r="C1030" s="6" t="s">
        <v>6739</v>
      </c>
      <c r="D1030" s="6" t="s">
        <v>3211</v>
      </c>
      <c r="E1030" s="6" t="s">
        <v>3212</v>
      </c>
      <c r="F1030" s="6" t="s">
        <v>13</v>
      </c>
      <c r="G1030" s="6"/>
      <c r="H1030" s="6"/>
      <c r="I1030" s="6" t="s">
        <v>575</v>
      </c>
      <c r="J1030" s="6"/>
      <c r="K1030" s="6"/>
      <c r="L1030" s="6" t="s">
        <v>3213</v>
      </c>
      <c r="M1030" s="6"/>
      <c r="N1030" s="6" t="s">
        <v>3214</v>
      </c>
      <c r="O1030" s="6" t="str">
        <f>HYPERLINK("https://ceds.ed.gov/cedselementdetails.aspx?termid=6198")</f>
        <v>https://ceds.ed.gov/cedselementdetails.aspx?termid=6198</v>
      </c>
      <c r="P1030" s="6" t="str">
        <f>HYPERLINK("https://ceds.ed.gov/elementComment.aspx?elementName=Individualized Program NonInclusion Minutes Per Week &amp;elementID=6198", "Click here to submit comment")</f>
        <v>Click here to submit comment</v>
      </c>
    </row>
    <row r="1031" spans="1:16" ht="60">
      <c r="A1031" s="6" t="s">
        <v>6788</v>
      </c>
      <c r="B1031" s="6" t="s">
        <v>6804</v>
      </c>
      <c r="C1031" s="6" t="s">
        <v>6739</v>
      </c>
      <c r="D1031" s="6" t="s">
        <v>3207</v>
      </c>
      <c r="E1031" s="6" t="s">
        <v>3208</v>
      </c>
      <c r="F1031" s="6" t="s">
        <v>13</v>
      </c>
      <c r="G1031" s="6"/>
      <c r="H1031" s="6"/>
      <c r="I1031" s="6" t="s">
        <v>575</v>
      </c>
      <c r="J1031" s="6"/>
      <c r="K1031" s="6"/>
      <c r="L1031" s="6" t="s">
        <v>3209</v>
      </c>
      <c r="M1031" s="6"/>
      <c r="N1031" s="6" t="s">
        <v>3210</v>
      </c>
      <c r="O1031" s="6" t="str">
        <f>HYPERLINK("https://ceds.ed.gov/cedselementdetails.aspx?termid=6199")</f>
        <v>https://ceds.ed.gov/cedselementdetails.aspx?termid=6199</v>
      </c>
      <c r="P1031" s="6" t="str">
        <f>HYPERLINK("https://ceds.ed.gov/elementComment.aspx?elementName=Individualized Program Inclusion Minutes Per Week &amp;elementID=6199", "Click here to submit comment")</f>
        <v>Click here to submit comment</v>
      </c>
    </row>
    <row r="1032" spans="1:16" ht="75">
      <c r="A1032" s="6" t="s">
        <v>6788</v>
      </c>
      <c r="B1032" s="6" t="s">
        <v>6804</v>
      </c>
      <c r="C1032" s="6" t="s">
        <v>6739</v>
      </c>
      <c r="D1032" s="6" t="s">
        <v>3255</v>
      </c>
      <c r="E1032" s="6" t="s">
        <v>3256</v>
      </c>
      <c r="F1032" s="7" t="s">
        <v>6551</v>
      </c>
      <c r="G1032" s="6"/>
      <c r="H1032" s="6"/>
      <c r="I1032" s="6"/>
      <c r="J1032" s="6"/>
      <c r="K1032" s="6"/>
      <c r="L1032" s="6" t="s">
        <v>3257</v>
      </c>
      <c r="M1032" s="6"/>
      <c r="N1032" s="6" t="s">
        <v>3258</v>
      </c>
      <c r="O1032" s="6" t="str">
        <f>HYPERLINK("https://ceds.ed.gov/cedselementdetails.aspx?termid=6200")</f>
        <v>https://ceds.ed.gov/cedselementdetails.aspx?termid=6200</v>
      </c>
      <c r="P1032" s="6" t="str">
        <f>HYPERLINK("https://ceds.ed.gov/elementComment.aspx?elementName=Individualized Program Transition Plan Type &amp;elementID=6200", "Click here to submit comment")</f>
        <v>Click here to submit comment</v>
      </c>
    </row>
    <row r="1033" spans="1:16" ht="45">
      <c r="A1033" s="6" t="s">
        <v>6788</v>
      </c>
      <c r="B1033" s="6" t="s">
        <v>6804</v>
      </c>
      <c r="C1033" s="6" t="s">
        <v>6739</v>
      </c>
      <c r="D1033" s="6" t="s">
        <v>3231</v>
      </c>
      <c r="E1033" s="6" t="s">
        <v>3232</v>
      </c>
      <c r="F1033" s="6" t="s">
        <v>13</v>
      </c>
      <c r="G1033" s="6"/>
      <c r="H1033" s="6"/>
      <c r="I1033" s="6" t="s">
        <v>73</v>
      </c>
      <c r="J1033" s="6"/>
      <c r="K1033" s="6"/>
      <c r="L1033" s="6" t="s">
        <v>3233</v>
      </c>
      <c r="M1033" s="6"/>
      <c r="N1033" s="6" t="s">
        <v>3234</v>
      </c>
      <c r="O1033" s="6" t="str">
        <f>HYPERLINK("https://ceds.ed.gov/cedselementdetails.aspx?termid=6201")</f>
        <v>https://ceds.ed.gov/cedselementdetails.aspx?termid=6201</v>
      </c>
      <c r="P1033" s="6" t="str">
        <f>HYPERLINK("https://ceds.ed.gov/elementComment.aspx?elementName=Individualized Program Service Plan Date &amp;elementID=6201", "Click here to submit comment")</f>
        <v>Click here to submit comment</v>
      </c>
    </row>
    <row r="1034" spans="1:16" ht="345">
      <c r="A1034" s="6" t="s">
        <v>6788</v>
      </c>
      <c r="B1034" s="6" t="s">
        <v>6804</v>
      </c>
      <c r="C1034" s="6" t="s">
        <v>6739</v>
      </c>
      <c r="D1034" s="6" t="s">
        <v>3235</v>
      </c>
      <c r="E1034" s="6" t="s">
        <v>3236</v>
      </c>
      <c r="F1034" s="7" t="s">
        <v>6550</v>
      </c>
      <c r="G1034" s="6"/>
      <c r="H1034" s="6"/>
      <c r="I1034" s="6"/>
      <c r="J1034" s="6"/>
      <c r="K1034" s="6"/>
      <c r="L1034" s="6" t="s">
        <v>3237</v>
      </c>
      <c r="M1034" s="6"/>
      <c r="N1034" s="6" t="s">
        <v>3238</v>
      </c>
      <c r="O1034" s="6" t="str">
        <f>HYPERLINK("https://ceds.ed.gov/cedselementdetails.aspx?termid=6202")</f>
        <v>https://ceds.ed.gov/cedselementdetails.aspx?termid=6202</v>
      </c>
      <c r="P1034" s="6" t="str">
        <f>HYPERLINK("https://ceds.ed.gov/elementComment.aspx?elementName=Individualized Program Service Plan Meeting Location &amp;elementID=6202", "Click here to submit comment")</f>
        <v>Click here to submit comment</v>
      </c>
    </row>
    <row r="1035" spans="1:16" ht="60">
      <c r="A1035" s="6" t="s">
        <v>6788</v>
      </c>
      <c r="B1035" s="6" t="s">
        <v>6804</v>
      </c>
      <c r="C1035" s="6" t="s">
        <v>6739</v>
      </c>
      <c r="D1035" s="6" t="s">
        <v>3239</v>
      </c>
      <c r="E1035" s="6" t="s">
        <v>3240</v>
      </c>
      <c r="F1035" s="6" t="s">
        <v>13</v>
      </c>
      <c r="G1035" s="6"/>
      <c r="H1035" s="6"/>
      <c r="I1035" s="6" t="s">
        <v>319</v>
      </c>
      <c r="J1035" s="6"/>
      <c r="K1035" s="6"/>
      <c r="L1035" s="6" t="s">
        <v>3241</v>
      </c>
      <c r="M1035" s="6"/>
      <c r="N1035" s="6" t="s">
        <v>3242</v>
      </c>
      <c r="O1035" s="6" t="str">
        <f>HYPERLINK("https://ceds.ed.gov/cedselementdetails.aspx?termid=6203")</f>
        <v>https://ceds.ed.gov/cedselementdetails.aspx?termid=6203</v>
      </c>
      <c r="P1035" s="6" t="str">
        <f>HYPERLINK("https://ceds.ed.gov/elementComment.aspx?elementName=Individualized Program Service Plan Meeting Participants &amp;elementID=6203", "Click here to submit comment")</f>
        <v>Click here to submit comment</v>
      </c>
    </row>
    <row r="1036" spans="1:16" ht="45">
      <c r="A1036" s="6" t="s">
        <v>6788</v>
      </c>
      <c r="B1036" s="6" t="s">
        <v>6804</v>
      </c>
      <c r="C1036" s="6" t="s">
        <v>6739</v>
      </c>
      <c r="D1036" s="6" t="s">
        <v>3251</v>
      </c>
      <c r="E1036" s="6" t="s">
        <v>3252</v>
      </c>
      <c r="F1036" s="6" t="s">
        <v>13</v>
      </c>
      <c r="G1036" s="6"/>
      <c r="H1036" s="6"/>
      <c r="I1036" s="6" t="s">
        <v>319</v>
      </c>
      <c r="J1036" s="6"/>
      <c r="K1036" s="6"/>
      <c r="L1036" s="6" t="s">
        <v>3253</v>
      </c>
      <c r="M1036" s="6"/>
      <c r="N1036" s="6" t="s">
        <v>3254</v>
      </c>
      <c r="O1036" s="6" t="str">
        <f>HYPERLINK("https://ceds.ed.gov/cedselementdetails.aspx?termid=6204")</f>
        <v>https://ceds.ed.gov/cedselementdetails.aspx?termid=6204</v>
      </c>
      <c r="P1036" s="6" t="str">
        <f>HYPERLINK("https://ceds.ed.gov/elementComment.aspx?elementName=Individualized Program Service Plan Signed By &amp;elementID=6204", "Click here to submit comment")</f>
        <v>Click here to submit comment</v>
      </c>
    </row>
    <row r="1037" spans="1:16" ht="60">
      <c r="A1037" s="6" t="s">
        <v>6788</v>
      </c>
      <c r="B1037" s="6" t="s">
        <v>6804</v>
      </c>
      <c r="C1037" s="6" t="s">
        <v>6739</v>
      </c>
      <c r="D1037" s="6" t="s">
        <v>3247</v>
      </c>
      <c r="E1037" s="6" t="s">
        <v>3248</v>
      </c>
      <c r="F1037" s="6" t="s">
        <v>13</v>
      </c>
      <c r="G1037" s="6"/>
      <c r="H1037" s="6"/>
      <c r="I1037" s="6" t="s">
        <v>73</v>
      </c>
      <c r="J1037" s="6"/>
      <c r="K1037" s="6"/>
      <c r="L1037" s="6" t="s">
        <v>3249</v>
      </c>
      <c r="M1037" s="6"/>
      <c r="N1037" s="6" t="s">
        <v>3250</v>
      </c>
      <c r="O1037" s="6" t="str">
        <f>HYPERLINK("https://ceds.ed.gov/cedselementdetails.aspx?termid=6205")</f>
        <v>https://ceds.ed.gov/cedselementdetails.aspx?termid=6205</v>
      </c>
      <c r="P1037" s="6" t="str">
        <f>HYPERLINK("https://ceds.ed.gov/elementComment.aspx?elementName=Individualized Program Service Plan Signature Date &amp;elementID=6205", "Click here to submit comment")</f>
        <v>Click here to submit comment</v>
      </c>
    </row>
    <row r="1038" spans="1:16" ht="60">
      <c r="A1038" s="6" t="s">
        <v>6788</v>
      </c>
      <c r="B1038" s="6" t="s">
        <v>6804</v>
      </c>
      <c r="C1038" s="6" t="s">
        <v>6739</v>
      </c>
      <c r="D1038" s="6" t="s">
        <v>3243</v>
      </c>
      <c r="E1038" s="6" t="s">
        <v>3244</v>
      </c>
      <c r="F1038" s="6" t="s">
        <v>13</v>
      </c>
      <c r="G1038" s="6"/>
      <c r="H1038" s="6"/>
      <c r="I1038" s="6" t="s">
        <v>73</v>
      </c>
      <c r="J1038" s="6"/>
      <c r="K1038" s="6"/>
      <c r="L1038" s="6" t="s">
        <v>3245</v>
      </c>
      <c r="M1038" s="6"/>
      <c r="N1038" s="6" t="s">
        <v>3246</v>
      </c>
      <c r="O1038" s="6" t="str">
        <f>HYPERLINK("https://ceds.ed.gov/cedselementdetails.aspx?termid=6207")</f>
        <v>https://ceds.ed.gov/cedselementdetails.aspx?termid=6207</v>
      </c>
      <c r="P1038" s="6" t="str">
        <f>HYPERLINK("https://ceds.ed.gov/elementComment.aspx?elementName=Individualized Program Service Plan Reevaluation Date &amp;elementID=6207", "Click here to submit comment")</f>
        <v>Click here to submit comment</v>
      </c>
    </row>
    <row r="1039" spans="1:16" ht="409.5">
      <c r="A1039" s="6" t="s">
        <v>6788</v>
      </c>
      <c r="B1039" s="6" t="s">
        <v>6804</v>
      </c>
      <c r="C1039" s="6" t="s">
        <v>6739</v>
      </c>
      <c r="D1039" s="6" t="s">
        <v>5622</v>
      </c>
      <c r="E1039" s="6" t="s">
        <v>5623</v>
      </c>
      <c r="F1039" s="7" t="s">
        <v>6666</v>
      </c>
      <c r="G1039" s="6"/>
      <c r="H1039" s="6"/>
      <c r="I1039" s="6"/>
      <c r="J1039" s="6"/>
      <c r="K1039" s="6"/>
      <c r="L1039" s="6" t="s">
        <v>5624</v>
      </c>
      <c r="M1039" s="6"/>
      <c r="N1039" s="6" t="s">
        <v>5625</v>
      </c>
      <c r="O1039" s="6" t="str">
        <f>HYPERLINK("https://ceds.ed.gov/cedselementdetails.aspx?termid=5273")</f>
        <v>https://ceds.ed.gov/cedselementdetails.aspx?termid=5273</v>
      </c>
      <c r="P1039" s="6" t="str">
        <f>HYPERLINK("https://ceds.ed.gov/elementComment.aspx?elementName=Student Support Service Type &amp;elementID=5273", "Click here to submit comment")</f>
        <v>Click here to submit comment</v>
      </c>
    </row>
    <row r="1040" spans="1:16" ht="60">
      <c r="A1040" s="6" t="s">
        <v>6788</v>
      </c>
      <c r="B1040" s="6" t="s">
        <v>6804</v>
      </c>
      <c r="C1040" s="6" t="s">
        <v>6819</v>
      </c>
      <c r="D1040" s="6" t="s">
        <v>4069</v>
      </c>
      <c r="E1040" s="6" t="s">
        <v>4070</v>
      </c>
      <c r="F1040" s="6" t="s">
        <v>6253</v>
      </c>
      <c r="G1040" s="6" t="s">
        <v>1480</v>
      </c>
      <c r="H1040" s="6"/>
      <c r="I1040" s="6"/>
      <c r="J1040" s="6"/>
      <c r="K1040" s="6"/>
      <c r="L1040" s="6" t="s">
        <v>4072</v>
      </c>
      <c r="M1040" s="6"/>
      <c r="N1040" s="6" t="s">
        <v>4073</v>
      </c>
      <c r="O1040" s="6" t="str">
        <f>HYPERLINK("https://ceds.ed.gov/cedselementdetails.aspx?termid=5429")</f>
        <v>https://ceds.ed.gov/cedselementdetails.aspx?termid=5429</v>
      </c>
      <c r="P1040" s="6" t="str">
        <f>HYPERLINK("https://ceds.ed.gov/elementComment.aspx?elementName=Medical Alert Indicator &amp;elementID=5429", "Click here to submit comment")</f>
        <v>Click here to submit comment</v>
      </c>
    </row>
    <row r="1041" spans="1:16" ht="45">
      <c r="A1041" s="6" t="s">
        <v>6788</v>
      </c>
      <c r="B1041" s="6" t="s">
        <v>6804</v>
      </c>
      <c r="C1041" s="6" t="s">
        <v>6819</v>
      </c>
      <c r="D1041" s="6" t="s">
        <v>317</v>
      </c>
      <c r="E1041" s="6" t="s">
        <v>318</v>
      </c>
      <c r="F1041" s="6" t="s">
        <v>13</v>
      </c>
      <c r="G1041" s="6"/>
      <c r="H1041" s="6" t="s">
        <v>54</v>
      </c>
      <c r="I1041" s="6" t="s">
        <v>319</v>
      </c>
      <c r="J1041" s="6"/>
      <c r="K1041" s="6"/>
      <c r="L1041" s="6" t="s">
        <v>320</v>
      </c>
      <c r="M1041" s="6"/>
      <c r="N1041" s="6" t="s">
        <v>321</v>
      </c>
      <c r="O1041" s="6" t="str">
        <f>HYPERLINK("https://ceds.ed.gov/cedselementdetails.aspx?termid=6247")</f>
        <v>https://ceds.ed.gov/cedselementdetails.aspx?termid=6247</v>
      </c>
      <c r="P1041" s="6" t="str">
        <f>HYPERLINK("https://ceds.ed.gov/elementComment.aspx?elementName=Allergy Reaction Description &amp;elementID=6247", "Click here to submit comment")</f>
        <v>Click here to submit comment</v>
      </c>
    </row>
    <row r="1042" spans="1:16" ht="45">
      <c r="A1042" s="6" t="s">
        <v>6788</v>
      </c>
      <c r="B1042" s="6" t="s">
        <v>6804</v>
      </c>
      <c r="C1042" s="6" t="s">
        <v>6819</v>
      </c>
      <c r="D1042" s="6" t="s">
        <v>322</v>
      </c>
      <c r="E1042" s="6" t="s">
        <v>323</v>
      </c>
      <c r="F1042" s="6" t="s">
        <v>5984</v>
      </c>
      <c r="G1042" s="6"/>
      <c r="H1042" s="6" t="s">
        <v>54</v>
      </c>
      <c r="I1042" s="6"/>
      <c r="J1042" s="6"/>
      <c r="K1042" s="6"/>
      <c r="L1042" s="6" t="s">
        <v>324</v>
      </c>
      <c r="M1042" s="6"/>
      <c r="N1042" s="6" t="s">
        <v>325</v>
      </c>
      <c r="O1042" s="6" t="str">
        <f>HYPERLINK("https://ceds.ed.gov/cedselementdetails.aspx?termid=6248")</f>
        <v>https://ceds.ed.gov/cedselementdetails.aspx?termid=6248</v>
      </c>
      <c r="P1042" s="6" t="str">
        <f>HYPERLINK("https://ceds.ed.gov/elementComment.aspx?elementName=Allergy Severity &amp;elementID=6248", "Click here to submit comment")</f>
        <v>Click here to submit comment</v>
      </c>
    </row>
    <row r="1043" spans="1:16" ht="409.5">
      <c r="A1043" s="6" t="s">
        <v>6788</v>
      </c>
      <c r="B1043" s="6" t="s">
        <v>6804</v>
      </c>
      <c r="C1043" s="6" t="s">
        <v>6819</v>
      </c>
      <c r="D1043" s="6" t="s">
        <v>326</v>
      </c>
      <c r="E1043" s="6" t="s">
        <v>327</v>
      </c>
      <c r="F1043" s="7" t="s">
        <v>6370</v>
      </c>
      <c r="G1043" s="6"/>
      <c r="H1043" s="6" t="s">
        <v>54</v>
      </c>
      <c r="I1043" s="6"/>
      <c r="J1043" s="6"/>
      <c r="K1043" s="6" t="s">
        <v>328</v>
      </c>
      <c r="L1043" s="6" t="s">
        <v>329</v>
      </c>
      <c r="M1043" s="6"/>
      <c r="N1043" s="6" t="s">
        <v>330</v>
      </c>
      <c r="O1043" s="6" t="str">
        <f>HYPERLINK("https://ceds.ed.gov/cedselementdetails.aspx?termid=6249")</f>
        <v>https://ceds.ed.gov/cedselementdetails.aspx?termid=6249</v>
      </c>
      <c r="P1043" s="6" t="str">
        <f>HYPERLINK("https://ceds.ed.gov/elementComment.aspx?elementName=Allergy Type &amp;elementID=6249", "Click here to submit comment")</f>
        <v>Click here to submit comment</v>
      </c>
    </row>
    <row r="1044" spans="1:16" ht="30">
      <c r="A1044" s="6" t="s">
        <v>6788</v>
      </c>
      <c r="B1044" s="6" t="s">
        <v>6804</v>
      </c>
      <c r="C1044" s="6" t="s">
        <v>6819</v>
      </c>
      <c r="D1044" s="6" t="s">
        <v>2933</v>
      </c>
      <c r="E1044" s="6" t="s">
        <v>2934</v>
      </c>
      <c r="F1044" s="6" t="s">
        <v>13</v>
      </c>
      <c r="G1044" s="6"/>
      <c r="H1044" s="6" t="s">
        <v>3</v>
      </c>
      <c r="I1044" s="6" t="s">
        <v>73</v>
      </c>
      <c r="J1044" s="6"/>
      <c r="K1044" s="6"/>
      <c r="L1044" s="6" t="s">
        <v>2935</v>
      </c>
      <c r="M1044" s="6"/>
      <c r="N1044" s="6" t="s">
        <v>2936</v>
      </c>
      <c r="O1044" s="6" t="str">
        <f>HYPERLINK("https://ceds.ed.gov/cedselementdetails.aspx?termid=5681")</f>
        <v>https://ceds.ed.gov/cedselementdetails.aspx?termid=5681</v>
      </c>
      <c r="P1044" s="6" t="str">
        <f>HYPERLINK("https://ceds.ed.gov/elementComment.aspx?elementName=Hearing Screening Date &amp;elementID=5681", "Click here to submit comment")</f>
        <v>Click here to submit comment</v>
      </c>
    </row>
    <row r="1045" spans="1:16" ht="75">
      <c r="A1045" s="6" t="s">
        <v>6788</v>
      </c>
      <c r="B1045" s="6" t="s">
        <v>6804</v>
      </c>
      <c r="C1045" s="6" t="s">
        <v>6819</v>
      </c>
      <c r="D1045" s="6" t="s">
        <v>2937</v>
      </c>
      <c r="E1045" s="6" t="s">
        <v>2938</v>
      </c>
      <c r="F1045" s="7" t="s">
        <v>6526</v>
      </c>
      <c r="G1045" s="6" t="s">
        <v>2158</v>
      </c>
      <c r="H1045" s="6" t="s">
        <v>3</v>
      </c>
      <c r="I1045" s="6"/>
      <c r="J1045" s="6"/>
      <c r="K1045" s="6"/>
      <c r="L1045" s="6" t="s">
        <v>2939</v>
      </c>
      <c r="M1045" s="6"/>
      <c r="N1045" s="6" t="s">
        <v>2940</v>
      </c>
      <c r="O1045" s="6" t="str">
        <f>HYPERLINK("https://ceds.ed.gov/cedselementdetails.aspx?termid=5309")</f>
        <v>https://ceds.ed.gov/cedselementdetails.aspx?termid=5309</v>
      </c>
      <c r="P1045" s="6" t="str">
        <f>HYPERLINK("https://ceds.ed.gov/elementComment.aspx?elementName=Hearing Screening Status &amp;elementID=5309", "Click here to submit comment")</f>
        <v>Click here to submit comment</v>
      </c>
    </row>
    <row r="1046" spans="1:16" ht="75">
      <c r="A1046" s="6" t="s">
        <v>6788</v>
      </c>
      <c r="B1046" s="6" t="s">
        <v>6804</v>
      </c>
      <c r="C1046" s="6" t="s">
        <v>6819</v>
      </c>
      <c r="D1046" s="6" t="s">
        <v>3084</v>
      </c>
      <c r="E1046" s="6" t="s">
        <v>3085</v>
      </c>
      <c r="F1046" s="6" t="s">
        <v>13</v>
      </c>
      <c r="G1046" s="6" t="s">
        <v>6204</v>
      </c>
      <c r="H1046" s="6"/>
      <c r="I1046" s="6" t="s">
        <v>73</v>
      </c>
      <c r="J1046" s="6"/>
      <c r="K1046" s="6"/>
      <c r="L1046" s="6" t="s">
        <v>3086</v>
      </c>
      <c r="M1046" s="6"/>
      <c r="N1046" s="6" t="s">
        <v>3087</v>
      </c>
      <c r="O1046" s="6" t="str">
        <f>HYPERLINK("https://ceds.ed.gov/cedselementdetails.aspx?termid=5306")</f>
        <v>https://ceds.ed.gov/cedselementdetails.aspx?termid=5306</v>
      </c>
      <c r="P1046" s="6" t="str">
        <f>HYPERLINK("https://ceds.ed.gov/elementComment.aspx?elementName=Immunization Date &amp;elementID=5306", "Click here to submit comment")</f>
        <v>Click here to submit comment</v>
      </c>
    </row>
    <row r="1047" spans="1:16" ht="409.5">
      <c r="A1047" s="6" t="s">
        <v>6788</v>
      </c>
      <c r="B1047" s="6" t="s">
        <v>6804</v>
      </c>
      <c r="C1047" s="6" t="s">
        <v>6819</v>
      </c>
      <c r="D1047" s="6" t="s">
        <v>3096</v>
      </c>
      <c r="E1047" s="6" t="s">
        <v>3097</v>
      </c>
      <c r="F1047" s="7" t="s">
        <v>6540</v>
      </c>
      <c r="G1047" s="6"/>
      <c r="H1047" s="6"/>
      <c r="I1047" s="6"/>
      <c r="J1047" s="6"/>
      <c r="K1047" s="6"/>
      <c r="L1047" s="6" t="s">
        <v>3098</v>
      </c>
      <c r="M1047" s="6"/>
      <c r="N1047" s="6" t="s">
        <v>3099</v>
      </c>
      <c r="O1047" s="6" t="str">
        <f>HYPERLINK("https://ceds.ed.gov/cedselementdetails.aspx?termid=6214")</f>
        <v>https://ceds.ed.gov/cedselementdetails.aspx?termid=6214</v>
      </c>
      <c r="P1047" s="6" t="str">
        <f>HYPERLINK("https://ceds.ed.gov/elementComment.aspx?elementName=Immunization Type &amp;elementID=6214", "Click here to submit comment")</f>
        <v>Click here to submit comment</v>
      </c>
    </row>
    <row r="1048" spans="1:16" ht="30">
      <c r="A1048" s="6" t="s">
        <v>6788</v>
      </c>
      <c r="B1048" s="6" t="s">
        <v>6804</v>
      </c>
      <c r="C1048" s="6" t="s">
        <v>6819</v>
      </c>
      <c r="D1048" s="6" t="s">
        <v>5883</v>
      </c>
      <c r="E1048" s="6" t="s">
        <v>5884</v>
      </c>
      <c r="F1048" s="6" t="s">
        <v>13</v>
      </c>
      <c r="G1048" s="6"/>
      <c r="H1048" s="6" t="s">
        <v>3</v>
      </c>
      <c r="I1048" s="6" t="s">
        <v>73</v>
      </c>
      <c r="J1048" s="6"/>
      <c r="K1048" s="6"/>
      <c r="L1048" s="6" t="s">
        <v>5885</v>
      </c>
      <c r="M1048" s="6"/>
      <c r="N1048" s="6" t="s">
        <v>5886</v>
      </c>
      <c r="O1048" s="6" t="str">
        <f>HYPERLINK("https://ceds.ed.gov/cedselementdetails.aspx?termid=5680")</f>
        <v>https://ceds.ed.gov/cedselementdetails.aspx?termid=5680</v>
      </c>
      <c r="P1048" s="6" t="str">
        <f>HYPERLINK("https://ceds.ed.gov/elementComment.aspx?elementName=Vision Screening Date &amp;elementID=5680", "Click here to submit comment")</f>
        <v>Click here to submit comment</v>
      </c>
    </row>
    <row r="1049" spans="1:16" ht="75">
      <c r="A1049" s="6" t="s">
        <v>6788</v>
      </c>
      <c r="B1049" s="6" t="s">
        <v>6804</v>
      </c>
      <c r="C1049" s="6" t="s">
        <v>6819</v>
      </c>
      <c r="D1049" s="6" t="s">
        <v>5887</v>
      </c>
      <c r="E1049" s="6" t="s">
        <v>5888</v>
      </c>
      <c r="F1049" s="7" t="s">
        <v>6526</v>
      </c>
      <c r="G1049" s="6" t="s">
        <v>2158</v>
      </c>
      <c r="H1049" s="6" t="s">
        <v>3</v>
      </c>
      <c r="I1049" s="6"/>
      <c r="J1049" s="6"/>
      <c r="K1049" s="6"/>
      <c r="L1049" s="6" t="s">
        <v>5889</v>
      </c>
      <c r="M1049" s="6"/>
      <c r="N1049" s="6" t="s">
        <v>5890</v>
      </c>
      <c r="O1049" s="6" t="str">
        <f>HYPERLINK("https://ceds.ed.gov/cedselementdetails.aspx?termid=5308")</f>
        <v>https://ceds.ed.gov/cedselementdetails.aspx?termid=5308</v>
      </c>
      <c r="P1049" s="6" t="str">
        <f>HYPERLINK("https://ceds.ed.gov/elementComment.aspx?elementName=Vision Screening Status &amp;elementID=5308", "Click here to submit comment")</f>
        <v>Click here to submit comment</v>
      </c>
    </row>
    <row r="1050" spans="1:16" ht="225">
      <c r="A1050" s="6" t="s">
        <v>6788</v>
      </c>
      <c r="B1050" s="6" t="s">
        <v>6804</v>
      </c>
      <c r="C1050" s="6" t="s">
        <v>6770</v>
      </c>
      <c r="D1050" s="6" t="s">
        <v>2487</v>
      </c>
      <c r="E1050" s="6" t="s">
        <v>2488</v>
      </c>
      <c r="F1050" s="6" t="s">
        <v>6150</v>
      </c>
      <c r="G1050" s="6" t="s">
        <v>2476</v>
      </c>
      <c r="H1050" s="6" t="s">
        <v>66</v>
      </c>
      <c r="I1050" s="6"/>
      <c r="J1050" s="6" t="s">
        <v>2477</v>
      </c>
      <c r="K1050" s="6" t="s">
        <v>2489</v>
      </c>
      <c r="L1050" s="6" t="s">
        <v>2490</v>
      </c>
      <c r="M1050" s="6"/>
      <c r="N1050" s="6" t="s">
        <v>2491</v>
      </c>
      <c r="O1050" s="6" t="str">
        <f>HYPERLINK("https://ceds.ed.gov/cedselementdetails.aspx?termid=5989")</f>
        <v>https://ceds.ed.gov/cedselementdetails.aspx?termid=5989</v>
      </c>
      <c r="P1050" s="6" t="str">
        <f>HYPERLINK("https://ceds.ed.gov/elementComment.aspx?elementName=Employed While Enrolled &amp;elementID=5989", "Click here to submit comment")</f>
        <v>Click here to submit comment</v>
      </c>
    </row>
    <row r="1051" spans="1:16" ht="270">
      <c r="A1051" s="6" t="s">
        <v>6788</v>
      </c>
      <c r="B1051" s="6" t="s">
        <v>6804</v>
      </c>
      <c r="C1051" s="6" t="s">
        <v>6770</v>
      </c>
      <c r="D1051" s="6" t="s">
        <v>2474</v>
      </c>
      <c r="E1051" s="6" t="s">
        <v>2475</v>
      </c>
      <c r="F1051" s="6" t="s">
        <v>6150</v>
      </c>
      <c r="G1051" s="6" t="s">
        <v>2476</v>
      </c>
      <c r="H1051" s="6" t="s">
        <v>66</v>
      </c>
      <c r="I1051" s="6"/>
      <c r="J1051" s="6" t="s">
        <v>2477</v>
      </c>
      <c r="K1051" s="6" t="s">
        <v>2478</v>
      </c>
      <c r="L1051" s="6" t="s">
        <v>2479</v>
      </c>
      <c r="M1051" s="6"/>
      <c r="N1051" s="6" t="s">
        <v>2480</v>
      </c>
      <c r="O1051" s="6" t="str">
        <f>HYPERLINK("https://ceds.ed.gov/cedselementdetails.aspx?termid=5990")</f>
        <v>https://ceds.ed.gov/cedselementdetails.aspx?termid=5990</v>
      </c>
      <c r="P1051" s="6" t="str">
        <f>HYPERLINK("https://ceds.ed.gov/elementComment.aspx?elementName=Employed After Exit &amp;elementID=5990", "Click here to submit comment")</f>
        <v>Click here to submit comment</v>
      </c>
    </row>
    <row r="1052" spans="1:16" ht="60">
      <c r="A1052" s="6" t="s">
        <v>6788</v>
      </c>
      <c r="B1052" s="6" t="s">
        <v>6804</v>
      </c>
      <c r="C1052" s="6" t="s">
        <v>6770</v>
      </c>
      <c r="D1052" s="6" t="s">
        <v>2502</v>
      </c>
      <c r="E1052" s="6" t="s">
        <v>2503</v>
      </c>
      <c r="F1052" s="6" t="s">
        <v>2504</v>
      </c>
      <c r="G1052" s="6"/>
      <c r="H1052" s="6"/>
      <c r="I1052" s="6" t="s">
        <v>2505</v>
      </c>
      <c r="J1052" s="6"/>
      <c r="K1052" s="6"/>
      <c r="L1052" s="6" t="s">
        <v>2506</v>
      </c>
      <c r="M1052" s="6"/>
      <c r="N1052" s="6" t="s">
        <v>2507</v>
      </c>
      <c r="O1052" s="6" t="str">
        <f>HYPERLINK("https://ceds.ed.gov/cedselementdetails.aspx?termid=6070")</f>
        <v>https://ceds.ed.gov/cedselementdetails.aspx?termid=6070</v>
      </c>
      <c r="P1052" s="6" t="str">
        <f>HYPERLINK("https://ceds.ed.gov/elementComment.aspx?elementName=Employment NAICS Code &amp;elementID=6070", "Click here to submit comment")</f>
        <v>Click here to submit comment</v>
      </c>
    </row>
    <row r="1053" spans="1:16" ht="60">
      <c r="A1053" s="6" t="s">
        <v>6788</v>
      </c>
      <c r="B1053" s="6" t="s">
        <v>6804</v>
      </c>
      <c r="C1053" s="6" t="s">
        <v>6770</v>
      </c>
      <c r="D1053" s="6" t="s">
        <v>2492</v>
      </c>
      <c r="E1053" s="6" t="s">
        <v>2493</v>
      </c>
      <c r="F1053" s="6" t="s">
        <v>13</v>
      </c>
      <c r="G1053" s="6" t="s">
        <v>202</v>
      </c>
      <c r="H1053" s="6" t="s">
        <v>3</v>
      </c>
      <c r="I1053" s="6" t="s">
        <v>73</v>
      </c>
      <c r="J1053" s="6"/>
      <c r="K1053" s="6"/>
      <c r="L1053" s="6" t="s">
        <v>2494</v>
      </c>
      <c r="M1053" s="6"/>
      <c r="N1053" s="6" t="s">
        <v>2495</v>
      </c>
      <c r="O1053" s="6" t="str">
        <f>HYPERLINK("https://ceds.ed.gov/cedselementdetails.aspx?termid=5794")</f>
        <v>https://ceds.ed.gov/cedselementdetails.aspx?termid=5794</v>
      </c>
      <c r="P1053" s="6" t="str">
        <f>HYPERLINK("https://ceds.ed.gov/elementComment.aspx?elementName=Employment End Date &amp;elementID=5794", "Click here to submit comment")</f>
        <v>Click here to submit comment</v>
      </c>
    </row>
    <row r="1054" spans="1:16" ht="60">
      <c r="A1054" s="6" t="s">
        <v>6788</v>
      </c>
      <c r="B1054" s="6" t="s">
        <v>6804</v>
      </c>
      <c r="C1054" s="6" t="s">
        <v>6770</v>
      </c>
      <c r="D1054" s="6" t="s">
        <v>2534</v>
      </c>
      <c r="E1054" s="6" t="s">
        <v>2535</v>
      </c>
      <c r="F1054" s="6" t="s">
        <v>13</v>
      </c>
      <c r="G1054" s="6" t="s">
        <v>6154</v>
      </c>
      <c r="H1054" s="6" t="s">
        <v>3</v>
      </c>
      <c r="I1054" s="6" t="s">
        <v>73</v>
      </c>
      <c r="J1054" s="6"/>
      <c r="K1054" s="6"/>
      <c r="L1054" s="6" t="s">
        <v>2536</v>
      </c>
      <c r="M1054" s="6"/>
      <c r="N1054" s="6" t="s">
        <v>2537</v>
      </c>
      <c r="O1054" s="6" t="str">
        <f>HYPERLINK("https://ceds.ed.gov/cedselementdetails.aspx?termid=5345")</f>
        <v>https://ceds.ed.gov/cedselementdetails.aspx?termid=5345</v>
      </c>
      <c r="P1054" s="6" t="str">
        <f>HYPERLINK("https://ceds.ed.gov/elementComment.aspx?elementName=Employment Start Date &amp;elementID=5345", "Click here to submit comment")</f>
        <v>Click here to submit comment</v>
      </c>
    </row>
    <row r="1055" spans="1:16" ht="195">
      <c r="A1055" s="6" t="s">
        <v>6788</v>
      </c>
      <c r="B1055" s="6" t="s">
        <v>6741</v>
      </c>
      <c r="C1055" s="6" t="s">
        <v>6717</v>
      </c>
      <c r="D1055" s="6" t="s">
        <v>2776</v>
      </c>
      <c r="E1055" s="6" t="s">
        <v>2777</v>
      </c>
      <c r="F1055" s="6" t="s">
        <v>13</v>
      </c>
      <c r="G1055" s="6" t="s">
        <v>6176</v>
      </c>
      <c r="H1055" s="6" t="s">
        <v>3</v>
      </c>
      <c r="I1055" s="6" t="s">
        <v>1368</v>
      </c>
      <c r="J1055" s="6"/>
      <c r="K1055" s="6" t="s">
        <v>2778</v>
      </c>
      <c r="L1055" s="6" t="s">
        <v>2779</v>
      </c>
      <c r="M1055" s="6"/>
      <c r="N1055" s="6" t="s">
        <v>2780</v>
      </c>
      <c r="O1055" s="6" t="str">
        <f>HYPERLINK("https://ceds.ed.gov/cedselementdetails.aspx?termid=5115")</f>
        <v>https://ceds.ed.gov/cedselementdetails.aspx?termid=5115</v>
      </c>
      <c r="P1055" s="6" t="str">
        <f>HYPERLINK("https://ceds.ed.gov/elementComment.aspx?elementName=First Name &amp;elementID=5115", "Click here to submit comment")</f>
        <v>Click here to submit comment</v>
      </c>
    </row>
    <row r="1056" spans="1:16" ht="195">
      <c r="A1056" s="6" t="s">
        <v>6788</v>
      </c>
      <c r="B1056" s="6" t="s">
        <v>6741</v>
      </c>
      <c r="C1056" s="6" t="s">
        <v>6717</v>
      </c>
      <c r="D1056" s="6" t="s">
        <v>4088</v>
      </c>
      <c r="E1056" s="6" t="s">
        <v>4089</v>
      </c>
      <c r="F1056" s="6" t="s">
        <v>13</v>
      </c>
      <c r="G1056" s="6" t="s">
        <v>6176</v>
      </c>
      <c r="H1056" s="6" t="s">
        <v>3</v>
      </c>
      <c r="I1056" s="6" t="s">
        <v>1368</v>
      </c>
      <c r="J1056" s="6"/>
      <c r="K1056" s="6" t="s">
        <v>2778</v>
      </c>
      <c r="L1056" s="6" t="s">
        <v>4090</v>
      </c>
      <c r="M1056" s="6"/>
      <c r="N1056" s="6" t="s">
        <v>4091</v>
      </c>
      <c r="O1056" s="6" t="str">
        <f>HYPERLINK("https://ceds.ed.gov/cedselementdetails.aspx?termid=5184")</f>
        <v>https://ceds.ed.gov/cedselementdetails.aspx?termid=5184</v>
      </c>
      <c r="P1056" s="6" t="str">
        <f>HYPERLINK("https://ceds.ed.gov/elementComment.aspx?elementName=Middle Name &amp;elementID=5184", "Click here to submit comment")</f>
        <v>Click here to submit comment</v>
      </c>
    </row>
    <row r="1057" spans="1:16" ht="195">
      <c r="A1057" s="6" t="s">
        <v>6788</v>
      </c>
      <c r="B1057" s="6" t="s">
        <v>6741</v>
      </c>
      <c r="C1057" s="6" t="s">
        <v>6717</v>
      </c>
      <c r="D1057" s="6" t="s">
        <v>3427</v>
      </c>
      <c r="E1057" s="6" t="s">
        <v>3428</v>
      </c>
      <c r="F1057" s="6" t="s">
        <v>13</v>
      </c>
      <c r="G1057" s="6" t="s">
        <v>6176</v>
      </c>
      <c r="H1057" s="6" t="s">
        <v>3</v>
      </c>
      <c r="I1057" s="6" t="s">
        <v>1368</v>
      </c>
      <c r="J1057" s="6"/>
      <c r="K1057" s="6" t="s">
        <v>2778</v>
      </c>
      <c r="L1057" s="6" t="s">
        <v>3429</v>
      </c>
      <c r="M1057" s="6" t="s">
        <v>3430</v>
      </c>
      <c r="N1057" s="6" t="s">
        <v>3431</v>
      </c>
      <c r="O1057" s="6" t="str">
        <f>HYPERLINK("https://ceds.ed.gov/cedselementdetails.aspx?termid=5172")</f>
        <v>https://ceds.ed.gov/cedselementdetails.aspx?termid=5172</v>
      </c>
      <c r="P1057" s="6" t="str">
        <f>HYPERLINK("https://ceds.ed.gov/elementComment.aspx?elementName=Last or Surname &amp;elementID=5172", "Click here to submit comment")</f>
        <v>Click here to submit comment</v>
      </c>
    </row>
    <row r="1058" spans="1:16" ht="150">
      <c r="A1058" s="6" t="s">
        <v>6788</v>
      </c>
      <c r="B1058" s="6" t="s">
        <v>6741</v>
      </c>
      <c r="C1058" s="6" t="s">
        <v>6717</v>
      </c>
      <c r="D1058" s="6" t="s">
        <v>2829</v>
      </c>
      <c r="E1058" s="6" t="s">
        <v>2830</v>
      </c>
      <c r="F1058" s="6" t="s">
        <v>13</v>
      </c>
      <c r="G1058" s="6" t="s">
        <v>6179</v>
      </c>
      <c r="H1058" s="6" t="s">
        <v>3</v>
      </c>
      <c r="I1058" s="6" t="s">
        <v>2031</v>
      </c>
      <c r="J1058" s="6"/>
      <c r="K1058" s="6" t="s">
        <v>2778</v>
      </c>
      <c r="L1058" s="6" t="s">
        <v>2831</v>
      </c>
      <c r="M1058" s="6"/>
      <c r="N1058" s="6" t="s">
        <v>2832</v>
      </c>
      <c r="O1058" s="6" t="str">
        <f>HYPERLINK("https://ceds.ed.gov/cedselementdetails.aspx?termid=5121")</f>
        <v>https://ceds.ed.gov/cedselementdetails.aspx?termid=5121</v>
      </c>
      <c r="P1058" s="6" t="str">
        <f>HYPERLINK("https://ceds.ed.gov/elementComment.aspx?elementName=Generation Code or Suffix &amp;elementID=5121", "Click here to submit comment")</f>
        <v>Click here to submit comment</v>
      </c>
    </row>
    <row r="1059" spans="1:16" ht="105">
      <c r="A1059" s="6" t="s">
        <v>6788</v>
      </c>
      <c r="B1059" s="6" t="s">
        <v>6741</v>
      </c>
      <c r="C1059" s="6" t="s">
        <v>6717</v>
      </c>
      <c r="D1059" s="6" t="s">
        <v>4498</v>
      </c>
      <c r="E1059" s="6" t="s">
        <v>4499</v>
      </c>
      <c r="F1059" s="6" t="s">
        <v>13</v>
      </c>
      <c r="G1059" s="6" t="s">
        <v>6280</v>
      </c>
      <c r="H1059" s="6" t="s">
        <v>3</v>
      </c>
      <c r="I1059" s="6" t="s">
        <v>100</v>
      </c>
      <c r="J1059" s="6"/>
      <c r="K1059" s="6"/>
      <c r="L1059" s="6" t="s">
        <v>4500</v>
      </c>
      <c r="M1059" s="6" t="s">
        <v>4501</v>
      </c>
      <c r="N1059" s="6" t="s">
        <v>4502</v>
      </c>
      <c r="O1059" s="6" t="str">
        <f>HYPERLINK("https://ceds.ed.gov/cedselementdetails.aspx?termid=5212")</f>
        <v>https://ceds.ed.gov/cedselementdetails.aspx?termid=5212</v>
      </c>
      <c r="P1059" s="6" t="str">
        <f>HYPERLINK("https://ceds.ed.gov/elementComment.aspx?elementName=Personal Title or Prefix &amp;elementID=5212", "Click here to submit comment")</f>
        <v>Click here to submit comment</v>
      </c>
    </row>
    <row r="1060" spans="1:16" ht="30">
      <c r="A1060" s="6" t="s">
        <v>6788</v>
      </c>
      <c r="B1060" s="6" t="s">
        <v>6741</v>
      </c>
      <c r="C1060" s="6" t="s">
        <v>6718</v>
      </c>
      <c r="D1060" s="6" t="s">
        <v>4375</v>
      </c>
      <c r="E1060" s="6" t="s">
        <v>4376</v>
      </c>
      <c r="F1060" s="6" t="s">
        <v>13</v>
      </c>
      <c r="G1060" s="6"/>
      <c r="H1060" s="6" t="s">
        <v>54</v>
      </c>
      <c r="I1060" s="6" t="s">
        <v>1368</v>
      </c>
      <c r="J1060" s="6"/>
      <c r="K1060" s="6" t="s">
        <v>4377</v>
      </c>
      <c r="L1060" s="6" t="s">
        <v>4378</v>
      </c>
      <c r="M1060" s="6"/>
      <c r="N1060" s="6" t="s">
        <v>4379</v>
      </c>
      <c r="O1060" s="6" t="str">
        <f>HYPERLINK("https://ceds.ed.gov/cedselementdetails.aspx?termid=6486")</f>
        <v>https://ceds.ed.gov/cedselementdetails.aspx?termid=6486</v>
      </c>
      <c r="P1060" s="6" t="str">
        <f>HYPERLINK("https://ceds.ed.gov/elementComment.aspx?elementName=Other First Name &amp;elementID=6486", "Click here to submit comment")</f>
        <v>Click here to submit comment</v>
      </c>
    </row>
    <row r="1061" spans="1:16" ht="30">
      <c r="A1061" s="6" t="s">
        <v>6788</v>
      </c>
      <c r="B1061" s="6" t="s">
        <v>6741</v>
      </c>
      <c r="C1061" s="6" t="s">
        <v>6718</v>
      </c>
      <c r="D1061" s="6" t="s">
        <v>4380</v>
      </c>
      <c r="E1061" s="6" t="s">
        <v>4381</v>
      </c>
      <c r="F1061" s="6" t="s">
        <v>13</v>
      </c>
      <c r="G1061" s="6"/>
      <c r="H1061" s="6" t="s">
        <v>54</v>
      </c>
      <c r="I1061" s="6" t="s">
        <v>1368</v>
      </c>
      <c r="J1061" s="6"/>
      <c r="K1061" s="6" t="s">
        <v>4382</v>
      </c>
      <c r="L1061" s="6" t="s">
        <v>4383</v>
      </c>
      <c r="M1061" s="6"/>
      <c r="N1061" s="6" t="s">
        <v>4384</v>
      </c>
      <c r="O1061" s="6" t="str">
        <f>HYPERLINK("https://ceds.ed.gov/cedselementdetails.aspx?termid=6485")</f>
        <v>https://ceds.ed.gov/cedselementdetails.aspx?termid=6485</v>
      </c>
      <c r="P1061" s="6" t="str">
        <f>HYPERLINK("https://ceds.ed.gov/elementComment.aspx?elementName=Other Last Name &amp;elementID=6485", "Click here to submit comment")</f>
        <v>Click here to submit comment</v>
      </c>
    </row>
    <row r="1062" spans="1:16" ht="30">
      <c r="A1062" s="6" t="s">
        <v>6788</v>
      </c>
      <c r="B1062" s="6" t="s">
        <v>6741</v>
      </c>
      <c r="C1062" s="6" t="s">
        <v>6718</v>
      </c>
      <c r="D1062" s="6" t="s">
        <v>4385</v>
      </c>
      <c r="E1062" s="6" t="s">
        <v>4386</v>
      </c>
      <c r="F1062" s="6" t="s">
        <v>13</v>
      </c>
      <c r="G1062" s="6"/>
      <c r="H1062" s="6" t="s">
        <v>54</v>
      </c>
      <c r="I1062" s="6" t="s">
        <v>1368</v>
      </c>
      <c r="J1062" s="6"/>
      <c r="K1062" s="6" t="s">
        <v>4387</v>
      </c>
      <c r="L1062" s="6" t="s">
        <v>4388</v>
      </c>
      <c r="M1062" s="6"/>
      <c r="N1062" s="6" t="s">
        <v>4389</v>
      </c>
      <c r="O1062" s="6" t="str">
        <f>HYPERLINK("https://ceds.ed.gov/cedselementdetails.aspx?termid=6487")</f>
        <v>https://ceds.ed.gov/cedselementdetails.aspx?termid=6487</v>
      </c>
      <c r="P1062" s="6" t="str">
        <f>HYPERLINK("https://ceds.ed.gov/elementComment.aspx?elementName=Other Middle Name &amp;elementID=6487", "Click here to submit comment")</f>
        <v>Click here to submit comment</v>
      </c>
    </row>
    <row r="1063" spans="1:16" ht="150">
      <c r="A1063" s="6" t="s">
        <v>6788</v>
      </c>
      <c r="B1063" s="6" t="s">
        <v>6741</v>
      </c>
      <c r="C1063" s="6" t="s">
        <v>6718</v>
      </c>
      <c r="D1063" s="6" t="s">
        <v>4390</v>
      </c>
      <c r="E1063" s="6" t="s">
        <v>4391</v>
      </c>
      <c r="F1063" s="6" t="s">
        <v>13</v>
      </c>
      <c r="G1063" s="6" t="s">
        <v>6179</v>
      </c>
      <c r="H1063" s="6" t="s">
        <v>3</v>
      </c>
      <c r="I1063" s="6" t="s">
        <v>149</v>
      </c>
      <c r="J1063" s="6"/>
      <c r="K1063" s="6"/>
      <c r="L1063" s="6" t="s">
        <v>4392</v>
      </c>
      <c r="M1063" s="6"/>
      <c r="N1063" s="6" t="s">
        <v>4393</v>
      </c>
      <c r="O1063" s="6" t="str">
        <f>HYPERLINK("https://ceds.ed.gov/cedselementdetails.aspx?termid=5206")</f>
        <v>https://ceds.ed.gov/cedselementdetails.aspx?termid=5206</v>
      </c>
      <c r="P1063" s="6" t="str">
        <f>HYPERLINK("https://ceds.ed.gov/elementComment.aspx?elementName=Other Name &amp;elementID=5206", "Click here to submit comment")</f>
        <v>Click here to submit comment</v>
      </c>
    </row>
    <row r="1064" spans="1:16" ht="90">
      <c r="A1064" s="6" t="s">
        <v>6788</v>
      </c>
      <c r="B1064" s="6" t="s">
        <v>6741</v>
      </c>
      <c r="C1064" s="6" t="s">
        <v>6718</v>
      </c>
      <c r="D1064" s="6" t="s">
        <v>4394</v>
      </c>
      <c r="E1064" s="6" t="s">
        <v>4395</v>
      </c>
      <c r="F1064" s="7" t="s">
        <v>6593</v>
      </c>
      <c r="G1064" s="6" t="s">
        <v>6273</v>
      </c>
      <c r="H1064" s="6" t="s">
        <v>3</v>
      </c>
      <c r="I1064" s="6" t="s">
        <v>100</v>
      </c>
      <c r="J1064" s="6"/>
      <c r="K1064" s="6"/>
      <c r="L1064" s="6" t="s">
        <v>4396</v>
      </c>
      <c r="M1064" s="6"/>
      <c r="N1064" s="6" t="s">
        <v>4397</v>
      </c>
      <c r="O1064" s="6" t="str">
        <f>HYPERLINK("https://ceds.ed.gov/cedselementdetails.aspx?termid=5627")</f>
        <v>https://ceds.ed.gov/cedselementdetails.aspx?termid=5627</v>
      </c>
      <c r="P1064" s="6" t="str">
        <f>HYPERLINK("https://ceds.ed.gov/elementComment.aspx?elementName=Other Name Type &amp;elementID=5627", "Click here to submit comment")</f>
        <v>Click here to submit comment</v>
      </c>
    </row>
    <row r="1065" spans="1:16" ht="390">
      <c r="A1065" s="6" t="s">
        <v>6788</v>
      </c>
      <c r="B1065" s="6" t="s">
        <v>6741</v>
      </c>
      <c r="C1065" s="6" t="s">
        <v>6719</v>
      </c>
      <c r="D1065" s="6" t="s">
        <v>5383</v>
      </c>
      <c r="E1065" s="6" t="s">
        <v>5384</v>
      </c>
      <c r="F1065" s="6" t="s">
        <v>13</v>
      </c>
      <c r="G1065" s="6" t="s">
        <v>6315</v>
      </c>
      <c r="H1065" s="6" t="s">
        <v>3</v>
      </c>
      <c r="I1065" s="6" t="s">
        <v>5385</v>
      </c>
      <c r="J1065" s="6"/>
      <c r="K1065" s="6" t="s">
        <v>5386</v>
      </c>
      <c r="L1065" s="6" t="s">
        <v>5387</v>
      </c>
      <c r="M1065" s="6" t="s">
        <v>5388</v>
      </c>
      <c r="N1065" s="6" t="s">
        <v>5389</v>
      </c>
      <c r="O1065" s="6" t="str">
        <f>HYPERLINK("https://ceds.ed.gov/cedselementdetails.aspx?termid=5259")</f>
        <v>https://ceds.ed.gov/cedselementdetails.aspx?termid=5259</v>
      </c>
      <c r="P1065" s="6" t="str">
        <f>HYPERLINK("https://ceds.ed.gov/elementComment.aspx?elementName=Social Security Number &amp;elementID=5259", "Click here to submit comment")</f>
        <v>Click here to submit comment</v>
      </c>
    </row>
    <row r="1066" spans="1:16" ht="375">
      <c r="A1066" s="6" t="s">
        <v>6788</v>
      </c>
      <c r="B1066" s="6" t="s">
        <v>6741</v>
      </c>
      <c r="C1066" s="6" t="s">
        <v>6719</v>
      </c>
      <c r="D1066" s="6" t="s">
        <v>4494</v>
      </c>
      <c r="E1066" s="6" t="s">
        <v>4495</v>
      </c>
      <c r="F1066" s="7" t="s">
        <v>6599</v>
      </c>
      <c r="G1066" s="6"/>
      <c r="H1066" s="6" t="s">
        <v>3</v>
      </c>
      <c r="I1066" s="6"/>
      <c r="J1066" s="6"/>
      <c r="K1066" s="6"/>
      <c r="L1066" s="6" t="s">
        <v>4496</v>
      </c>
      <c r="M1066" s="6"/>
      <c r="N1066" s="6" t="s">
        <v>4497</v>
      </c>
      <c r="O1066" s="6" t="str">
        <f>HYPERLINK("https://ceds.ed.gov/cedselementdetails.aspx?termid=5611")</f>
        <v>https://ceds.ed.gov/cedselementdetails.aspx?termid=5611</v>
      </c>
      <c r="P1066" s="6" t="str">
        <f>HYPERLINK("https://ceds.ed.gov/elementComment.aspx?elementName=Personal Information Verification &amp;elementID=5611", "Click here to submit comment")</f>
        <v>Click here to submit comment</v>
      </c>
    </row>
    <row r="1067" spans="1:16" ht="285">
      <c r="A1067" s="6" t="s">
        <v>6788</v>
      </c>
      <c r="B1067" s="6" t="s">
        <v>6741</v>
      </c>
      <c r="C1067" s="6" t="s">
        <v>6720</v>
      </c>
      <c r="D1067" s="6" t="s">
        <v>191</v>
      </c>
      <c r="E1067" s="6" t="s">
        <v>192</v>
      </c>
      <c r="F1067" s="7" t="s">
        <v>6353</v>
      </c>
      <c r="G1067" s="6" t="s">
        <v>5976</v>
      </c>
      <c r="H1067" s="6" t="s">
        <v>66</v>
      </c>
      <c r="I1067" s="6" t="s">
        <v>100</v>
      </c>
      <c r="J1067" s="6" t="s">
        <v>193</v>
      </c>
      <c r="K1067" s="6"/>
      <c r="L1067" s="6" t="s">
        <v>194</v>
      </c>
      <c r="M1067" s="6"/>
      <c r="N1067" s="6" t="s">
        <v>195</v>
      </c>
      <c r="O1067" s="6" t="str">
        <f>HYPERLINK("https://ceds.ed.gov/cedselementdetails.aspx?termid=5358")</f>
        <v>https://ceds.ed.gov/cedselementdetails.aspx?termid=5358</v>
      </c>
      <c r="P1067" s="6" t="str">
        <f>HYPERLINK("https://ceds.ed.gov/elementComment.aspx?elementName=Address Type for Learner or Family &amp;elementID=5358", "Click here to submit comment")</f>
        <v>Click here to submit comment</v>
      </c>
    </row>
    <row r="1068" spans="1:16" ht="225">
      <c r="A1068" s="6" t="s">
        <v>6788</v>
      </c>
      <c r="B1068" s="6" t="s">
        <v>6741</v>
      </c>
      <c r="C1068" s="6" t="s">
        <v>6720</v>
      </c>
      <c r="D1068" s="6" t="s">
        <v>187</v>
      </c>
      <c r="E1068" s="6" t="s">
        <v>188</v>
      </c>
      <c r="F1068" s="6" t="s">
        <v>13</v>
      </c>
      <c r="G1068" s="6" t="s">
        <v>5973</v>
      </c>
      <c r="H1068" s="6" t="s">
        <v>3</v>
      </c>
      <c r="I1068" s="6" t="s">
        <v>149</v>
      </c>
      <c r="J1068" s="6"/>
      <c r="K1068" s="6"/>
      <c r="L1068" s="6" t="s">
        <v>189</v>
      </c>
      <c r="M1068" s="6"/>
      <c r="N1068" s="6" t="s">
        <v>190</v>
      </c>
      <c r="O1068" s="6" t="str">
        <f>HYPERLINK("https://ceds.ed.gov/cedselementdetails.aspx?termid=5269")</f>
        <v>https://ceds.ed.gov/cedselementdetails.aspx?termid=5269</v>
      </c>
      <c r="P1068" s="6" t="str">
        <f>HYPERLINK("https://ceds.ed.gov/elementComment.aspx?elementName=Address Street Number and Name &amp;elementID=5269", "Click here to submit comment")</f>
        <v>Click here to submit comment</v>
      </c>
    </row>
    <row r="1069" spans="1:16" ht="225">
      <c r="A1069" s="6" t="s">
        <v>6788</v>
      </c>
      <c r="B1069" s="6" t="s">
        <v>6741</v>
      </c>
      <c r="C1069" s="6" t="s">
        <v>6720</v>
      </c>
      <c r="D1069" s="6" t="s">
        <v>170</v>
      </c>
      <c r="E1069" s="6" t="s">
        <v>171</v>
      </c>
      <c r="F1069" s="6" t="s">
        <v>13</v>
      </c>
      <c r="G1069" s="6" t="s">
        <v>5973</v>
      </c>
      <c r="H1069" s="6" t="s">
        <v>3</v>
      </c>
      <c r="I1069" s="6" t="s">
        <v>100</v>
      </c>
      <c r="J1069" s="6"/>
      <c r="K1069" s="6"/>
      <c r="L1069" s="6" t="s">
        <v>172</v>
      </c>
      <c r="M1069" s="6"/>
      <c r="N1069" s="6" t="s">
        <v>173</v>
      </c>
      <c r="O1069" s="6" t="str">
        <f>HYPERLINK("https://ceds.ed.gov/cedselementdetails.aspx?termid=5019")</f>
        <v>https://ceds.ed.gov/cedselementdetails.aspx?termid=5019</v>
      </c>
      <c r="P1069" s="6" t="str">
        <f>HYPERLINK("https://ceds.ed.gov/elementComment.aspx?elementName=Address Apartment Room or Suite Number &amp;elementID=5019", "Click here to submit comment")</f>
        <v>Click here to submit comment</v>
      </c>
    </row>
    <row r="1070" spans="1:16" ht="225">
      <c r="A1070" s="6" t="s">
        <v>6788</v>
      </c>
      <c r="B1070" s="6" t="s">
        <v>6741</v>
      </c>
      <c r="C1070" s="6" t="s">
        <v>6720</v>
      </c>
      <c r="D1070" s="6" t="s">
        <v>174</v>
      </c>
      <c r="E1070" s="6" t="s">
        <v>175</v>
      </c>
      <c r="F1070" s="6" t="s">
        <v>13</v>
      </c>
      <c r="G1070" s="6" t="s">
        <v>5973</v>
      </c>
      <c r="H1070" s="6" t="s">
        <v>3</v>
      </c>
      <c r="I1070" s="6" t="s">
        <v>100</v>
      </c>
      <c r="J1070" s="6"/>
      <c r="K1070" s="6"/>
      <c r="L1070" s="6" t="s">
        <v>176</v>
      </c>
      <c r="M1070" s="6"/>
      <c r="N1070" s="6" t="s">
        <v>177</v>
      </c>
      <c r="O1070" s="6" t="str">
        <f>HYPERLINK("https://ceds.ed.gov/cedselementdetails.aspx?termid=5040")</f>
        <v>https://ceds.ed.gov/cedselementdetails.aspx?termid=5040</v>
      </c>
      <c r="P1070" s="6" t="str">
        <f>HYPERLINK("https://ceds.ed.gov/elementComment.aspx?elementName=Address City &amp;elementID=5040", "Click here to submit comment")</f>
        <v>Click here to submit comment</v>
      </c>
    </row>
    <row r="1071" spans="1:16" ht="409.5">
      <c r="A1071" s="6" t="s">
        <v>6788</v>
      </c>
      <c r="B1071" s="6" t="s">
        <v>6741</v>
      </c>
      <c r="C1071" s="6" t="s">
        <v>6720</v>
      </c>
      <c r="D1071" s="6" t="s">
        <v>5533</v>
      </c>
      <c r="E1071" s="6" t="s">
        <v>5534</v>
      </c>
      <c r="F1071" s="7" t="s">
        <v>6633</v>
      </c>
      <c r="G1071" s="6" t="s">
        <v>6324</v>
      </c>
      <c r="H1071" s="6" t="s">
        <v>3</v>
      </c>
      <c r="I1071" s="6"/>
      <c r="J1071" s="6"/>
      <c r="K1071" s="6"/>
      <c r="L1071" s="6" t="s">
        <v>5535</v>
      </c>
      <c r="M1071" s="6"/>
      <c r="N1071" s="6" t="s">
        <v>5536</v>
      </c>
      <c r="O1071" s="6" t="str">
        <f>HYPERLINK("https://ceds.ed.gov/cedselementdetails.aspx?termid=5267")</f>
        <v>https://ceds.ed.gov/cedselementdetails.aspx?termid=5267</v>
      </c>
      <c r="P1071" s="6" t="str">
        <f>HYPERLINK("https://ceds.ed.gov/elementComment.aspx?elementName=State Abbreviation &amp;elementID=5267", "Click here to submit comment")</f>
        <v>Click here to submit comment</v>
      </c>
    </row>
    <row r="1072" spans="1:16" ht="225">
      <c r="A1072" s="6" t="s">
        <v>6788</v>
      </c>
      <c r="B1072" s="6" t="s">
        <v>6741</v>
      </c>
      <c r="C1072" s="6" t="s">
        <v>6720</v>
      </c>
      <c r="D1072" s="6" t="s">
        <v>182</v>
      </c>
      <c r="E1072" s="6" t="s">
        <v>183</v>
      </c>
      <c r="F1072" s="6" t="s">
        <v>13</v>
      </c>
      <c r="G1072" s="6" t="s">
        <v>5973</v>
      </c>
      <c r="H1072" s="6" t="s">
        <v>3</v>
      </c>
      <c r="I1072" s="6" t="s">
        <v>184</v>
      </c>
      <c r="J1072" s="6"/>
      <c r="K1072" s="6"/>
      <c r="L1072" s="6" t="s">
        <v>185</v>
      </c>
      <c r="M1072" s="6"/>
      <c r="N1072" s="6" t="s">
        <v>186</v>
      </c>
      <c r="O1072" s="6" t="str">
        <f>HYPERLINK("https://ceds.ed.gov/cedselementdetails.aspx?termid=5214")</f>
        <v>https://ceds.ed.gov/cedselementdetails.aspx?termid=5214</v>
      </c>
      <c r="P1072" s="6" t="str">
        <f>HYPERLINK("https://ceds.ed.gov/elementComment.aspx?elementName=Address Postal Code &amp;elementID=5214", "Click here to submit comment")</f>
        <v>Click here to submit comment</v>
      </c>
    </row>
    <row r="1073" spans="1:16" ht="225">
      <c r="A1073" s="6" t="s">
        <v>6788</v>
      </c>
      <c r="B1073" s="6" t="s">
        <v>6741</v>
      </c>
      <c r="C1073" s="6" t="s">
        <v>6720</v>
      </c>
      <c r="D1073" s="6" t="s">
        <v>178</v>
      </c>
      <c r="E1073" s="6" t="s">
        <v>179</v>
      </c>
      <c r="F1073" s="6" t="s">
        <v>13</v>
      </c>
      <c r="G1073" s="6" t="s">
        <v>5973</v>
      </c>
      <c r="H1073" s="6" t="s">
        <v>3</v>
      </c>
      <c r="I1073" s="6" t="s">
        <v>100</v>
      </c>
      <c r="J1073" s="6"/>
      <c r="K1073" s="6"/>
      <c r="L1073" s="6" t="s">
        <v>180</v>
      </c>
      <c r="M1073" s="6"/>
      <c r="N1073" s="6" t="s">
        <v>181</v>
      </c>
      <c r="O1073" s="6" t="str">
        <f>HYPERLINK("https://ceds.ed.gov/cedselementdetails.aspx?termid=5190")</f>
        <v>https://ceds.ed.gov/cedselementdetails.aspx?termid=5190</v>
      </c>
      <c r="P1073" s="6" t="str">
        <f>HYPERLINK("https://ceds.ed.gov/elementComment.aspx?elementName=Address County Name &amp;elementID=5190", "Click here to submit comment")</f>
        <v>Click here to submit comment</v>
      </c>
    </row>
    <row r="1074" spans="1:16" ht="409.5">
      <c r="A1074" s="6" t="s">
        <v>6788</v>
      </c>
      <c r="B1074" s="6" t="s">
        <v>6741</v>
      </c>
      <c r="C1074" s="6" t="s">
        <v>6720</v>
      </c>
      <c r="D1074" s="6" t="s">
        <v>1809</v>
      </c>
      <c r="E1074" s="6" t="s">
        <v>1810</v>
      </c>
      <c r="F1074" s="7" t="s">
        <v>6433</v>
      </c>
      <c r="G1074" s="6" t="s">
        <v>6107</v>
      </c>
      <c r="H1074" s="6" t="s">
        <v>3</v>
      </c>
      <c r="I1074" s="6"/>
      <c r="J1074" s="6"/>
      <c r="K1074" s="6"/>
      <c r="L1074" s="6" t="s">
        <v>1811</v>
      </c>
      <c r="M1074" s="6"/>
      <c r="N1074" s="6" t="s">
        <v>1812</v>
      </c>
      <c r="O1074" s="6" t="str">
        <f>HYPERLINK("https://ceds.ed.gov/cedselementdetails.aspx?termid=5050")</f>
        <v>https://ceds.ed.gov/cedselementdetails.aspx?termid=5050</v>
      </c>
      <c r="P1074" s="6" t="str">
        <f>HYPERLINK("https://ceds.ed.gov/elementComment.aspx?elementName=Country Code &amp;elementID=5050", "Click here to submit comment")</f>
        <v>Click here to submit comment</v>
      </c>
    </row>
    <row r="1075" spans="1:16" ht="135">
      <c r="A1075" s="6" t="s">
        <v>6788</v>
      </c>
      <c r="B1075" s="6" t="s">
        <v>6741</v>
      </c>
      <c r="C1075" s="6" t="s">
        <v>6721</v>
      </c>
      <c r="D1075" s="6" t="s">
        <v>5732</v>
      </c>
      <c r="E1075" s="6" t="s">
        <v>5733</v>
      </c>
      <c r="F1075" s="7" t="s">
        <v>6675</v>
      </c>
      <c r="G1075" s="6" t="s">
        <v>5968</v>
      </c>
      <c r="H1075" s="6" t="s">
        <v>3</v>
      </c>
      <c r="I1075" s="6" t="s">
        <v>2844</v>
      </c>
      <c r="J1075" s="6"/>
      <c r="K1075" s="6"/>
      <c r="L1075" s="6" t="s">
        <v>5734</v>
      </c>
      <c r="M1075" s="6"/>
      <c r="N1075" s="6" t="s">
        <v>5735</v>
      </c>
      <c r="O1075" s="6" t="str">
        <f>HYPERLINK("https://ceds.ed.gov/cedselementdetails.aspx?termid=5280")</f>
        <v>https://ceds.ed.gov/cedselementdetails.aspx?termid=5280</v>
      </c>
      <c r="P1075" s="6" t="str">
        <f>HYPERLINK("https://ceds.ed.gov/elementComment.aspx?elementName=Telephone Number Type &amp;elementID=5280", "Click here to submit comment")</f>
        <v>Click here to submit comment</v>
      </c>
    </row>
    <row r="1076" spans="1:16" ht="90">
      <c r="A1076" s="6" t="s">
        <v>6788</v>
      </c>
      <c r="B1076" s="6" t="s">
        <v>6741</v>
      </c>
      <c r="C1076" s="6" t="s">
        <v>6721</v>
      </c>
      <c r="D1076" s="6" t="s">
        <v>4591</v>
      </c>
      <c r="E1076" s="6" t="s">
        <v>4592</v>
      </c>
      <c r="F1076" s="6" t="s">
        <v>5963</v>
      </c>
      <c r="G1076" s="6" t="s">
        <v>5968</v>
      </c>
      <c r="H1076" s="6" t="s">
        <v>3</v>
      </c>
      <c r="I1076" s="6"/>
      <c r="J1076" s="6"/>
      <c r="K1076" s="6"/>
      <c r="L1076" s="6" t="s">
        <v>4593</v>
      </c>
      <c r="M1076" s="6"/>
      <c r="N1076" s="6" t="s">
        <v>4594</v>
      </c>
      <c r="O1076" s="6" t="str">
        <f>HYPERLINK("https://ceds.ed.gov/cedselementdetails.aspx?termid=5219")</f>
        <v>https://ceds.ed.gov/cedselementdetails.aspx?termid=5219</v>
      </c>
      <c r="P1076" s="6" t="str">
        <f>HYPERLINK("https://ceds.ed.gov/elementComment.aspx?elementName=Primary Telephone Number Indicator &amp;elementID=5219", "Click here to submit comment")</f>
        <v>Click here to submit comment</v>
      </c>
    </row>
    <row r="1077" spans="1:16" ht="90">
      <c r="A1077" s="6" t="s">
        <v>6788</v>
      </c>
      <c r="B1077" s="6" t="s">
        <v>6741</v>
      </c>
      <c r="C1077" s="6" t="s">
        <v>6721</v>
      </c>
      <c r="D1077" s="6" t="s">
        <v>5727</v>
      </c>
      <c r="E1077" s="6" t="s">
        <v>5728</v>
      </c>
      <c r="F1077" s="6" t="s">
        <v>13</v>
      </c>
      <c r="G1077" s="6" t="s">
        <v>5968</v>
      </c>
      <c r="H1077" s="6" t="s">
        <v>3</v>
      </c>
      <c r="I1077" s="6" t="s">
        <v>5729</v>
      </c>
      <c r="J1077" s="6"/>
      <c r="K1077" s="6"/>
      <c r="L1077" s="6" t="s">
        <v>5730</v>
      </c>
      <c r="M1077" s="6"/>
      <c r="N1077" s="6" t="s">
        <v>5731</v>
      </c>
      <c r="O1077" s="6" t="str">
        <f>HYPERLINK("https://ceds.ed.gov/cedselementdetails.aspx?termid=5279")</f>
        <v>https://ceds.ed.gov/cedselementdetails.aspx?termid=5279</v>
      </c>
      <c r="P1077" s="6" t="str">
        <f>HYPERLINK("https://ceds.ed.gov/elementComment.aspx?elementName=Telephone Number &amp;elementID=5279", "Click here to submit comment")</f>
        <v>Click here to submit comment</v>
      </c>
    </row>
    <row r="1078" spans="1:16" ht="105">
      <c r="A1078" s="6" t="s">
        <v>6788</v>
      </c>
      <c r="B1078" s="6" t="s">
        <v>6741</v>
      </c>
      <c r="C1078" s="6" t="s">
        <v>6742</v>
      </c>
      <c r="D1078" s="6" t="s">
        <v>2457</v>
      </c>
      <c r="E1078" s="6" t="s">
        <v>2458</v>
      </c>
      <c r="F1078" s="7" t="s">
        <v>6489</v>
      </c>
      <c r="G1078" s="6" t="s">
        <v>5968</v>
      </c>
      <c r="H1078" s="6" t="s">
        <v>3</v>
      </c>
      <c r="I1078" s="6"/>
      <c r="J1078" s="6"/>
      <c r="K1078" s="6"/>
      <c r="L1078" s="6" t="s">
        <v>2459</v>
      </c>
      <c r="M1078" s="6" t="s">
        <v>2460</v>
      </c>
      <c r="N1078" s="6" t="s">
        <v>2461</v>
      </c>
      <c r="O1078" s="6" t="str">
        <f>HYPERLINK("https://ceds.ed.gov/cedselementdetails.aspx?termid=5089")</f>
        <v>https://ceds.ed.gov/cedselementdetails.aspx?termid=5089</v>
      </c>
      <c r="P1078" s="6" t="str">
        <f>HYPERLINK("https://ceds.ed.gov/elementComment.aspx?elementName=Electronic Mail Address Type &amp;elementID=5089", "Click here to submit comment")</f>
        <v>Click here to submit comment</v>
      </c>
    </row>
    <row r="1079" spans="1:16" ht="90">
      <c r="A1079" s="6" t="s">
        <v>6788</v>
      </c>
      <c r="B1079" s="6" t="s">
        <v>6741</v>
      </c>
      <c r="C1079" s="6" t="s">
        <v>6742</v>
      </c>
      <c r="D1079" s="6" t="s">
        <v>2451</v>
      </c>
      <c r="E1079" s="6" t="s">
        <v>2452</v>
      </c>
      <c r="F1079" s="6" t="s">
        <v>13</v>
      </c>
      <c r="G1079" s="6" t="s">
        <v>5968</v>
      </c>
      <c r="H1079" s="6" t="s">
        <v>3</v>
      </c>
      <c r="I1079" s="6" t="s">
        <v>2453</v>
      </c>
      <c r="J1079" s="6"/>
      <c r="K1079" s="6"/>
      <c r="L1079" s="6" t="s">
        <v>2454</v>
      </c>
      <c r="M1079" s="6" t="s">
        <v>2455</v>
      </c>
      <c r="N1079" s="6" t="s">
        <v>2456</v>
      </c>
      <c r="O1079" s="6" t="str">
        <f>HYPERLINK("https://ceds.ed.gov/cedselementdetails.aspx?termid=5088")</f>
        <v>https://ceds.ed.gov/cedselementdetails.aspx?termid=5088</v>
      </c>
      <c r="P1079" s="6" t="str">
        <f>HYPERLINK("https://ceds.ed.gov/elementComment.aspx?elementName=Electronic Mail Address &amp;elementID=5088", "Click here to submit comment")</f>
        <v>Click here to submit comment</v>
      </c>
    </row>
    <row r="1080" spans="1:16" ht="255">
      <c r="A1080" s="6" t="s">
        <v>6788</v>
      </c>
      <c r="B1080" s="6" t="s">
        <v>6741</v>
      </c>
      <c r="C1080" s="6" t="s">
        <v>6722</v>
      </c>
      <c r="D1080" s="6" t="s">
        <v>5353</v>
      </c>
      <c r="E1080" s="6" t="s">
        <v>5354</v>
      </c>
      <c r="F1080" s="7" t="s">
        <v>6656</v>
      </c>
      <c r="G1080" s="6" t="s">
        <v>6312</v>
      </c>
      <c r="H1080" s="6" t="s">
        <v>3</v>
      </c>
      <c r="I1080" s="6"/>
      <c r="J1080" s="6"/>
      <c r="K1080" s="6" t="s">
        <v>5355</v>
      </c>
      <c r="L1080" s="6" t="s">
        <v>5356</v>
      </c>
      <c r="M1080" s="6"/>
      <c r="N1080" s="6" t="s">
        <v>5353</v>
      </c>
      <c r="O1080" s="6" t="str">
        <f>HYPERLINK("https://ceds.ed.gov/cedselementdetails.aspx?termid=5255")</f>
        <v>https://ceds.ed.gov/cedselementdetails.aspx?termid=5255</v>
      </c>
      <c r="P1080" s="6" t="str">
        <f>HYPERLINK("https://ceds.ed.gov/elementComment.aspx?elementName=Sex &amp;elementID=5255", "Click here to submit comment")</f>
        <v>Click here to submit comment</v>
      </c>
    </row>
    <row r="1081" spans="1:16" ht="409.5">
      <c r="A1081" s="6" t="s">
        <v>6788</v>
      </c>
      <c r="B1081" s="6" t="s">
        <v>6741</v>
      </c>
      <c r="C1081" s="6" t="s">
        <v>6820</v>
      </c>
      <c r="D1081" s="6" t="s">
        <v>4490</v>
      </c>
      <c r="E1081" s="6" t="s">
        <v>4491</v>
      </c>
      <c r="F1081" s="7" t="s">
        <v>6598</v>
      </c>
      <c r="G1081" s="6" t="s">
        <v>1480</v>
      </c>
      <c r="H1081" s="6" t="s">
        <v>3</v>
      </c>
      <c r="I1081" s="6"/>
      <c r="J1081" s="6"/>
      <c r="K1081" s="6"/>
      <c r="L1081" s="6" t="s">
        <v>4492</v>
      </c>
      <c r="M1081" s="6"/>
      <c r="N1081" s="6" t="s">
        <v>4493</v>
      </c>
      <c r="O1081" s="6" t="str">
        <f>HYPERLINK("https://ceds.ed.gov/cedselementdetails.aspx?termid=5415")</f>
        <v>https://ceds.ed.gov/cedselementdetails.aspx?termid=5415</v>
      </c>
      <c r="P1081" s="6" t="str">
        <f>HYPERLINK("https://ceds.ed.gov/elementComment.aspx?elementName=Person Relationship to Learner Type &amp;elementID=5415", "Click here to submit comment")</f>
        <v>Click here to submit comment</v>
      </c>
    </row>
    <row r="1082" spans="1:16" ht="45">
      <c r="A1082" s="6" t="s">
        <v>6788</v>
      </c>
      <c r="B1082" s="6" t="s">
        <v>6741</v>
      </c>
      <c r="C1082" s="6" t="s">
        <v>6820</v>
      </c>
      <c r="D1082" s="6" t="s">
        <v>2470</v>
      </c>
      <c r="E1082" s="6" t="s">
        <v>2471</v>
      </c>
      <c r="F1082" s="6" t="s">
        <v>5963</v>
      </c>
      <c r="G1082" s="6"/>
      <c r="H1082" s="6" t="s">
        <v>54</v>
      </c>
      <c r="I1082" s="6"/>
      <c r="J1082" s="6"/>
      <c r="K1082" s="6"/>
      <c r="L1082" s="6" t="s">
        <v>2472</v>
      </c>
      <c r="M1082" s="6"/>
      <c r="N1082" s="6" t="s">
        <v>2473</v>
      </c>
      <c r="O1082" s="6" t="str">
        <f>HYPERLINK("https://ceds.ed.gov/cedselementdetails.aspx?termid=6308")</f>
        <v>https://ceds.ed.gov/cedselementdetails.aspx?termid=6308</v>
      </c>
      <c r="P1082" s="6" t="str">
        <f>HYPERLINK("https://ceds.ed.gov/elementComment.aspx?elementName=Emergency Contact Indicator &amp;elementID=6308", "Click here to submit comment")</f>
        <v>Click here to submit comment</v>
      </c>
    </row>
    <row r="1083" spans="1:16" ht="60">
      <c r="A1083" s="6" t="s">
        <v>6788</v>
      </c>
      <c r="B1083" s="6" t="s">
        <v>6741</v>
      </c>
      <c r="C1083" s="6" t="s">
        <v>6820</v>
      </c>
      <c r="D1083" s="6" t="s">
        <v>4478</v>
      </c>
      <c r="E1083" s="6" t="s">
        <v>4479</v>
      </c>
      <c r="F1083" s="6" t="s">
        <v>13</v>
      </c>
      <c r="G1083" s="6"/>
      <c r="H1083" s="6" t="s">
        <v>54</v>
      </c>
      <c r="I1083" s="6" t="s">
        <v>575</v>
      </c>
      <c r="J1083" s="6"/>
      <c r="K1083" s="6"/>
      <c r="L1083" s="6" t="s">
        <v>4480</v>
      </c>
      <c r="M1083" s="6"/>
      <c r="N1083" s="6" t="s">
        <v>4481</v>
      </c>
      <c r="O1083" s="6" t="str">
        <f>HYPERLINK("https://ceds.ed.gov/cedselementdetails.aspx?termid=6392")</f>
        <v>https://ceds.ed.gov/cedselementdetails.aspx?termid=6392</v>
      </c>
      <c r="P1083" s="6" t="str">
        <f>HYPERLINK("https://ceds.ed.gov/elementComment.aspx?elementName=Person Relationship to Learner Contact Priority Number &amp;elementID=6392", "Click here to submit comment")</f>
        <v>Click here to submit comment</v>
      </c>
    </row>
    <row r="1084" spans="1:16" ht="75">
      <c r="A1084" s="6" t="s">
        <v>6788</v>
      </c>
      <c r="B1084" s="6" t="s">
        <v>6741</v>
      </c>
      <c r="C1084" s="6" t="s">
        <v>6820</v>
      </c>
      <c r="D1084" s="6" t="s">
        <v>4482</v>
      </c>
      <c r="E1084" s="6" t="s">
        <v>4483</v>
      </c>
      <c r="F1084" s="6" t="s">
        <v>13</v>
      </c>
      <c r="G1084" s="6"/>
      <c r="H1084" s="6" t="s">
        <v>54</v>
      </c>
      <c r="I1084" s="6" t="s">
        <v>319</v>
      </c>
      <c r="J1084" s="6"/>
      <c r="K1084" s="6"/>
      <c r="L1084" s="6" t="s">
        <v>4484</v>
      </c>
      <c r="M1084" s="6"/>
      <c r="N1084" s="6" t="s">
        <v>4485</v>
      </c>
      <c r="O1084" s="6" t="str">
        <f>HYPERLINK("https://ceds.ed.gov/cedselementdetails.aspx?termid=6393")</f>
        <v>https://ceds.ed.gov/cedselementdetails.aspx?termid=6393</v>
      </c>
      <c r="P1084" s="6" t="str">
        <f>HYPERLINK("https://ceds.ed.gov/elementComment.aspx?elementName=Person Relationship to Learner Contact Restrictions Description &amp;elementID=6393", "Click here to submit comment")</f>
        <v>Click here to submit comment</v>
      </c>
    </row>
    <row r="1085" spans="1:16" ht="60">
      <c r="A1085" s="6" t="s">
        <v>6788</v>
      </c>
      <c r="B1085" s="6" t="s">
        <v>6741</v>
      </c>
      <c r="C1085" s="6" t="s">
        <v>6820</v>
      </c>
      <c r="D1085" s="6" t="s">
        <v>4486</v>
      </c>
      <c r="E1085" s="6" t="s">
        <v>4487</v>
      </c>
      <c r="F1085" s="6" t="s">
        <v>5963</v>
      </c>
      <c r="G1085" s="6"/>
      <c r="H1085" s="6" t="s">
        <v>54</v>
      </c>
      <c r="I1085" s="6"/>
      <c r="J1085" s="6"/>
      <c r="K1085" s="6"/>
      <c r="L1085" s="6" t="s">
        <v>4488</v>
      </c>
      <c r="M1085" s="6"/>
      <c r="N1085" s="6" t="s">
        <v>4489</v>
      </c>
      <c r="O1085" s="6" t="str">
        <f>HYPERLINK("https://ceds.ed.gov/cedselementdetails.aspx?termid=6394")</f>
        <v>https://ceds.ed.gov/cedselementdetails.aspx?termid=6394</v>
      </c>
      <c r="P1085" s="6" t="str">
        <f>HYPERLINK("https://ceds.ed.gov/elementComment.aspx?elementName=Person Relationship to Learner Lives With Indicator &amp;elementID=6394", "Click here to submit comment")</f>
        <v>Click here to submit comment</v>
      </c>
    </row>
    <row r="1086" spans="1:16" ht="90">
      <c r="A1086" s="6" t="s">
        <v>6788</v>
      </c>
      <c r="B1086" s="6" t="s">
        <v>6741</v>
      </c>
      <c r="C1086" s="6" t="s">
        <v>6820</v>
      </c>
      <c r="D1086" s="6" t="s">
        <v>4583</v>
      </c>
      <c r="E1086" s="6" t="s">
        <v>4584</v>
      </c>
      <c r="F1086" s="6" t="s">
        <v>5963</v>
      </c>
      <c r="G1086" s="6"/>
      <c r="H1086" s="6" t="s">
        <v>54</v>
      </c>
      <c r="I1086" s="6"/>
      <c r="J1086" s="6"/>
      <c r="K1086" s="6"/>
      <c r="L1086" s="6" t="s">
        <v>4585</v>
      </c>
      <c r="M1086" s="6"/>
      <c r="N1086" s="6" t="s">
        <v>4586</v>
      </c>
      <c r="O1086" s="6" t="str">
        <f>HYPERLINK("https://ceds.ed.gov/cedselementdetails.aspx?termid=6397")</f>
        <v>https://ceds.ed.gov/cedselementdetails.aspx?termid=6397</v>
      </c>
      <c r="P1086" s="6" t="str">
        <f>HYPERLINK("https://ceds.ed.gov/elementComment.aspx?elementName=Primary Contact Indicator &amp;elementID=6397", "Click here to submit comment")</f>
        <v>Click here to submit comment</v>
      </c>
    </row>
    <row r="1087" spans="1:16" ht="195">
      <c r="A1087" s="6" t="s">
        <v>6788</v>
      </c>
      <c r="B1087" s="6" t="s">
        <v>6821</v>
      </c>
      <c r="C1087" s="6" t="s">
        <v>6717</v>
      </c>
      <c r="D1087" s="6" t="s">
        <v>2776</v>
      </c>
      <c r="E1087" s="6" t="s">
        <v>2777</v>
      </c>
      <c r="F1087" s="6" t="s">
        <v>13</v>
      </c>
      <c r="G1087" s="6" t="s">
        <v>6176</v>
      </c>
      <c r="H1087" s="6" t="s">
        <v>3</v>
      </c>
      <c r="I1087" s="6" t="s">
        <v>1368</v>
      </c>
      <c r="J1087" s="6"/>
      <c r="K1087" s="6" t="s">
        <v>2778</v>
      </c>
      <c r="L1087" s="6" t="s">
        <v>2779</v>
      </c>
      <c r="M1087" s="6"/>
      <c r="N1087" s="6" t="s">
        <v>2780</v>
      </c>
      <c r="O1087" s="6" t="str">
        <f>HYPERLINK("https://ceds.ed.gov/cedselementdetails.aspx?termid=5115")</f>
        <v>https://ceds.ed.gov/cedselementdetails.aspx?termid=5115</v>
      </c>
      <c r="P1087" s="6" t="str">
        <f>HYPERLINK("https://ceds.ed.gov/elementComment.aspx?elementName=First Name &amp;elementID=5115", "Click here to submit comment")</f>
        <v>Click here to submit comment</v>
      </c>
    </row>
    <row r="1088" spans="1:16" ht="195">
      <c r="A1088" s="6" t="s">
        <v>6788</v>
      </c>
      <c r="B1088" s="6" t="s">
        <v>6821</v>
      </c>
      <c r="C1088" s="6" t="s">
        <v>6717</v>
      </c>
      <c r="D1088" s="6" t="s">
        <v>4088</v>
      </c>
      <c r="E1088" s="6" t="s">
        <v>4089</v>
      </c>
      <c r="F1088" s="6" t="s">
        <v>13</v>
      </c>
      <c r="G1088" s="6" t="s">
        <v>6176</v>
      </c>
      <c r="H1088" s="6" t="s">
        <v>3</v>
      </c>
      <c r="I1088" s="6" t="s">
        <v>1368</v>
      </c>
      <c r="J1088" s="6"/>
      <c r="K1088" s="6" t="s">
        <v>2778</v>
      </c>
      <c r="L1088" s="6" t="s">
        <v>4090</v>
      </c>
      <c r="M1088" s="6"/>
      <c r="N1088" s="6" t="s">
        <v>4091</v>
      </c>
      <c r="O1088" s="6" t="str">
        <f>HYPERLINK("https://ceds.ed.gov/cedselementdetails.aspx?termid=5184")</f>
        <v>https://ceds.ed.gov/cedselementdetails.aspx?termid=5184</v>
      </c>
      <c r="P1088" s="6" t="str">
        <f>HYPERLINK("https://ceds.ed.gov/elementComment.aspx?elementName=Middle Name &amp;elementID=5184", "Click here to submit comment")</f>
        <v>Click here to submit comment</v>
      </c>
    </row>
    <row r="1089" spans="1:16" ht="195">
      <c r="A1089" s="6" t="s">
        <v>6788</v>
      </c>
      <c r="B1089" s="6" t="s">
        <v>6821</v>
      </c>
      <c r="C1089" s="6" t="s">
        <v>6717</v>
      </c>
      <c r="D1089" s="6" t="s">
        <v>3427</v>
      </c>
      <c r="E1089" s="6" t="s">
        <v>3428</v>
      </c>
      <c r="F1089" s="6" t="s">
        <v>13</v>
      </c>
      <c r="G1089" s="6" t="s">
        <v>6176</v>
      </c>
      <c r="H1089" s="6" t="s">
        <v>3</v>
      </c>
      <c r="I1089" s="6" t="s">
        <v>1368</v>
      </c>
      <c r="J1089" s="6"/>
      <c r="K1089" s="6" t="s">
        <v>2778</v>
      </c>
      <c r="L1089" s="6" t="s">
        <v>3429</v>
      </c>
      <c r="M1089" s="6" t="s">
        <v>3430</v>
      </c>
      <c r="N1089" s="6" t="s">
        <v>3431</v>
      </c>
      <c r="O1089" s="6" t="str">
        <f>HYPERLINK("https://ceds.ed.gov/cedselementdetails.aspx?termid=5172")</f>
        <v>https://ceds.ed.gov/cedselementdetails.aspx?termid=5172</v>
      </c>
      <c r="P1089" s="6" t="str">
        <f>HYPERLINK("https://ceds.ed.gov/elementComment.aspx?elementName=Last or Surname &amp;elementID=5172", "Click here to submit comment")</f>
        <v>Click here to submit comment</v>
      </c>
    </row>
    <row r="1090" spans="1:16" ht="150">
      <c r="A1090" s="6" t="s">
        <v>6788</v>
      </c>
      <c r="B1090" s="6" t="s">
        <v>6821</v>
      </c>
      <c r="C1090" s="6" t="s">
        <v>6717</v>
      </c>
      <c r="D1090" s="6" t="s">
        <v>2829</v>
      </c>
      <c r="E1090" s="6" t="s">
        <v>2830</v>
      </c>
      <c r="F1090" s="6" t="s">
        <v>13</v>
      </c>
      <c r="G1090" s="6" t="s">
        <v>6179</v>
      </c>
      <c r="H1090" s="6" t="s">
        <v>3</v>
      </c>
      <c r="I1090" s="6" t="s">
        <v>2031</v>
      </c>
      <c r="J1090" s="6"/>
      <c r="K1090" s="6" t="s">
        <v>2778</v>
      </c>
      <c r="L1090" s="6" t="s">
        <v>2831</v>
      </c>
      <c r="M1090" s="6"/>
      <c r="N1090" s="6" t="s">
        <v>2832</v>
      </c>
      <c r="O1090" s="6" t="str">
        <f>HYPERLINK("https://ceds.ed.gov/cedselementdetails.aspx?termid=5121")</f>
        <v>https://ceds.ed.gov/cedselementdetails.aspx?termid=5121</v>
      </c>
      <c r="P1090" s="6" t="str">
        <f>HYPERLINK("https://ceds.ed.gov/elementComment.aspx?elementName=Generation Code or Suffix &amp;elementID=5121", "Click here to submit comment")</f>
        <v>Click here to submit comment</v>
      </c>
    </row>
    <row r="1091" spans="1:16" ht="105">
      <c r="A1091" s="6" t="s">
        <v>6788</v>
      </c>
      <c r="B1091" s="6" t="s">
        <v>6821</v>
      </c>
      <c r="C1091" s="6" t="s">
        <v>6717</v>
      </c>
      <c r="D1091" s="6" t="s">
        <v>4498</v>
      </c>
      <c r="E1091" s="6" t="s">
        <v>4499</v>
      </c>
      <c r="F1091" s="6" t="s">
        <v>13</v>
      </c>
      <c r="G1091" s="6" t="s">
        <v>6280</v>
      </c>
      <c r="H1091" s="6" t="s">
        <v>3</v>
      </c>
      <c r="I1091" s="6" t="s">
        <v>100</v>
      </c>
      <c r="J1091" s="6"/>
      <c r="K1091" s="6"/>
      <c r="L1091" s="6" t="s">
        <v>4500</v>
      </c>
      <c r="M1091" s="6" t="s">
        <v>4501</v>
      </c>
      <c r="N1091" s="6" t="s">
        <v>4502</v>
      </c>
      <c r="O1091" s="6" t="str">
        <f>HYPERLINK("https://ceds.ed.gov/cedselementdetails.aspx?termid=5212")</f>
        <v>https://ceds.ed.gov/cedselementdetails.aspx?termid=5212</v>
      </c>
      <c r="P1091" s="6" t="str">
        <f>HYPERLINK("https://ceds.ed.gov/elementComment.aspx?elementName=Personal Title or Prefix &amp;elementID=5212", "Click here to submit comment")</f>
        <v>Click here to submit comment</v>
      </c>
    </row>
    <row r="1092" spans="1:16" ht="30">
      <c r="A1092" s="6" t="s">
        <v>6788</v>
      </c>
      <c r="B1092" s="6" t="s">
        <v>6821</v>
      </c>
      <c r="C1092" s="6" t="s">
        <v>6718</v>
      </c>
      <c r="D1092" s="6" t="s">
        <v>4375</v>
      </c>
      <c r="E1092" s="6" t="s">
        <v>4376</v>
      </c>
      <c r="F1092" s="6" t="s">
        <v>13</v>
      </c>
      <c r="G1092" s="6"/>
      <c r="H1092" s="6" t="s">
        <v>54</v>
      </c>
      <c r="I1092" s="6" t="s">
        <v>1368</v>
      </c>
      <c r="J1092" s="6"/>
      <c r="K1092" s="6" t="s">
        <v>4377</v>
      </c>
      <c r="L1092" s="6" t="s">
        <v>4378</v>
      </c>
      <c r="M1092" s="6"/>
      <c r="N1092" s="6" t="s">
        <v>4379</v>
      </c>
      <c r="O1092" s="6" t="str">
        <f>HYPERLINK("https://ceds.ed.gov/cedselementdetails.aspx?termid=6486")</f>
        <v>https://ceds.ed.gov/cedselementdetails.aspx?termid=6486</v>
      </c>
      <c r="P1092" s="6" t="str">
        <f>HYPERLINK("https://ceds.ed.gov/elementComment.aspx?elementName=Other First Name &amp;elementID=6486", "Click here to submit comment")</f>
        <v>Click here to submit comment</v>
      </c>
    </row>
    <row r="1093" spans="1:16" ht="30">
      <c r="A1093" s="6" t="s">
        <v>6788</v>
      </c>
      <c r="B1093" s="6" t="s">
        <v>6821</v>
      </c>
      <c r="C1093" s="6" t="s">
        <v>6718</v>
      </c>
      <c r="D1093" s="6" t="s">
        <v>4380</v>
      </c>
      <c r="E1093" s="6" t="s">
        <v>4381</v>
      </c>
      <c r="F1093" s="6" t="s">
        <v>13</v>
      </c>
      <c r="G1093" s="6"/>
      <c r="H1093" s="6" t="s">
        <v>54</v>
      </c>
      <c r="I1093" s="6" t="s">
        <v>1368</v>
      </c>
      <c r="J1093" s="6"/>
      <c r="K1093" s="6" t="s">
        <v>4382</v>
      </c>
      <c r="L1093" s="6" t="s">
        <v>4383</v>
      </c>
      <c r="M1093" s="6"/>
      <c r="N1093" s="6" t="s">
        <v>4384</v>
      </c>
      <c r="O1093" s="6" t="str">
        <f>HYPERLINK("https://ceds.ed.gov/cedselementdetails.aspx?termid=6485")</f>
        <v>https://ceds.ed.gov/cedselementdetails.aspx?termid=6485</v>
      </c>
      <c r="P1093" s="6" t="str">
        <f>HYPERLINK("https://ceds.ed.gov/elementComment.aspx?elementName=Other Last Name &amp;elementID=6485", "Click here to submit comment")</f>
        <v>Click here to submit comment</v>
      </c>
    </row>
    <row r="1094" spans="1:16" ht="30">
      <c r="A1094" s="6" t="s">
        <v>6788</v>
      </c>
      <c r="B1094" s="6" t="s">
        <v>6821</v>
      </c>
      <c r="C1094" s="6" t="s">
        <v>6718</v>
      </c>
      <c r="D1094" s="6" t="s">
        <v>4385</v>
      </c>
      <c r="E1094" s="6" t="s">
        <v>4386</v>
      </c>
      <c r="F1094" s="6" t="s">
        <v>13</v>
      </c>
      <c r="G1094" s="6"/>
      <c r="H1094" s="6" t="s">
        <v>54</v>
      </c>
      <c r="I1094" s="6" t="s">
        <v>1368</v>
      </c>
      <c r="J1094" s="6"/>
      <c r="K1094" s="6" t="s">
        <v>4387</v>
      </c>
      <c r="L1094" s="6" t="s">
        <v>4388</v>
      </c>
      <c r="M1094" s="6"/>
      <c r="N1094" s="6" t="s">
        <v>4389</v>
      </c>
      <c r="O1094" s="6" t="str">
        <f>HYPERLINK("https://ceds.ed.gov/cedselementdetails.aspx?termid=6487")</f>
        <v>https://ceds.ed.gov/cedselementdetails.aspx?termid=6487</v>
      </c>
      <c r="P1094" s="6" t="str">
        <f>HYPERLINK("https://ceds.ed.gov/elementComment.aspx?elementName=Other Middle Name &amp;elementID=6487", "Click here to submit comment")</f>
        <v>Click here to submit comment</v>
      </c>
    </row>
    <row r="1095" spans="1:16" ht="150">
      <c r="A1095" s="6" t="s">
        <v>6788</v>
      </c>
      <c r="B1095" s="6" t="s">
        <v>6821</v>
      </c>
      <c r="C1095" s="6" t="s">
        <v>6718</v>
      </c>
      <c r="D1095" s="6" t="s">
        <v>4390</v>
      </c>
      <c r="E1095" s="6" t="s">
        <v>4391</v>
      </c>
      <c r="F1095" s="6" t="s">
        <v>13</v>
      </c>
      <c r="G1095" s="6" t="s">
        <v>6179</v>
      </c>
      <c r="H1095" s="6" t="s">
        <v>3</v>
      </c>
      <c r="I1095" s="6" t="s">
        <v>149</v>
      </c>
      <c r="J1095" s="6"/>
      <c r="K1095" s="6"/>
      <c r="L1095" s="6" t="s">
        <v>4392</v>
      </c>
      <c r="M1095" s="6"/>
      <c r="N1095" s="6" t="s">
        <v>4393</v>
      </c>
      <c r="O1095" s="6" t="str">
        <f>HYPERLINK("https://ceds.ed.gov/cedselementdetails.aspx?termid=5206")</f>
        <v>https://ceds.ed.gov/cedselementdetails.aspx?termid=5206</v>
      </c>
      <c r="P1095" s="6" t="str">
        <f>HYPERLINK("https://ceds.ed.gov/elementComment.aspx?elementName=Other Name &amp;elementID=5206", "Click here to submit comment")</f>
        <v>Click here to submit comment</v>
      </c>
    </row>
    <row r="1096" spans="1:16" ht="90">
      <c r="A1096" s="6" t="s">
        <v>6788</v>
      </c>
      <c r="B1096" s="6" t="s">
        <v>6821</v>
      </c>
      <c r="C1096" s="6" t="s">
        <v>6718</v>
      </c>
      <c r="D1096" s="6" t="s">
        <v>4394</v>
      </c>
      <c r="E1096" s="6" t="s">
        <v>4395</v>
      </c>
      <c r="F1096" s="7" t="s">
        <v>6593</v>
      </c>
      <c r="G1096" s="6" t="s">
        <v>6273</v>
      </c>
      <c r="H1096" s="6" t="s">
        <v>3</v>
      </c>
      <c r="I1096" s="6" t="s">
        <v>100</v>
      </c>
      <c r="J1096" s="6"/>
      <c r="K1096" s="6"/>
      <c r="L1096" s="6" t="s">
        <v>4396</v>
      </c>
      <c r="M1096" s="6"/>
      <c r="N1096" s="6" t="s">
        <v>4397</v>
      </c>
      <c r="O1096" s="6" t="str">
        <f>HYPERLINK("https://ceds.ed.gov/cedselementdetails.aspx?termid=5627")</f>
        <v>https://ceds.ed.gov/cedselementdetails.aspx?termid=5627</v>
      </c>
      <c r="P1096" s="6" t="str">
        <f>HYPERLINK("https://ceds.ed.gov/elementComment.aspx?elementName=Other Name Type &amp;elementID=5627", "Click here to submit comment")</f>
        <v>Click here to submit comment</v>
      </c>
    </row>
    <row r="1097" spans="1:16" ht="135">
      <c r="A1097" s="6" t="s">
        <v>6788</v>
      </c>
      <c r="B1097" s="6" t="s">
        <v>6821</v>
      </c>
      <c r="C1097" s="6" t="s">
        <v>6719</v>
      </c>
      <c r="D1097" s="6" t="s">
        <v>5506</v>
      </c>
      <c r="E1097" s="6" t="s">
        <v>5507</v>
      </c>
      <c r="F1097" s="6" t="s">
        <v>13</v>
      </c>
      <c r="G1097" s="6" t="s">
        <v>6322</v>
      </c>
      <c r="H1097" s="6" t="s">
        <v>3</v>
      </c>
      <c r="I1097" s="6" t="s">
        <v>100</v>
      </c>
      <c r="J1097" s="6"/>
      <c r="K1097" s="6"/>
      <c r="L1097" s="6" t="s">
        <v>5508</v>
      </c>
      <c r="M1097" s="6"/>
      <c r="N1097" s="6" t="s">
        <v>5509</v>
      </c>
      <c r="O1097" s="6" t="str">
        <f>HYPERLINK("https://ceds.ed.gov/cedselementdetails.aspx?termid=5156")</f>
        <v>https://ceds.ed.gov/cedselementdetails.aspx?termid=5156</v>
      </c>
      <c r="P1097" s="6" t="str">
        <f>HYPERLINK("https://ceds.ed.gov/elementComment.aspx?elementName=Staff Member Identifier &amp;elementID=5156", "Click here to submit comment")</f>
        <v>Click here to submit comment</v>
      </c>
    </row>
    <row r="1098" spans="1:16" ht="409.5">
      <c r="A1098" s="6" t="s">
        <v>6788</v>
      </c>
      <c r="B1098" s="6" t="s">
        <v>6821</v>
      </c>
      <c r="C1098" s="6" t="s">
        <v>6719</v>
      </c>
      <c r="D1098" s="6" t="s">
        <v>5502</v>
      </c>
      <c r="E1098" s="6" t="s">
        <v>5503</v>
      </c>
      <c r="F1098" s="7" t="s">
        <v>6662</v>
      </c>
      <c r="G1098" s="6" t="s">
        <v>6321</v>
      </c>
      <c r="H1098" s="6" t="s">
        <v>3</v>
      </c>
      <c r="I1098" s="6"/>
      <c r="J1098" s="6"/>
      <c r="K1098" s="6"/>
      <c r="L1098" s="6" t="s">
        <v>5504</v>
      </c>
      <c r="M1098" s="6"/>
      <c r="N1098" s="6" t="s">
        <v>5505</v>
      </c>
      <c r="O1098" s="6" t="str">
        <f>HYPERLINK("https://ceds.ed.gov/cedselementdetails.aspx?termid=5162")</f>
        <v>https://ceds.ed.gov/cedselementdetails.aspx?termid=5162</v>
      </c>
      <c r="P1098" s="6" t="str">
        <f>HYPERLINK("https://ceds.ed.gov/elementComment.aspx?elementName=Staff Member Identification System &amp;elementID=5162", "Click here to submit comment")</f>
        <v>Click here to submit comment</v>
      </c>
    </row>
    <row r="1099" spans="1:16" ht="390">
      <c r="A1099" s="6" t="s">
        <v>6788</v>
      </c>
      <c r="B1099" s="6" t="s">
        <v>6821</v>
      </c>
      <c r="C1099" s="6" t="s">
        <v>6719</v>
      </c>
      <c r="D1099" s="6" t="s">
        <v>5383</v>
      </c>
      <c r="E1099" s="6" t="s">
        <v>5384</v>
      </c>
      <c r="F1099" s="6" t="s">
        <v>13</v>
      </c>
      <c r="G1099" s="6" t="s">
        <v>6315</v>
      </c>
      <c r="H1099" s="6" t="s">
        <v>3</v>
      </c>
      <c r="I1099" s="6" t="s">
        <v>5385</v>
      </c>
      <c r="J1099" s="6"/>
      <c r="K1099" s="6" t="s">
        <v>5386</v>
      </c>
      <c r="L1099" s="6" t="s">
        <v>5387</v>
      </c>
      <c r="M1099" s="6" t="s">
        <v>5388</v>
      </c>
      <c r="N1099" s="6" t="s">
        <v>5389</v>
      </c>
      <c r="O1099" s="6" t="str">
        <f>HYPERLINK("https://ceds.ed.gov/cedselementdetails.aspx?termid=5259")</f>
        <v>https://ceds.ed.gov/cedselementdetails.aspx?termid=5259</v>
      </c>
      <c r="P1099" s="6" t="str">
        <f>HYPERLINK("https://ceds.ed.gov/elementComment.aspx?elementName=Social Security Number &amp;elementID=5259", "Click here to submit comment")</f>
        <v>Click here to submit comment</v>
      </c>
    </row>
    <row r="1100" spans="1:16" ht="375">
      <c r="A1100" s="6" t="s">
        <v>6788</v>
      </c>
      <c r="B1100" s="6" t="s">
        <v>6821</v>
      </c>
      <c r="C1100" s="6" t="s">
        <v>6719</v>
      </c>
      <c r="D1100" s="6" t="s">
        <v>4494</v>
      </c>
      <c r="E1100" s="6" t="s">
        <v>4495</v>
      </c>
      <c r="F1100" s="7" t="s">
        <v>6599</v>
      </c>
      <c r="G1100" s="6"/>
      <c r="H1100" s="6" t="s">
        <v>3</v>
      </c>
      <c r="I1100" s="6"/>
      <c r="J1100" s="6"/>
      <c r="K1100" s="6"/>
      <c r="L1100" s="6" t="s">
        <v>4496</v>
      </c>
      <c r="M1100" s="6"/>
      <c r="N1100" s="6" t="s">
        <v>4497</v>
      </c>
      <c r="O1100" s="6" t="str">
        <f>HYPERLINK("https://ceds.ed.gov/cedselementdetails.aspx?termid=5611")</f>
        <v>https://ceds.ed.gov/cedselementdetails.aspx?termid=5611</v>
      </c>
      <c r="P1100" s="6" t="str">
        <f>HYPERLINK("https://ceds.ed.gov/elementComment.aspx?elementName=Personal Information Verification &amp;elementID=5611", "Click here to submit comment")</f>
        <v>Click here to submit comment</v>
      </c>
    </row>
    <row r="1101" spans="1:16" ht="150">
      <c r="A1101" s="6" t="s">
        <v>6788</v>
      </c>
      <c r="B1101" s="6" t="s">
        <v>6821</v>
      </c>
      <c r="C1101" s="6" t="s">
        <v>6720</v>
      </c>
      <c r="D1101" s="6" t="s">
        <v>200</v>
      </c>
      <c r="E1101" s="6" t="s">
        <v>201</v>
      </c>
      <c r="F1101" s="7" t="s">
        <v>6355</v>
      </c>
      <c r="G1101" s="6" t="s">
        <v>202</v>
      </c>
      <c r="H1101" s="6" t="s">
        <v>3</v>
      </c>
      <c r="I1101" s="6" t="s">
        <v>100</v>
      </c>
      <c r="J1101" s="6"/>
      <c r="K1101" s="6"/>
      <c r="L1101" s="6" t="s">
        <v>203</v>
      </c>
      <c r="M1101" s="6"/>
      <c r="N1101" s="6" t="s">
        <v>204</v>
      </c>
      <c r="O1101" s="6" t="str">
        <f>HYPERLINK("https://ceds.ed.gov/cedselementdetails.aspx?termid=5698")</f>
        <v>https://ceds.ed.gov/cedselementdetails.aspx?termid=5698</v>
      </c>
      <c r="P1101" s="6" t="str">
        <f>HYPERLINK("https://ceds.ed.gov/elementComment.aspx?elementName=Address Type for Staff &amp;elementID=5698", "Click here to submit comment")</f>
        <v>Click here to submit comment</v>
      </c>
    </row>
    <row r="1102" spans="1:16" ht="225">
      <c r="A1102" s="6" t="s">
        <v>6788</v>
      </c>
      <c r="B1102" s="6" t="s">
        <v>6821</v>
      </c>
      <c r="C1102" s="6" t="s">
        <v>6720</v>
      </c>
      <c r="D1102" s="6" t="s">
        <v>187</v>
      </c>
      <c r="E1102" s="6" t="s">
        <v>188</v>
      </c>
      <c r="F1102" s="6" t="s">
        <v>13</v>
      </c>
      <c r="G1102" s="6" t="s">
        <v>5973</v>
      </c>
      <c r="H1102" s="6" t="s">
        <v>3</v>
      </c>
      <c r="I1102" s="6" t="s">
        <v>149</v>
      </c>
      <c r="J1102" s="6"/>
      <c r="K1102" s="6"/>
      <c r="L1102" s="6" t="s">
        <v>189</v>
      </c>
      <c r="M1102" s="6"/>
      <c r="N1102" s="6" t="s">
        <v>190</v>
      </c>
      <c r="O1102" s="6" t="str">
        <f>HYPERLINK("https://ceds.ed.gov/cedselementdetails.aspx?termid=5269")</f>
        <v>https://ceds.ed.gov/cedselementdetails.aspx?termid=5269</v>
      </c>
      <c r="P1102" s="6" t="str">
        <f>HYPERLINK("https://ceds.ed.gov/elementComment.aspx?elementName=Address Street Number and Name &amp;elementID=5269", "Click here to submit comment")</f>
        <v>Click here to submit comment</v>
      </c>
    </row>
    <row r="1103" spans="1:16" ht="225">
      <c r="A1103" s="6" t="s">
        <v>6788</v>
      </c>
      <c r="B1103" s="6" t="s">
        <v>6821</v>
      </c>
      <c r="C1103" s="6" t="s">
        <v>6720</v>
      </c>
      <c r="D1103" s="6" t="s">
        <v>170</v>
      </c>
      <c r="E1103" s="6" t="s">
        <v>171</v>
      </c>
      <c r="F1103" s="6" t="s">
        <v>13</v>
      </c>
      <c r="G1103" s="6" t="s">
        <v>5973</v>
      </c>
      <c r="H1103" s="6" t="s">
        <v>3</v>
      </c>
      <c r="I1103" s="6" t="s">
        <v>100</v>
      </c>
      <c r="J1103" s="6"/>
      <c r="K1103" s="6"/>
      <c r="L1103" s="6" t="s">
        <v>172</v>
      </c>
      <c r="M1103" s="6"/>
      <c r="N1103" s="6" t="s">
        <v>173</v>
      </c>
      <c r="O1103" s="6" t="str">
        <f>HYPERLINK("https://ceds.ed.gov/cedselementdetails.aspx?termid=5019")</f>
        <v>https://ceds.ed.gov/cedselementdetails.aspx?termid=5019</v>
      </c>
      <c r="P1103" s="6" t="str">
        <f>HYPERLINK("https://ceds.ed.gov/elementComment.aspx?elementName=Address Apartment Room or Suite Number &amp;elementID=5019", "Click here to submit comment")</f>
        <v>Click here to submit comment</v>
      </c>
    </row>
    <row r="1104" spans="1:16" ht="225">
      <c r="A1104" s="6" t="s">
        <v>6788</v>
      </c>
      <c r="B1104" s="6" t="s">
        <v>6821</v>
      </c>
      <c r="C1104" s="6" t="s">
        <v>6720</v>
      </c>
      <c r="D1104" s="6" t="s">
        <v>174</v>
      </c>
      <c r="E1104" s="6" t="s">
        <v>175</v>
      </c>
      <c r="F1104" s="6" t="s">
        <v>13</v>
      </c>
      <c r="G1104" s="6" t="s">
        <v>5973</v>
      </c>
      <c r="H1104" s="6" t="s">
        <v>3</v>
      </c>
      <c r="I1104" s="6" t="s">
        <v>100</v>
      </c>
      <c r="J1104" s="6"/>
      <c r="K1104" s="6"/>
      <c r="L1104" s="6" t="s">
        <v>176</v>
      </c>
      <c r="M1104" s="6"/>
      <c r="N1104" s="6" t="s">
        <v>177</v>
      </c>
      <c r="O1104" s="6" t="str">
        <f>HYPERLINK("https://ceds.ed.gov/cedselementdetails.aspx?termid=5040")</f>
        <v>https://ceds.ed.gov/cedselementdetails.aspx?termid=5040</v>
      </c>
      <c r="P1104" s="6" t="str">
        <f>HYPERLINK("https://ceds.ed.gov/elementComment.aspx?elementName=Address City &amp;elementID=5040", "Click here to submit comment")</f>
        <v>Click here to submit comment</v>
      </c>
    </row>
    <row r="1105" spans="1:16" ht="409.5">
      <c r="A1105" s="6" t="s">
        <v>6788</v>
      </c>
      <c r="B1105" s="6" t="s">
        <v>6821</v>
      </c>
      <c r="C1105" s="6" t="s">
        <v>6720</v>
      </c>
      <c r="D1105" s="6" t="s">
        <v>5533</v>
      </c>
      <c r="E1105" s="6" t="s">
        <v>5534</v>
      </c>
      <c r="F1105" s="7" t="s">
        <v>6633</v>
      </c>
      <c r="G1105" s="6" t="s">
        <v>6324</v>
      </c>
      <c r="H1105" s="6" t="s">
        <v>3</v>
      </c>
      <c r="I1105" s="6"/>
      <c r="J1105" s="6"/>
      <c r="K1105" s="6"/>
      <c r="L1105" s="6" t="s">
        <v>5535</v>
      </c>
      <c r="M1105" s="6"/>
      <c r="N1105" s="6" t="s">
        <v>5536</v>
      </c>
      <c r="O1105" s="6" t="str">
        <f>HYPERLINK("https://ceds.ed.gov/cedselementdetails.aspx?termid=5267")</f>
        <v>https://ceds.ed.gov/cedselementdetails.aspx?termid=5267</v>
      </c>
      <c r="P1105" s="6" t="str">
        <f>HYPERLINK("https://ceds.ed.gov/elementComment.aspx?elementName=State Abbreviation &amp;elementID=5267", "Click here to submit comment")</f>
        <v>Click here to submit comment</v>
      </c>
    </row>
    <row r="1106" spans="1:16" ht="225">
      <c r="A1106" s="6" t="s">
        <v>6788</v>
      </c>
      <c r="B1106" s="6" t="s">
        <v>6821</v>
      </c>
      <c r="C1106" s="6" t="s">
        <v>6720</v>
      </c>
      <c r="D1106" s="6" t="s">
        <v>182</v>
      </c>
      <c r="E1106" s="6" t="s">
        <v>183</v>
      </c>
      <c r="F1106" s="6" t="s">
        <v>13</v>
      </c>
      <c r="G1106" s="6" t="s">
        <v>5973</v>
      </c>
      <c r="H1106" s="6" t="s">
        <v>3</v>
      </c>
      <c r="I1106" s="6" t="s">
        <v>184</v>
      </c>
      <c r="J1106" s="6"/>
      <c r="K1106" s="6"/>
      <c r="L1106" s="6" t="s">
        <v>185</v>
      </c>
      <c r="M1106" s="6"/>
      <c r="N1106" s="6" t="s">
        <v>186</v>
      </c>
      <c r="O1106" s="6" t="str">
        <f>HYPERLINK("https://ceds.ed.gov/cedselementdetails.aspx?termid=5214")</f>
        <v>https://ceds.ed.gov/cedselementdetails.aspx?termid=5214</v>
      </c>
      <c r="P1106" s="6" t="str">
        <f>HYPERLINK("https://ceds.ed.gov/elementComment.aspx?elementName=Address Postal Code &amp;elementID=5214", "Click here to submit comment")</f>
        <v>Click here to submit comment</v>
      </c>
    </row>
    <row r="1107" spans="1:16" ht="225">
      <c r="A1107" s="6" t="s">
        <v>6788</v>
      </c>
      <c r="B1107" s="6" t="s">
        <v>6821</v>
      </c>
      <c r="C1107" s="6" t="s">
        <v>6720</v>
      </c>
      <c r="D1107" s="6" t="s">
        <v>178</v>
      </c>
      <c r="E1107" s="6" t="s">
        <v>179</v>
      </c>
      <c r="F1107" s="6" t="s">
        <v>13</v>
      </c>
      <c r="G1107" s="6" t="s">
        <v>5973</v>
      </c>
      <c r="H1107" s="6" t="s">
        <v>3</v>
      </c>
      <c r="I1107" s="6" t="s">
        <v>100</v>
      </c>
      <c r="J1107" s="6"/>
      <c r="K1107" s="6"/>
      <c r="L1107" s="6" t="s">
        <v>180</v>
      </c>
      <c r="M1107" s="6"/>
      <c r="N1107" s="6" t="s">
        <v>181</v>
      </c>
      <c r="O1107" s="6" t="str">
        <f>HYPERLINK("https://ceds.ed.gov/cedselementdetails.aspx?termid=5190")</f>
        <v>https://ceds.ed.gov/cedselementdetails.aspx?termid=5190</v>
      </c>
      <c r="P1107" s="6" t="str">
        <f>HYPERLINK("https://ceds.ed.gov/elementComment.aspx?elementName=Address County Name &amp;elementID=5190", "Click here to submit comment")</f>
        <v>Click here to submit comment</v>
      </c>
    </row>
    <row r="1108" spans="1:16" ht="409.5">
      <c r="A1108" s="6" t="s">
        <v>6788</v>
      </c>
      <c r="B1108" s="6" t="s">
        <v>6821</v>
      </c>
      <c r="C1108" s="6" t="s">
        <v>6720</v>
      </c>
      <c r="D1108" s="6" t="s">
        <v>1809</v>
      </c>
      <c r="E1108" s="6" t="s">
        <v>1810</v>
      </c>
      <c r="F1108" s="7" t="s">
        <v>6433</v>
      </c>
      <c r="G1108" s="6" t="s">
        <v>6107</v>
      </c>
      <c r="H1108" s="6" t="s">
        <v>3</v>
      </c>
      <c r="I1108" s="6"/>
      <c r="J1108" s="6"/>
      <c r="K1108" s="6"/>
      <c r="L1108" s="6" t="s">
        <v>1811</v>
      </c>
      <c r="M1108" s="6"/>
      <c r="N1108" s="6" t="s">
        <v>1812</v>
      </c>
      <c r="O1108" s="6" t="str">
        <f>HYPERLINK("https://ceds.ed.gov/cedselementdetails.aspx?termid=5050")</f>
        <v>https://ceds.ed.gov/cedselementdetails.aspx?termid=5050</v>
      </c>
      <c r="P1108" s="6" t="str">
        <f>HYPERLINK("https://ceds.ed.gov/elementComment.aspx?elementName=Country Code &amp;elementID=5050", "Click here to submit comment")</f>
        <v>Click here to submit comment</v>
      </c>
    </row>
    <row r="1109" spans="1:16" ht="135">
      <c r="A1109" s="6" t="s">
        <v>6788</v>
      </c>
      <c r="B1109" s="6" t="s">
        <v>6821</v>
      </c>
      <c r="C1109" s="6" t="s">
        <v>6721</v>
      </c>
      <c r="D1109" s="6" t="s">
        <v>5732</v>
      </c>
      <c r="E1109" s="6" t="s">
        <v>5733</v>
      </c>
      <c r="F1109" s="7" t="s">
        <v>6675</v>
      </c>
      <c r="G1109" s="6" t="s">
        <v>5968</v>
      </c>
      <c r="H1109" s="6" t="s">
        <v>3</v>
      </c>
      <c r="I1109" s="6" t="s">
        <v>2844</v>
      </c>
      <c r="J1109" s="6"/>
      <c r="K1109" s="6"/>
      <c r="L1109" s="6" t="s">
        <v>5734</v>
      </c>
      <c r="M1109" s="6"/>
      <c r="N1109" s="6" t="s">
        <v>5735</v>
      </c>
      <c r="O1109" s="6" t="str">
        <f>HYPERLINK("https://ceds.ed.gov/cedselementdetails.aspx?termid=5280")</f>
        <v>https://ceds.ed.gov/cedselementdetails.aspx?termid=5280</v>
      </c>
      <c r="P1109" s="6" t="str">
        <f>HYPERLINK("https://ceds.ed.gov/elementComment.aspx?elementName=Telephone Number Type &amp;elementID=5280", "Click here to submit comment")</f>
        <v>Click here to submit comment</v>
      </c>
    </row>
    <row r="1110" spans="1:16" ht="90">
      <c r="A1110" s="6" t="s">
        <v>6788</v>
      </c>
      <c r="B1110" s="6" t="s">
        <v>6821</v>
      </c>
      <c r="C1110" s="6" t="s">
        <v>6721</v>
      </c>
      <c r="D1110" s="6" t="s">
        <v>4591</v>
      </c>
      <c r="E1110" s="6" t="s">
        <v>4592</v>
      </c>
      <c r="F1110" s="6" t="s">
        <v>5963</v>
      </c>
      <c r="G1110" s="6" t="s">
        <v>5968</v>
      </c>
      <c r="H1110" s="6" t="s">
        <v>3</v>
      </c>
      <c r="I1110" s="6"/>
      <c r="J1110" s="6"/>
      <c r="K1110" s="6"/>
      <c r="L1110" s="6" t="s">
        <v>4593</v>
      </c>
      <c r="M1110" s="6"/>
      <c r="N1110" s="6" t="s">
        <v>4594</v>
      </c>
      <c r="O1110" s="6" t="str">
        <f>HYPERLINK("https://ceds.ed.gov/cedselementdetails.aspx?termid=5219")</f>
        <v>https://ceds.ed.gov/cedselementdetails.aspx?termid=5219</v>
      </c>
      <c r="P1110" s="6" t="str">
        <f>HYPERLINK("https://ceds.ed.gov/elementComment.aspx?elementName=Primary Telephone Number Indicator &amp;elementID=5219", "Click here to submit comment")</f>
        <v>Click here to submit comment</v>
      </c>
    </row>
    <row r="1111" spans="1:16" ht="90">
      <c r="A1111" s="6" t="s">
        <v>6788</v>
      </c>
      <c r="B1111" s="6" t="s">
        <v>6821</v>
      </c>
      <c r="C1111" s="6" t="s">
        <v>6721</v>
      </c>
      <c r="D1111" s="6" t="s">
        <v>5727</v>
      </c>
      <c r="E1111" s="6" t="s">
        <v>5728</v>
      </c>
      <c r="F1111" s="6" t="s">
        <v>13</v>
      </c>
      <c r="G1111" s="6" t="s">
        <v>5968</v>
      </c>
      <c r="H1111" s="6" t="s">
        <v>3</v>
      </c>
      <c r="I1111" s="6" t="s">
        <v>5729</v>
      </c>
      <c r="J1111" s="6"/>
      <c r="K1111" s="6"/>
      <c r="L1111" s="6" t="s">
        <v>5730</v>
      </c>
      <c r="M1111" s="6"/>
      <c r="N1111" s="6" t="s">
        <v>5731</v>
      </c>
      <c r="O1111" s="6" t="str">
        <f>HYPERLINK("https://ceds.ed.gov/cedselementdetails.aspx?termid=5279")</f>
        <v>https://ceds.ed.gov/cedselementdetails.aspx?termid=5279</v>
      </c>
      <c r="P1111" s="6" t="str">
        <f>HYPERLINK("https://ceds.ed.gov/elementComment.aspx?elementName=Telephone Number &amp;elementID=5279", "Click here to submit comment")</f>
        <v>Click here to submit comment</v>
      </c>
    </row>
    <row r="1112" spans="1:16" ht="105">
      <c r="A1112" s="6" t="s">
        <v>6788</v>
      </c>
      <c r="B1112" s="6" t="s">
        <v>6821</v>
      </c>
      <c r="C1112" s="6" t="s">
        <v>6742</v>
      </c>
      <c r="D1112" s="6" t="s">
        <v>2457</v>
      </c>
      <c r="E1112" s="6" t="s">
        <v>2458</v>
      </c>
      <c r="F1112" s="7" t="s">
        <v>6489</v>
      </c>
      <c r="G1112" s="6" t="s">
        <v>5968</v>
      </c>
      <c r="H1112" s="6" t="s">
        <v>3</v>
      </c>
      <c r="I1112" s="6"/>
      <c r="J1112" s="6"/>
      <c r="K1112" s="6"/>
      <c r="L1112" s="6" t="s">
        <v>2459</v>
      </c>
      <c r="M1112" s="6" t="s">
        <v>2460</v>
      </c>
      <c r="N1112" s="6" t="s">
        <v>2461</v>
      </c>
      <c r="O1112" s="6" t="str">
        <f>HYPERLINK("https://ceds.ed.gov/cedselementdetails.aspx?termid=5089")</f>
        <v>https://ceds.ed.gov/cedselementdetails.aspx?termid=5089</v>
      </c>
      <c r="P1112" s="6" t="str">
        <f>HYPERLINK("https://ceds.ed.gov/elementComment.aspx?elementName=Electronic Mail Address Type &amp;elementID=5089", "Click here to submit comment")</f>
        <v>Click here to submit comment</v>
      </c>
    </row>
    <row r="1113" spans="1:16" ht="90">
      <c r="A1113" s="6" t="s">
        <v>6788</v>
      </c>
      <c r="B1113" s="6" t="s">
        <v>6821</v>
      </c>
      <c r="C1113" s="6" t="s">
        <v>6742</v>
      </c>
      <c r="D1113" s="6" t="s">
        <v>2451</v>
      </c>
      <c r="E1113" s="6" t="s">
        <v>2452</v>
      </c>
      <c r="F1113" s="6" t="s">
        <v>13</v>
      </c>
      <c r="G1113" s="6" t="s">
        <v>5968</v>
      </c>
      <c r="H1113" s="6" t="s">
        <v>3</v>
      </c>
      <c r="I1113" s="6" t="s">
        <v>2453</v>
      </c>
      <c r="J1113" s="6"/>
      <c r="K1113" s="6"/>
      <c r="L1113" s="6" t="s">
        <v>2454</v>
      </c>
      <c r="M1113" s="6" t="s">
        <v>2455</v>
      </c>
      <c r="N1113" s="6" t="s">
        <v>2456</v>
      </c>
      <c r="O1113" s="6" t="str">
        <f>HYPERLINK("https://ceds.ed.gov/cedselementdetails.aspx?termid=5088")</f>
        <v>https://ceds.ed.gov/cedselementdetails.aspx?termid=5088</v>
      </c>
      <c r="P1113" s="6" t="str">
        <f>HYPERLINK("https://ceds.ed.gov/elementComment.aspx?elementName=Electronic Mail Address &amp;elementID=5088", "Click here to submit comment")</f>
        <v>Click here to submit comment</v>
      </c>
    </row>
    <row r="1114" spans="1:16" ht="240">
      <c r="A1114" s="6" t="s">
        <v>6788</v>
      </c>
      <c r="B1114" s="6" t="s">
        <v>6821</v>
      </c>
      <c r="C1114" s="6" t="s">
        <v>6722</v>
      </c>
      <c r="D1114" s="6" t="s">
        <v>1474</v>
      </c>
      <c r="E1114" s="6" t="s">
        <v>1475</v>
      </c>
      <c r="F1114" s="6" t="s">
        <v>13</v>
      </c>
      <c r="G1114" s="6" t="s">
        <v>6080</v>
      </c>
      <c r="H1114" s="6" t="s">
        <v>3</v>
      </c>
      <c r="I1114" s="6" t="s">
        <v>73</v>
      </c>
      <c r="J1114" s="6"/>
      <c r="K1114" s="6"/>
      <c r="L1114" s="6" t="s">
        <v>1476</v>
      </c>
      <c r="M1114" s="6"/>
      <c r="N1114" s="6" t="s">
        <v>1474</v>
      </c>
      <c r="O1114" s="6" t="str">
        <f>HYPERLINK("https://ceds.ed.gov/cedselementdetails.aspx?termid=5033")</f>
        <v>https://ceds.ed.gov/cedselementdetails.aspx?termid=5033</v>
      </c>
      <c r="P1114" s="6" t="str">
        <f>HYPERLINK("https://ceds.ed.gov/elementComment.aspx?elementName=Birthdate &amp;elementID=5033", "Click here to submit comment")</f>
        <v>Click here to submit comment</v>
      </c>
    </row>
    <row r="1115" spans="1:16" ht="255">
      <c r="A1115" s="6" t="s">
        <v>6788</v>
      </c>
      <c r="B1115" s="6" t="s">
        <v>6821</v>
      </c>
      <c r="C1115" s="6" t="s">
        <v>6722</v>
      </c>
      <c r="D1115" s="6" t="s">
        <v>5353</v>
      </c>
      <c r="E1115" s="6" t="s">
        <v>5354</v>
      </c>
      <c r="F1115" s="7" t="s">
        <v>6656</v>
      </c>
      <c r="G1115" s="6" t="s">
        <v>6312</v>
      </c>
      <c r="H1115" s="6" t="s">
        <v>3</v>
      </c>
      <c r="I1115" s="6"/>
      <c r="J1115" s="6"/>
      <c r="K1115" s="6" t="s">
        <v>5355</v>
      </c>
      <c r="L1115" s="6" t="s">
        <v>5356</v>
      </c>
      <c r="M1115" s="6"/>
      <c r="N1115" s="6" t="s">
        <v>5353</v>
      </c>
      <c r="O1115" s="6" t="str">
        <f>HYPERLINK("https://ceds.ed.gov/cedselementdetails.aspx?termid=5255")</f>
        <v>https://ceds.ed.gov/cedselementdetails.aspx?termid=5255</v>
      </c>
      <c r="P1115" s="6" t="str">
        <f>HYPERLINK("https://ceds.ed.gov/elementComment.aspx?elementName=Sex &amp;elementID=5255", "Click here to submit comment")</f>
        <v>Click here to submit comment</v>
      </c>
    </row>
    <row r="1116" spans="1:16" ht="225">
      <c r="A1116" s="6" t="s">
        <v>6788</v>
      </c>
      <c r="B1116" s="6" t="s">
        <v>6821</v>
      </c>
      <c r="C1116" s="6" t="s">
        <v>6722</v>
      </c>
      <c r="D1116" s="6" t="s">
        <v>351</v>
      </c>
      <c r="E1116" s="6" t="s">
        <v>352</v>
      </c>
      <c r="F1116" s="7" t="s">
        <v>6373</v>
      </c>
      <c r="G1116" s="6" t="s">
        <v>5986</v>
      </c>
      <c r="H1116" s="6"/>
      <c r="I1116" s="6"/>
      <c r="J1116" s="6"/>
      <c r="K1116" s="6" t="s">
        <v>353</v>
      </c>
      <c r="L1116" s="6" t="s">
        <v>354</v>
      </c>
      <c r="M1116" s="6"/>
      <c r="N1116" s="6" t="s">
        <v>355</v>
      </c>
      <c r="O1116" s="6" t="str">
        <f>HYPERLINK("https://ceds.ed.gov/cedselementdetails.aspx?termid=5655")</f>
        <v>https://ceds.ed.gov/cedselementdetails.aspx?termid=5655</v>
      </c>
      <c r="P1116" s="6" t="str">
        <f>HYPERLINK("https://ceds.ed.gov/elementComment.aspx?elementName=American Indian or Alaska Native &amp;elementID=5655", "Click here to submit comment")</f>
        <v>Click here to submit comment</v>
      </c>
    </row>
    <row r="1117" spans="1:16" ht="225">
      <c r="A1117" s="6" t="s">
        <v>6788</v>
      </c>
      <c r="B1117" s="6" t="s">
        <v>6821</v>
      </c>
      <c r="C1117" s="6" t="s">
        <v>6722</v>
      </c>
      <c r="D1117" s="6" t="s">
        <v>392</v>
      </c>
      <c r="E1117" s="6" t="s">
        <v>393</v>
      </c>
      <c r="F1117" s="7" t="s">
        <v>6373</v>
      </c>
      <c r="G1117" s="6" t="s">
        <v>5986</v>
      </c>
      <c r="H1117" s="6"/>
      <c r="I1117" s="6"/>
      <c r="J1117" s="6"/>
      <c r="K1117" s="6" t="s">
        <v>353</v>
      </c>
      <c r="L1117" s="6" t="s">
        <v>394</v>
      </c>
      <c r="M1117" s="6"/>
      <c r="N1117" s="6" t="s">
        <v>392</v>
      </c>
      <c r="O1117" s="6" t="str">
        <f>HYPERLINK("https://ceds.ed.gov/cedselementdetails.aspx?termid=5656")</f>
        <v>https://ceds.ed.gov/cedselementdetails.aspx?termid=5656</v>
      </c>
      <c r="P1117" s="6" t="str">
        <f>HYPERLINK("https://ceds.ed.gov/elementComment.aspx?elementName=Asian &amp;elementID=5656", "Click here to submit comment")</f>
        <v>Click here to submit comment</v>
      </c>
    </row>
    <row r="1118" spans="1:16" ht="225">
      <c r="A1118" s="6" t="s">
        <v>6788</v>
      </c>
      <c r="B1118" s="6" t="s">
        <v>6821</v>
      </c>
      <c r="C1118" s="6" t="s">
        <v>6722</v>
      </c>
      <c r="D1118" s="6" t="s">
        <v>1483</v>
      </c>
      <c r="E1118" s="6" t="s">
        <v>1484</v>
      </c>
      <c r="F1118" s="7" t="s">
        <v>6373</v>
      </c>
      <c r="G1118" s="6" t="s">
        <v>5986</v>
      </c>
      <c r="H1118" s="6"/>
      <c r="I1118" s="6"/>
      <c r="J1118" s="6"/>
      <c r="K1118" s="6" t="s">
        <v>353</v>
      </c>
      <c r="L1118" s="6" t="s">
        <v>1485</v>
      </c>
      <c r="M1118" s="6"/>
      <c r="N1118" s="6" t="s">
        <v>1486</v>
      </c>
      <c r="O1118" s="6" t="str">
        <f>HYPERLINK("https://ceds.ed.gov/cedselementdetails.aspx?termid=5657")</f>
        <v>https://ceds.ed.gov/cedselementdetails.aspx?termid=5657</v>
      </c>
      <c r="P1118" s="6" t="str">
        <f>HYPERLINK("https://ceds.ed.gov/elementComment.aspx?elementName=Black or African American &amp;elementID=5657", "Click here to submit comment")</f>
        <v>Click here to submit comment</v>
      </c>
    </row>
    <row r="1119" spans="1:16" ht="225">
      <c r="A1119" s="6" t="s">
        <v>6788</v>
      </c>
      <c r="B1119" s="6" t="s">
        <v>6821</v>
      </c>
      <c r="C1119" s="6" t="s">
        <v>6722</v>
      </c>
      <c r="D1119" s="6" t="s">
        <v>4202</v>
      </c>
      <c r="E1119" s="6" t="s">
        <v>4203</v>
      </c>
      <c r="F1119" s="7" t="s">
        <v>6373</v>
      </c>
      <c r="G1119" s="6" t="s">
        <v>5986</v>
      </c>
      <c r="H1119" s="6"/>
      <c r="I1119" s="6"/>
      <c r="J1119" s="6"/>
      <c r="K1119" s="6" t="s">
        <v>353</v>
      </c>
      <c r="L1119" s="6" t="s">
        <v>4204</v>
      </c>
      <c r="M1119" s="6"/>
      <c r="N1119" s="6" t="s">
        <v>4205</v>
      </c>
      <c r="O1119" s="6" t="str">
        <f>HYPERLINK("https://ceds.ed.gov/cedselementdetails.aspx?termid=5658")</f>
        <v>https://ceds.ed.gov/cedselementdetails.aspx?termid=5658</v>
      </c>
      <c r="P1119" s="6" t="str">
        <f>HYPERLINK("https://ceds.ed.gov/elementComment.aspx?elementName=Native Hawaiian or Other Pacific Islander &amp;elementID=5658", "Click here to submit comment")</f>
        <v>Click here to submit comment</v>
      </c>
    </row>
    <row r="1120" spans="1:16" ht="225">
      <c r="A1120" s="6" t="s">
        <v>6788</v>
      </c>
      <c r="B1120" s="6" t="s">
        <v>6821</v>
      </c>
      <c r="C1120" s="6" t="s">
        <v>6722</v>
      </c>
      <c r="D1120" s="6" t="s">
        <v>5925</v>
      </c>
      <c r="E1120" s="6" t="s">
        <v>5926</v>
      </c>
      <c r="F1120" s="7" t="s">
        <v>6373</v>
      </c>
      <c r="G1120" s="6" t="s">
        <v>5986</v>
      </c>
      <c r="H1120" s="6"/>
      <c r="I1120" s="6"/>
      <c r="J1120" s="6"/>
      <c r="K1120" s="6" t="s">
        <v>353</v>
      </c>
      <c r="L1120" s="6" t="s">
        <v>5927</v>
      </c>
      <c r="M1120" s="6"/>
      <c r="N1120" s="6" t="s">
        <v>5925</v>
      </c>
      <c r="O1120" s="6" t="str">
        <f>HYPERLINK("https://ceds.ed.gov/cedselementdetails.aspx?termid=5659")</f>
        <v>https://ceds.ed.gov/cedselementdetails.aspx?termid=5659</v>
      </c>
      <c r="P1120" s="6" t="str">
        <f>HYPERLINK("https://ceds.ed.gov/elementComment.aspx?elementName=White &amp;elementID=5659", "Click here to submit comment")</f>
        <v>Click here to submit comment</v>
      </c>
    </row>
    <row r="1121" spans="1:16" ht="225">
      <c r="A1121" s="6" t="s">
        <v>6788</v>
      </c>
      <c r="B1121" s="6" t="s">
        <v>6821</v>
      </c>
      <c r="C1121" s="6" t="s">
        <v>6722</v>
      </c>
      <c r="D1121" s="6" t="s">
        <v>2985</v>
      </c>
      <c r="E1121" s="6" t="s">
        <v>2986</v>
      </c>
      <c r="F1121" s="7" t="s">
        <v>6373</v>
      </c>
      <c r="G1121" s="6" t="s">
        <v>5986</v>
      </c>
      <c r="H1121" s="6"/>
      <c r="I1121" s="6"/>
      <c r="J1121" s="6"/>
      <c r="K1121" s="6" t="s">
        <v>353</v>
      </c>
      <c r="L1121" s="6" t="s">
        <v>2987</v>
      </c>
      <c r="M1121" s="6"/>
      <c r="N1121" s="6" t="s">
        <v>2988</v>
      </c>
      <c r="O1121" s="6" t="str">
        <f>HYPERLINK("https://ceds.ed.gov/cedselementdetails.aspx?termid=5144")</f>
        <v>https://ceds.ed.gov/cedselementdetails.aspx?termid=5144</v>
      </c>
      <c r="P1121" s="6" t="str">
        <f>HYPERLINK("https://ceds.ed.gov/elementComment.aspx?elementName=Hispanic or Latino Ethnicity &amp;elementID=5144", "Click here to submit comment")</f>
        <v>Click here to submit comment</v>
      </c>
    </row>
    <row r="1122" spans="1:16" ht="120">
      <c r="A1122" s="6" t="s">
        <v>6788</v>
      </c>
      <c r="B1122" s="6" t="s">
        <v>6821</v>
      </c>
      <c r="C1122" s="6" t="s">
        <v>6822</v>
      </c>
      <c r="D1122" s="6" t="s">
        <v>4022</v>
      </c>
      <c r="E1122" s="6" t="s">
        <v>4023</v>
      </c>
      <c r="F1122" s="6" t="s">
        <v>13</v>
      </c>
      <c r="G1122" s="6" t="s">
        <v>6252</v>
      </c>
      <c r="H1122" s="6"/>
      <c r="I1122" s="6" t="s">
        <v>100</v>
      </c>
      <c r="J1122" s="6"/>
      <c r="K1122" s="6"/>
      <c r="L1122" s="6" t="s">
        <v>4024</v>
      </c>
      <c r="M1122" s="6" t="s">
        <v>4025</v>
      </c>
      <c r="N1122" s="6" t="s">
        <v>4026</v>
      </c>
      <c r="O1122" s="6" t="str">
        <f>HYPERLINK("https://ceds.ed.gov/cedselementdetails.aspx?termid=5153")</f>
        <v>https://ceds.ed.gov/cedselementdetails.aspx?termid=5153</v>
      </c>
      <c r="P1122" s="6" t="str">
        <f>HYPERLINK("https://ceds.ed.gov/elementComment.aspx?elementName=Local Education Agency Identifier &amp;elementID=5153", "Click here to submit comment")</f>
        <v>Click here to submit comment</v>
      </c>
    </row>
    <row r="1123" spans="1:16" ht="285">
      <c r="A1123" s="6" t="s">
        <v>6788</v>
      </c>
      <c r="B1123" s="6" t="s">
        <v>6821</v>
      </c>
      <c r="C1123" s="6" t="s">
        <v>6822</v>
      </c>
      <c r="D1123" s="6" t="s">
        <v>4017</v>
      </c>
      <c r="E1123" s="6" t="s">
        <v>4018</v>
      </c>
      <c r="F1123" s="7" t="s">
        <v>6577</v>
      </c>
      <c r="G1123" s="6" t="s">
        <v>6252</v>
      </c>
      <c r="H1123" s="6"/>
      <c r="I1123" s="6"/>
      <c r="J1123" s="6"/>
      <c r="K1123" s="6"/>
      <c r="L1123" s="6" t="s">
        <v>4019</v>
      </c>
      <c r="M1123" s="6" t="s">
        <v>4020</v>
      </c>
      <c r="N1123" s="6" t="s">
        <v>4021</v>
      </c>
      <c r="O1123" s="6" t="str">
        <f>HYPERLINK("https://ceds.ed.gov/cedselementdetails.aspx?termid=5159")</f>
        <v>https://ceds.ed.gov/cedselementdetails.aspx?termid=5159</v>
      </c>
      <c r="P1123" s="6" t="str">
        <f>HYPERLINK("https://ceds.ed.gov/elementComment.aspx?elementName=Local Education Agency Identification System &amp;elementID=5159", "Click here to submit comment")</f>
        <v>Click here to submit comment</v>
      </c>
    </row>
    <row r="1124" spans="1:16" ht="165">
      <c r="A1124" s="6" t="s">
        <v>6788</v>
      </c>
      <c r="B1124" s="6" t="s">
        <v>6821</v>
      </c>
      <c r="C1124" s="6" t="s">
        <v>6822</v>
      </c>
      <c r="D1124" s="6" t="s">
        <v>5224</v>
      </c>
      <c r="E1124" s="6" t="s">
        <v>269</v>
      </c>
      <c r="F1124" s="6" t="s">
        <v>13</v>
      </c>
      <c r="G1124" s="6" t="s">
        <v>6308</v>
      </c>
      <c r="H1124" s="6"/>
      <c r="I1124" s="6" t="s">
        <v>100</v>
      </c>
      <c r="J1124" s="6"/>
      <c r="K1124" s="6"/>
      <c r="L1124" s="6" t="s">
        <v>5225</v>
      </c>
      <c r="M1124" s="6"/>
      <c r="N1124" s="6" t="s">
        <v>5226</v>
      </c>
      <c r="O1124" s="6" t="str">
        <f>HYPERLINK("https://ceds.ed.gov/cedselementdetails.aspx?termid=5155")</f>
        <v>https://ceds.ed.gov/cedselementdetails.aspx?termid=5155</v>
      </c>
      <c r="P1124" s="6" t="str">
        <f>HYPERLINK("https://ceds.ed.gov/elementComment.aspx?elementName=School Identifier &amp;elementID=5155", "Click here to submit comment")</f>
        <v>Click here to submit comment</v>
      </c>
    </row>
    <row r="1125" spans="1:16" ht="360">
      <c r="A1125" s="6" t="s">
        <v>6788</v>
      </c>
      <c r="B1125" s="6" t="s">
        <v>6821</v>
      </c>
      <c r="C1125" s="6" t="s">
        <v>6822</v>
      </c>
      <c r="D1125" s="6" t="s">
        <v>5221</v>
      </c>
      <c r="E1125" s="6" t="s">
        <v>265</v>
      </c>
      <c r="F1125" s="7" t="s">
        <v>6645</v>
      </c>
      <c r="G1125" s="6" t="s">
        <v>6308</v>
      </c>
      <c r="H1125" s="6"/>
      <c r="I1125" s="6"/>
      <c r="J1125" s="6"/>
      <c r="K1125" s="6"/>
      <c r="L1125" s="6" t="s">
        <v>5222</v>
      </c>
      <c r="M1125" s="6"/>
      <c r="N1125" s="6" t="s">
        <v>5223</v>
      </c>
      <c r="O1125" s="6" t="str">
        <f>HYPERLINK("https://ceds.ed.gov/cedselementdetails.aspx?termid=5161")</f>
        <v>https://ceds.ed.gov/cedselementdetails.aspx?termid=5161</v>
      </c>
      <c r="P1125" s="6" t="str">
        <f>HYPERLINK("https://ceds.ed.gov/elementComment.aspx?elementName=School Identification System &amp;elementID=5161", "Click here to submit comment")</f>
        <v>Click here to submit comment</v>
      </c>
    </row>
    <row r="1126" spans="1:16" ht="45">
      <c r="A1126" s="6" t="s">
        <v>6788</v>
      </c>
      <c r="B1126" s="6" t="s">
        <v>6821</v>
      </c>
      <c r="C1126" s="6" t="s">
        <v>6822</v>
      </c>
      <c r="D1126" s="6" t="s">
        <v>5695</v>
      </c>
      <c r="E1126" s="6" t="s">
        <v>5696</v>
      </c>
      <c r="F1126" s="6" t="s">
        <v>13</v>
      </c>
      <c r="G1126" s="6" t="s">
        <v>5665</v>
      </c>
      <c r="H1126" s="6"/>
      <c r="I1126" s="6" t="s">
        <v>73</v>
      </c>
      <c r="J1126" s="6"/>
      <c r="K1126" s="6"/>
      <c r="L1126" s="6" t="s">
        <v>5697</v>
      </c>
      <c r="M1126" s="6"/>
      <c r="N1126" s="6" t="s">
        <v>5698</v>
      </c>
      <c r="O1126" s="6" t="str">
        <f>HYPERLINK("https://ceds.ed.gov/cedselementdetails.aspx?termid=5647")</f>
        <v>https://ceds.ed.gov/cedselementdetails.aspx?termid=5647</v>
      </c>
      <c r="P1126" s="6" t="str">
        <f>HYPERLINK("https://ceds.ed.gov/elementComment.aspx?elementName=Teaching Assignment Start Date &amp;elementID=5647", "Click here to submit comment")</f>
        <v>Click here to submit comment</v>
      </c>
    </row>
    <row r="1127" spans="1:16" ht="45">
      <c r="A1127" s="6" t="s">
        <v>6788</v>
      </c>
      <c r="B1127" s="6" t="s">
        <v>6821</v>
      </c>
      <c r="C1127" s="6" t="s">
        <v>6822</v>
      </c>
      <c r="D1127" s="6" t="s">
        <v>5687</v>
      </c>
      <c r="E1127" s="6" t="s">
        <v>5688</v>
      </c>
      <c r="F1127" s="6" t="s">
        <v>13</v>
      </c>
      <c r="G1127" s="6" t="s">
        <v>5665</v>
      </c>
      <c r="H1127" s="6"/>
      <c r="I1127" s="6" t="s">
        <v>73</v>
      </c>
      <c r="J1127" s="6"/>
      <c r="K1127" s="6"/>
      <c r="L1127" s="6" t="s">
        <v>5689</v>
      </c>
      <c r="M1127" s="6"/>
      <c r="N1127" s="6" t="s">
        <v>5690</v>
      </c>
      <c r="O1127" s="6" t="str">
        <f>HYPERLINK("https://ceds.ed.gov/cedselementdetails.aspx?termid=5648")</f>
        <v>https://ceds.ed.gov/cedselementdetails.aspx?termid=5648</v>
      </c>
      <c r="P1127" s="6" t="str">
        <f>HYPERLINK("https://ceds.ed.gov/elementComment.aspx?elementName=Teaching Assignment End Date &amp;elementID=5648", "Click here to submit comment")</f>
        <v>Click here to submit comment</v>
      </c>
    </row>
    <row r="1128" spans="1:16" ht="409.5">
      <c r="A1128" s="6" t="s">
        <v>6788</v>
      </c>
      <c r="B1128" s="6" t="s">
        <v>6821</v>
      </c>
      <c r="C1128" s="6" t="s">
        <v>6822</v>
      </c>
      <c r="D1128" s="6" t="s">
        <v>2443</v>
      </c>
      <c r="E1128" s="6" t="s">
        <v>2444</v>
      </c>
      <c r="F1128" s="7" t="s">
        <v>6488</v>
      </c>
      <c r="G1128" s="6" t="s">
        <v>6147</v>
      </c>
      <c r="H1128" s="6"/>
      <c r="I1128" s="6"/>
      <c r="J1128" s="6"/>
      <c r="K1128" s="6"/>
      <c r="L1128" s="6" t="s">
        <v>2445</v>
      </c>
      <c r="M1128" s="6"/>
      <c r="N1128" s="6" t="s">
        <v>2446</v>
      </c>
      <c r="O1128" s="6" t="str">
        <f>HYPERLINK("https://ceds.ed.gov/cedselementdetails.aspx?termid=5087")</f>
        <v>https://ceds.ed.gov/cedselementdetails.aspx?termid=5087</v>
      </c>
      <c r="P1128" s="6" t="str">
        <f>HYPERLINK("https://ceds.ed.gov/elementComment.aspx?elementName=Education Staff Classification &amp;elementID=5087", "Click here to submit comment")</f>
        <v>Click here to submit comment</v>
      </c>
    </row>
    <row r="1129" spans="1:16" ht="45">
      <c r="A1129" s="6" t="s">
        <v>6788</v>
      </c>
      <c r="B1129" s="6" t="s">
        <v>6821</v>
      </c>
      <c r="C1129" s="6" t="s">
        <v>6822</v>
      </c>
      <c r="D1129" s="6" t="s">
        <v>4579</v>
      </c>
      <c r="E1129" s="6" t="s">
        <v>4580</v>
      </c>
      <c r="F1129" s="6" t="s">
        <v>5963</v>
      </c>
      <c r="G1129" s="6"/>
      <c r="H1129" s="6"/>
      <c r="I1129" s="6"/>
      <c r="J1129" s="6"/>
      <c r="K1129" s="6"/>
      <c r="L1129" s="6" t="s">
        <v>4581</v>
      </c>
      <c r="M1129" s="6"/>
      <c r="N1129" s="6" t="s">
        <v>4582</v>
      </c>
      <c r="O1129" s="6" t="str">
        <f>HYPERLINK("https://ceds.ed.gov/cedselementdetails.aspx?termid=5516")</f>
        <v>https://ceds.ed.gov/cedselementdetails.aspx?termid=5516</v>
      </c>
      <c r="P1129" s="6" t="str">
        <f>HYPERLINK("https://ceds.ed.gov/elementComment.aspx?elementName=Primary Assignment Indicator &amp;elementID=5516", "Click here to submit comment")</f>
        <v>Click here to submit comment</v>
      </c>
    </row>
    <row r="1130" spans="1:16" ht="60">
      <c r="A1130" s="6" t="s">
        <v>6788</v>
      </c>
      <c r="B1130" s="6" t="s">
        <v>6821</v>
      </c>
      <c r="C1130" s="6" t="s">
        <v>6822</v>
      </c>
      <c r="D1130" s="6" t="s">
        <v>5496</v>
      </c>
      <c r="E1130" s="6" t="s">
        <v>5497</v>
      </c>
      <c r="F1130" s="6" t="s">
        <v>13</v>
      </c>
      <c r="G1130" s="6" t="s">
        <v>6319</v>
      </c>
      <c r="H1130" s="6" t="s">
        <v>3</v>
      </c>
      <c r="I1130" s="6" t="s">
        <v>5498</v>
      </c>
      <c r="J1130" s="6"/>
      <c r="K1130" s="6"/>
      <c r="L1130" s="6" t="s">
        <v>5499</v>
      </c>
      <c r="M1130" s="6" t="s">
        <v>5500</v>
      </c>
      <c r="N1130" s="6" t="s">
        <v>5501</v>
      </c>
      <c r="O1130" s="6" t="str">
        <f>HYPERLINK("https://ceds.ed.gov/cedselementdetails.aspx?termid=5118")</f>
        <v>https://ceds.ed.gov/cedselementdetails.aspx?termid=5118</v>
      </c>
      <c r="P1130" s="6" t="str">
        <f>HYPERLINK("https://ceds.ed.gov/elementComment.aspx?elementName=Staff Full Time Equivalency &amp;elementID=5118", "Click here to submit comment")</f>
        <v>Click here to submit comment</v>
      </c>
    </row>
    <row r="1131" spans="1:16" ht="30">
      <c r="A1131" s="6" t="s">
        <v>6788</v>
      </c>
      <c r="B1131" s="6" t="s">
        <v>6821</v>
      </c>
      <c r="C1131" s="6" t="s">
        <v>6822</v>
      </c>
      <c r="D1131" s="6" t="s">
        <v>1403</v>
      </c>
      <c r="E1131" s="6" t="s">
        <v>1404</v>
      </c>
      <c r="F1131" s="6" t="s">
        <v>13</v>
      </c>
      <c r="G1131" s="6"/>
      <c r="H1131" s="6"/>
      <c r="I1131" s="6" t="s">
        <v>73</v>
      </c>
      <c r="J1131" s="6"/>
      <c r="K1131" s="6"/>
      <c r="L1131" s="6" t="s">
        <v>1405</v>
      </c>
      <c r="M1131" s="6"/>
      <c r="N1131" s="6" t="s">
        <v>1406</v>
      </c>
      <c r="O1131" s="6" t="str">
        <f>HYPERLINK("https://ceds.ed.gov/cedselementdetails.aspx?termid=5517")</f>
        <v>https://ceds.ed.gov/cedselementdetails.aspx?termid=5517</v>
      </c>
      <c r="P1131" s="6" t="str">
        <f>HYPERLINK("https://ceds.ed.gov/elementComment.aspx?elementName=Assignment Start Date &amp;elementID=5517", "Click here to submit comment")</f>
        <v>Click here to submit comment</v>
      </c>
    </row>
    <row r="1132" spans="1:16" ht="30">
      <c r="A1132" s="6" t="s">
        <v>6788</v>
      </c>
      <c r="B1132" s="6" t="s">
        <v>6821</v>
      </c>
      <c r="C1132" s="6" t="s">
        <v>6822</v>
      </c>
      <c r="D1132" s="6" t="s">
        <v>1399</v>
      </c>
      <c r="E1132" s="6" t="s">
        <v>1400</v>
      </c>
      <c r="F1132" s="6" t="s">
        <v>13</v>
      </c>
      <c r="G1132" s="6"/>
      <c r="H1132" s="6"/>
      <c r="I1132" s="6" t="s">
        <v>73</v>
      </c>
      <c r="J1132" s="6"/>
      <c r="K1132" s="6"/>
      <c r="L1132" s="6" t="s">
        <v>1401</v>
      </c>
      <c r="M1132" s="6"/>
      <c r="N1132" s="6" t="s">
        <v>1402</v>
      </c>
      <c r="O1132" s="6" t="str">
        <f>HYPERLINK("https://ceds.ed.gov/cedselementdetails.aspx?termid=5518")</f>
        <v>https://ceds.ed.gov/cedselementdetails.aspx?termid=5518</v>
      </c>
      <c r="P1132" s="6" t="str">
        <f>HYPERLINK("https://ceds.ed.gov/elementComment.aspx?elementName=Assignment End Date &amp;elementID=5518", "Click here to submit comment")</f>
        <v>Click here to submit comment</v>
      </c>
    </row>
    <row r="1133" spans="1:16" ht="390">
      <c r="A1133" s="6" t="s">
        <v>6788</v>
      </c>
      <c r="B1133" s="6" t="s">
        <v>6821</v>
      </c>
      <c r="C1133" s="6" t="s">
        <v>6822</v>
      </c>
      <c r="D1133" s="6" t="s">
        <v>1721</v>
      </c>
      <c r="E1133" s="6" t="s">
        <v>1722</v>
      </c>
      <c r="F1133" s="7" t="s">
        <v>6426</v>
      </c>
      <c r="G1133" s="6"/>
      <c r="H1133" s="6"/>
      <c r="I1133" s="6"/>
      <c r="J1133" s="6"/>
      <c r="K1133" s="6"/>
      <c r="L1133" s="6" t="s">
        <v>1724</v>
      </c>
      <c r="M1133" s="6"/>
      <c r="N1133" s="6" t="s">
        <v>1725</v>
      </c>
      <c r="O1133" s="6" t="str">
        <f>HYPERLINK("https://ceds.ed.gov/cedselementdetails.aspx?termid=5615")</f>
        <v>https://ceds.ed.gov/cedselementdetails.aspx?termid=5615</v>
      </c>
      <c r="P1133" s="6" t="str">
        <f>HYPERLINK("https://ceds.ed.gov/elementComment.aspx?elementName=Classroom Position Type &amp;elementID=5615", "Click here to submit comment")</f>
        <v>Click here to submit comment</v>
      </c>
    </row>
    <row r="1134" spans="1:16" ht="45">
      <c r="A1134" s="6" t="s">
        <v>6788</v>
      </c>
      <c r="B1134" s="6" t="s">
        <v>6821</v>
      </c>
      <c r="C1134" s="6" t="s">
        <v>6822</v>
      </c>
      <c r="D1134" s="6" t="s">
        <v>3388</v>
      </c>
      <c r="E1134" s="6" t="s">
        <v>3389</v>
      </c>
      <c r="F1134" s="6" t="s">
        <v>5963</v>
      </c>
      <c r="G1134" s="6"/>
      <c r="H1134" s="6"/>
      <c r="I1134" s="6"/>
      <c r="J1134" s="6"/>
      <c r="K1134" s="6"/>
      <c r="L1134" s="6" t="s">
        <v>3390</v>
      </c>
      <c r="M1134" s="6"/>
      <c r="N1134" s="6" t="s">
        <v>3391</v>
      </c>
      <c r="O1134" s="6" t="str">
        <f>HYPERLINK("https://ceds.ed.gov/cedselementdetails.aspx?termid=5519")</f>
        <v>https://ceds.ed.gov/cedselementdetails.aspx?termid=5519</v>
      </c>
      <c r="P1134" s="6" t="str">
        <f>HYPERLINK("https://ceds.ed.gov/elementComment.aspx?elementName=Itinerant Teacher &amp;elementID=5519", "Click here to submit comment")</f>
        <v>Click here to submit comment</v>
      </c>
    </row>
    <row r="1135" spans="1:16" ht="150">
      <c r="A1135" s="6" t="s">
        <v>6788</v>
      </c>
      <c r="B1135" s="6" t="s">
        <v>6821</v>
      </c>
      <c r="C1135" s="6" t="s">
        <v>6822</v>
      </c>
      <c r="D1135" s="6" t="s">
        <v>4137</v>
      </c>
      <c r="E1135" s="6" t="s">
        <v>4138</v>
      </c>
      <c r="F1135" s="7" t="s">
        <v>6587</v>
      </c>
      <c r="G1135" s="6" t="s">
        <v>218</v>
      </c>
      <c r="H1135" s="6"/>
      <c r="I1135" s="6"/>
      <c r="J1135" s="6"/>
      <c r="K1135" s="6" t="s">
        <v>4139</v>
      </c>
      <c r="L1135" s="6" t="s">
        <v>4140</v>
      </c>
      <c r="M1135" s="6" t="s">
        <v>4141</v>
      </c>
      <c r="N1135" s="6" t="s">
        <v>4142</v>
      </c>
      <c r="O1135" s="6" t="str">
        <f>HYPERLINK("https://ceds.ed.gov/cedselementdetails.aspx?termid=5188")</f>
        <v>https://ceds.ed.gov/cedselementdetails.aspx?termid=5188</v>
      </c>
      <c r="P1135" s="6" t="str">
        <f>HYPERLINK("https://ceds.ed.gov/elementComment.aspx?elementName=Migrant Education Program Staff Category &amp;elementID=5188", "Click here to submit comment")</f>
        <v>Click here to submit comment</v>
      </c>
    </row>
    <row r="1136" spans="1:16" ht="330">
      <c r="A1136" s="6" t="s">
        <v>6788</v>
      </c>
      <c r="B1136" s="6" t="s">
        <v>6821</v>
      </c>
      <c r="C1136" s="6" t="s">
        <v>6822</v>
      </c>
      <c r="D1136" s="6" t="s">
        <v>4759</v>
      </c>
      <c r="E1136" s="6" t="s">
        <v>4760</v>
      </c>
      <c r="F1136" s="7" t="s">
        <v>6619</v>
      </c>
      <c r="G1136" s="6"/>
      <c r="H1136" s="6"/>
      <c r="I1136" s="6"/>
      <c r="J1136" s="6"/>
      <c r="K1136" s="6"/>
      <c r="L1136" s="6" t="s">
        <v>4761</v>
      </c>
      <c r="M1136" s="6"/>
      <c r="N1136" s="6" t="s">
        <v>4762</v>
      </c>
      <c r="O1136" s="6" t="str">
        <f>HYPERLINK("https://ceds.ed.gov/cedselementdetails.aspx?termid=5220")</f>
        <v>https://ceds.ed.gov/cedselementdetails.aspx?termid=5220</v>
      </c>
      <c r="P1136" s="6" t="str">
        <f>HYPERLINK("https://ceds.ed.gov/elementComment.aspx?elementName=Professional Educational Job Classification &amp;elementID=5220", "Click here to submit comment")</f>
        <v>Click here to submit comment</v>
      </c>
    </row>
    <row r="1137" spans="1:16" ht="45">
      <c r="A1137" s="6" t="s">
        <v>6788</v>
      </c>
      <c r="B1137" s="6" t="s">
        <v>6821</v>
      </c>
      <c r="C1137" s="6" t="s">
        <v>6822</v>
      </c>
      <c r="D1137" s="6" t="s">
        <v>5402</v>
      </c>
      <c r="E1137" s="6" t="s">
        <v>5403</v>
      </c>
      <c r="F1137" s="7" t="s">
        <v>6659</v>
      </c>
      <c r="G1137" s="6" t="s">
        <v>218</v>
      </c>
      <c r="H1137" s="6"/>
      <c r="I1137" s="6"/>
      <c r="J1137" s="6"/>
      <c r="K1137" s="6"/>
      <c r="L1137" s="6" t="s">
        <v>5404</v>
      </c>
      <c r="M1137" s="6"/>
      <c r="N1137" s="6" t="s">
        <v>5405</v>
      </c>
      <c r="O1137" s="6" t="str">
        <f>HYPERLINK("https://ceds.ed.gov/cedselementdetails.aspx?termid=5556")</f>
        <v>https://ceds.ed.gov/cedselementdetails.aspx?termid=5556</v>
      </c>
      <c r="P1137" s="6" t="str">
        <f>HYPERLINK("https://ceds.ed.gov/elementComment.aspx?elementName=Special Education Age Group Taught &amp;elementID=5556", "Click here to submit comment")</f>
        <v>Click here to submit comment</v>
      </c>
    </row>
    <row r="1138" spans="1:16" ht="60">
      <c r="A1138" s="6" t="s">
        <v>6788</v>
      </c>
      <c r="B1138" s="6" t="s">
        <v>6821</v>
      </c>
      <c r="C1138" s="6" t="s">
        <v>6822</v>
      </c>
      <c r="D1138" s="6" t="s">
        <v>5417</v>
      </c>
      <c r="E1138" s="6" t="s">
        <v>5418</v>
      </c>
      <c r="F1138" s="6" t="s">
        <v>5963</v>
      </c>
      <c r="G1138" s="6" t="s">
        <v>218</v>
      </c>
      <c r="H1138" s="6"/>
      <c r="I1138" s="6"/>
      <c r="J1138" s="6"/>
      <c r="K1138" s="6"/>
      <c r="L1138" s="6" t="s">
        <v>5419</v>
      </c>
      <c r="M1138" s="6"/>
      <c r="N1138" s="6" t="s">
        <v>5420</v>
      </c>
      <c r="O1138" s="6" t="str">
        <f>HYPERLINK("https://ceds.ed.gov/cedselementdetails.aspx?termid=5261")</f>
        <v>https://ceds.ed.gov/cedselementdetails.aspx?termid=5261</v>
      </c>
      <c r="P1138" s="6" t="str">
        <f>HYPERLINK("https://ceds.ed.gov/elementComment.aspx?elementName=Special Education Paraprofessional &amp;elementID=5261", "Click here to submit comment")</f>
        <v>Click here to submit comment</v>
      </c>
    </row>
    <row r="1139" spans="1:16" ht="60">
      <c r="A1139" s="6" t="s">
        <v>6788</v>
      </c>
      <c r="B1139" s="6" t="s">
        <v>6821</v>
      </c>
      <c r="C1139" s="6" t="s">
        <v>6822</v>
      </c>
      <c r="D1139" s="6" t="s">
        <v>5421</v>
      </c>
      <c r="E1139" s="6" t="s">
        <v>5422</v>
      </c>
      <c r="F1139" s="6" t="s">
        <v>5963</v>
      </c>
      <c r="G1139" s="6" t="s">
        <v>218</v>
      </c>
      <c r="H1139" s="6"/>
      <c r="I1139" s="6"/>
      <c r="J1139" s="6"/>
      <c r="K1139" s="6"/>
      <c r="L1139" s="6" t="s">
        <v>5423</v>
      </c>
      <c r="M1139" s="6"/>
      <c r="N1139" s="6" t="s">
        <v>5424</v>
      </c>
      <c r="O1139" s="6" t="str">
        <f>HYPERLINK("https://ceds.ed.gov/cedselementdetails.aspx?termid=5262")</f>
        <v>https://ceds.ed.gov/cedselementdetails.aspx?termid=5262</v>
      </c>
      <c r="P1139" s="6" t="str">
        <f>HYPERLINK("https://ceds.ed.gov/elementComment.aspx?elementName=Special Education Related Services Personnel &amp;elementID=5262", "Click here to submit comment")</f>
        <v>Click here to submit comment</v>
      </c>
    </row>
    <row r="1140" spans="1:16" ht="390">
      <c r="A1140" s="6" t="s">
        <v>6788</v>
      </c>
      <c r="B1140" s="6" t="s">
        <v>6821</v>
      </c>
      <c r="C1140" s="6" t="s">
        <v>6822</v>
      </c>
      <c r="D1140" s="6" t="s">
        <v>5430</v>
      </c>
      <c r="E1140" s="6" t="s">
        <v>5431</v>
      </c>
      <c r="F1140" s="7" t="s">
        <v>6661</v>
      </c>
      <c r="G1140" s="6" t="s">
        <v>218</v>
      </c>
      <c r="H1140" s="6"/>
      <c r="I1140" s="6"/>
      <c r="J1140" s="6"/>
      <c r="K1140" s="6"/>
      <c r="L1140" s="6" t="s">
        <v>5432</v>
      </c>
      <c r="M1140" s="6"/>
      <c r="N1140" s="6" t="s">
        <v>5433</v>
      </c>
      <c r="O1140" s="6" t="str">
        <f>HYPERLINK("https://ceds.ed.gov/cedselementdetails.aspx?termid=5549")</f>
        <v>https://ceds.ed.gov/cedselementdetails.aspx?termid=5549</v>
      </c>
      <c r="P1140" s="6" t="str">
        <f>HYPERLINK("https://ceds.ed.gov/elementComment.aspx?elementName=Special Education Staff Category &amp;elementID=5549", "Click here to submit comment")</f>
        <v>Click here to submit comment</v>
      </c>
    </row>
    <row r="1141" spans="1:16" ht="60">
      <c r="A1141" s="6" t="s">
        <v>6788</v>
      </c>
      <c r="B1141" s="6" t="s">
        <v>6821</v>
      </c>
      <c r="C1141" s="6" t="s">
        <v>6822</v>
      </c>
      <c r="D1141" s="6" t="s">
        <v>5434</v>
      </c>
      <c r="E1141" s="6" t="s">
        <v>5435</v>
      </c>
      <c r="F1141" s="6" t="s">
        <v>5963</v>
      </c>
      <c r="G1141" s="6" t="s">
        <v>218</v>
      </c>
      <c r="H1141" s="6"/>
      <c r="I1141" s="6"/>
      <c r="J1141" s="6"/>
      <c r="K1141" s="6"/>
      <c r="L1141" s="6" t="s">
        <v>5436</v>
      </c>
      <c r="M1141" s="6"/>
      <c r="N1141" s="6" t="s">
        <v>5437</v>
      </c>
      <c r="O1141" s="6" t="str">
        <f>HYPERLINK("https://ceds.ed.gov/cedselementdetails.aspx?termid=5264")</f>
        <v>https://ceds.ed.gov/cedselementdetails.aspx?termid=5264</v>
      </c>
      <c r="P1141" s="6" t="str">
        <f>HYPERLINK("https://ceds.ed.gov/elementComment.aspx?elementName=Special Education Teacher &amp;elementID=5264", "Click here to submit comment")</f>
        <v>Click here to submit comment</v>
      </c>
    </row>
    <row r="1142" spans="1:16" ht="195">
      <c r="A1142" s="6" t="s">
        <v>6788</v>
      </c>
      <c r="B1142" s="6" t="s">
        <v>6821</v>
      </c>
      <c r="C1142" s="6" t="s">
        <v>6822</v>
      </c>
      <c r="D1142" s="6" t="s">
        <v>5760</v>
      </c>
      <c r="E1142" s="6" t="s">
        <v>5761</v>
      </c>
      <c r="F1142" s="7" t="s">
        <v>6678</v>
      </c>
      <c r="G1142" s="6" t="s">
        <v>218</v>
      </c>
      <c r="H1142" s="6"/>
      <c r="I1142" s="6"/>
      <c r="J1142" s="6"/>
      <c r="K1142" s="6"/>
      <c r="L1142" s="6" t="s">
        <v>5762</v>
      </c>
      <c r="M1142" s="6"/>
      <c r="N1142" s="6" t="s">
        <v>5763</v>
      </c>
      <c r="O1142" s="6" t="str">
        <f>HYPERLINK("https://ceds.ed.gov/cedselementdetails.aspx?termid=5283")</f>
        <v>https://ceds.ed.gov/cedselementdetails.aspx?termid=5283</v>
      </c>
      <c r="P1142" s="6" t="str">
        <f>HYPERLINK("https://ceds.ed.gov/elementComment.aspx?elementName=Title I Program Staff Category &amp;elementID=5283", "Click here to submit comment")</f>
        <v>Click here to submit comment</v>
      </c>
    </row>
    <row r="1143" spans="1:16" ht="90">
      <c r="A1143" s="6" t="s">
        <v>6788</v>
      </c>
      <c r="B1143" s="6" t="s">
        <v>6821</v>
      </c>
      <c r="C1143" s="6" t="s">
        <v>6771</v>
      </c>
      <c r="D1143" s="6" t="s">
        <v>2050</v>
      </c>
      <c r="E1143" s="6" t="s">
        <v>2051</v>
      </c>
      <c r="F1143" s="6" t="s">
        <v>6125</v>
      </c>
      <c r="G1143" s="6"/>
      <c r="H1143" s="6" t="s">
        <v>3</v>
      </c>
      <c r="I1143" s="6"/>
      <c r="J1143" s="6"/>
      <c r="K1143" s="6"/>
      <c r="L1143" s="6" t="s">
        <v>2052</v>
      </c>
      <c r="M1143" s="6"/>
      <c r="N1143" s="6" t="s">
        <v>2053</v>
      </c>
      <c r="O1143" s="6" t="str">
        <f>HYPERLINK("https://ceds.ed.gov/cedselementdetails.aspx?termid=5071")</f>
        <v>https://ceds.ed.gov/cedselementdetails.aspx?termid=5071</v>
      </c>
      <c r="P1143" s="6" t="str">
        <f>HYPERLINK("https://ceds.ed.gov/elementComment.aspx?elementName=Credential Type &amp;elementID=5071", "Click here to submit comment")</f>
        <v>Click here to submit comment</v>
      </c>
    </row>
    <row r="1144" spans="1:16" ht="300">
      <c r="A1144" s="6" t="s">
        <v>6788</v>
      </c>
      <c r="B1144" s="6" t="s">
        <v>6821</v>
      </c>
      <c r="C1144" s="6" t="s">
        <v>6771</v>
      </c>
      <c r="D1144" s="6" t="s">
        <v>5703</v>
      </c>
      <c r="E1144" s="6" t="s">
        <v>5704</v>
      </c>
      <c r="F1144" s="7" t="s">
        <v>6672</v>
      </c>
      <c r="G1144" s="6" t="s">
        <v>344</v>
      </c>
      <c r="H1144" s="6"/>
      <c r="I1144" s="6"/>
      <c r="J1144" s="6"/>
      <c r="K1144" s="6"/>
      <c r="L1144" s="6" t="s">
        <v>5705</v>
      </c>
      <c r="M1144" s="6"/>
      <c r="N1144" s="6" t="s">
        <v>5706</v>
      </c>
      <c r="O1144" s="6" t="str">
        <f>HYPERLINK("https://ceds.ed.gov/cedselementdetails.aspx?termid=5278")</f>
        <v>https://ceds.ed.gov/cedselementdetails.aspx?termid=5278</v>
      </c>
      <c r="P1144" s="6" t="str">
        <f>HYPERLINK("https://ceds.ed.gov/elementComment.aspx?elementName=Teaching Credential Type &amp;elementID=5278", "Click here to submit comment")</f>
        <v>Click here to submit comment</v>
      </c>
    </row>
    <row r="1145" spans="1:16" ht="390">
      <c r="A1145" s="6" t="s">
        <v>6788</v>
      </c>
      <c r="B1145" s="6" t="s">
        <v>6821</v>
      </c>
      <c r="C1145" s="6" t="s">
        <v>6771</v>
      </c>
      <c r="D1145" s="6" t="s">
        <v>5699</v>
      </c>
      <c r="E1145" s="6" t="s">
        <v>5700</v>
      </c>
      <c r="F1145" s="7" t="s">
        <v>6671</v>
      </c>
      <c r="G1145" s="6" t="s">
        <v>344</v>
      </c>
      <c r="H1145" s="6" t="s">
        <v>66</v>
      </c>
      <c r="I1145" s="6"/>
      <c r="J1145" s="6" t="s">
        <v>2527</v>
      </c>
      <c r="K1145" s="6"/>
      <c r="L1145" s="6" t="s">
        <v>5701</v>
      </c>
      <c r="M1145" s="6"/>
      <c r="N1145" s="6" t="s">
        <v>5702</v>
      </c>
      <c r="O1145" s="6" t="str">
        <f>HYPERLINK("https://ceds.ed.gov/cedselementdetails.aspx?termid=5277")</f>
        <v>https://ceds.ed.gov/cedselementdetails.aspx?termid=5277</v>
      </c>
      <c r="P1145" s="6" t="str">
        <f>HYPERLINK("https://ceds.ed.gov/elementComment.aspx?elementName=Teaching Credential Basis &amp;elementID=5277", "Click here to submit comment")</f>
        <v>Click here to submit comment</v>
      </c>
    </row>
    <row r="1146" spans="1:16" ht="45">
      <c r="A1146" s="6" t="s">
        <v>6788</v>
      </c>
      <c r="B1146" s="6" t="s">
        <v>6821</v>
      </c>
      <c r="C1146" s="6" t="s">
        <v>6771</v>
      </c>
      <c r="D1146" s="6" t="s">
        <v>2046</v>
      </c>
      <c r="E1146" s="6" t="s">
        <v>2047</v>
      </c>
      <c r="F1146" s="6" t="s">
        <v>13</v>
      </c>
      <c r="G1146" s="6" t="s">
        <v>202</v>
      </c>
      <c r="H1146" s="6"/>
      <c r="I1146" s="6" t="s">
        <v>73</v>
      </c>
      <c r="J1146" s="6"/>
      <c r="K1146" s="6"/>
      <c r="L1146" s="6" t="s">
        <v>2048</v>
      </c>
      <c r="M1146" s="6"/>
      <c r="N1146" s="6" t="s">
        <v>2049</v>
      </c>
      <c r="O1146" s="6" t="str">
        <f>HYPERLINK("https://ceds.ed.gov/cedselementdetails.aspx?termid=5070")</f>
        <v>https://ceds.ed.gov/cedselementdetails.aspx?termid=5070</v>
      </c>
      <c r="P1146" s="6" t="str">
        <f>HYPERLINK("https://ceds.ed.gov/elementComment.aspx?elementName=Credential Issuance Date &amp;elementID=5070", "Click here to submit comment")</f>
        <v>Click here to submit comment</v>
      </c>
    </row>
    <row r="1147" spans="1:16" ht="45">
      <c r="A1147" s="6" t="s">
        <v>6788</v>
      </c>
      <c r="B1147" s="6" t="s">
        <v>6821</v>
      </c>
      <c r="C1147" s="6" t="s">
        <v>6771</v>
      </c>
      <c r="D1147" s="6" t="s">
        <v>2042</v>
      </c>
      <c r="E1147" s="6" t="s">
        <v>2043</v>
      </c>
      <c r="F1147" s="6" t="s">
        <v>13</v>
      </c>
      <c r="G1147" s="6" t="s">
        <v>202</v>
      </c>
      <c r="H1147" s="6"/>
      <c r="I1147" s="6" t="s">
        <v>73</v>
      </c>
      <c r="J1147" s="6"/>
      <c r="K1147" s="6"/>
      <c r="L1147" s="6" t="s">
        <v>2044</v>
      </c>
      <c r="M1147" s="6"/>
      <c r="N1147" s="6" t="s">
        <v>2045</v>
      </c>
      <c r="O1147" s="6" t="str">
        <f>HYPERLINK("https://ceds.ed.gov/cedselementdetails.aspx?termid=5069")</f>
        <v>https://ceds.ed.gov/cedselementdetails.aspx?termid=5069</v>
      </c>
      <c r="P1147" s="6" t="str">
        <f>HYPERLINK("https://ceds.ed.gov/elementComment.aspx?elementName=Credential Expiration Date &amp;elementID=5069", "Click here to submit comment")</f>
        <v>Click here to submit comment</v>
      </c>
    </row>
    <row r="1148" spans="1:16" ht="45">
      <c r="A1148" s="6" t="s">
        <v>6788</v>
      </c>
      <c r="B1148" s="6" t="s">
        <v>6821</v>
      </c>
      <c r="C1148" s="6" t="s">
        <v>6771</v>
      </c>
      <c r="D1148" s="6" t="s">
        <v>5959</v>
      </c>
      <c r="E1148" s="6" t="s">
        <v>5960</v>
      </c>
      <c r="F1148" s="6" t="s">
        <v>13</v>
      </c>
      <c r="G1148" s="6" t="s">
        <v>1780</v>
      </c>
      <c r="H1148" s="6"/>
      <c r="I1148" s="6" t="s">
        <v>1461</v>
      </c>
      <c r="J1148" s="6"/>
      <c r="K1148" s="6"/>
      <c r="L1148" s="6" t="s">
        <v>5961</v>
      </c>
      <c r="M1148" s="6"/>
      <c r="N1148" s="6" t="s">
        <v>5962</v>
      </c>
      <c r="O1148" s="6" t="str">
        <f>HYPERLINK("https://ceds.ed.gov/cedselementdetails.aspx?termid=5302")</f>
        <v>https://ceds.ed.gov/cedselementdetails.aspx?termid=5302</v>
      </c>
      <c r="P1148" s="6" t="str">
        <f>HYPERLINK("https://ceds.ed.gov/elementComment.aspx?elementName=Years of Prior Teaching Experience &amp;elementID=5302", "Click here to submit comment")</f>
        <v>Click here to submit comment</v>
      </c>
    </row>
    <row r="1149" spans="1:16" ht="409.5">
      <c r="A1149" s="6" t="s">
        <v>6788</v>
      </c>
      <c r="B1149" s="6" t="s">
        <v>6821</v>
      </c>
      <c r="C1149" s="6" t="s">
        <v>6771</v>
      </c>
      <c r="D1149" s="6" t="s">
        <v>2970</v>
      </c>
      <c r="E1149" s="6" t="s">
        <v>2971</v>
      </c>
      <c r="F1149" s="7" t="s">
        <v>6531</v>
      </c>
      <c r="G1149" s="6" t="s">
        <v>6195</v>
      </c>
      <c r="H1149" s="6" t="s">
        <v>66</v>
      </c>
      <c r="I1149" s="6"/>
      <c r="J1149" s="6" t="s">
        <v>2972</v>
      </c>
      <c r="K1149" s="6"/>
      <c r="L1149" s="6" t="s">
        <v>2973</v>
      </c>
      <c r="M1149" s="6"/>
      <c r="N1149" s="6" t="s">
        <v>2974</v>
      </c>
      <c r="O1149" s="6" t="str">
        <f>HYPERLINK("https://ceds.ed.gov/cedselementdetails.aspx?termid=5141")</f>
        <v>https://ceds.ed.gov/cedselementdetails.aspx?termid=5141</v>
      </c>
      <c r="P1149" s="6" t="str">
        <f>HYPERLINK("https://ceds.ed.gov/elementComment.aspx?elementName=Highest Level of Education Completed &amp;elementID=5141", "Click here to submit comment")</f>
        <v>Click here to submit comment</v>
      </c>
    </row>
    <row r="1150" spans="1:16" ht="75">
      <c r="A1150" s="6" t="s">
        <v>6788</v>
      </c>
      <c r="B1150" s="6" t="s">
        <v>6821</v>
      </c>
      <c r="C1150" s="6" t="s">
        <v>6771</v>
      </c>
      <c r="D1150" s="6" t="s">
        <v>2975</v>
      </c>
      <c r="E1150" s="6" t="s">
        <v>2976</v>
      </c>
      <c r="F1150" s="7" t="s">
        <v>6532</v>
      </c>
      <c r="G1150" s="6" t="s">
        <v>218</v>
      </c>
      <c r="H1150" s="6"/>
      <c r="I1150" s="6"/>
      <c r="J1150" s="6"/>
      <c r="K1150" s="6"/>
      <c r="L1150" s="6" t="s">
        <v>2978</v>
      </c>
      <c r="M1150" s="6"/>
      <c r="N1150" s="6" t="s">
        <v>2979</v>
      </c>
      <c r="O1150" s="6" t="str">
        <f>HYPERLINK("https://ceds.ed.gov/cedselementdetails.aspx?termid=5142")</f>
        <v>https://ceds.ed.gov/cedselementdetails.aspx?termid=5142</v>
      </c>
      <c r="P1150" s="6" t="str">
        <f>HYPERLINK("https://ceds.ed.gov/elementComment.aspx?elementName=Highly Qualified Teacher Indicator &amp;elementID=5142", "Click here to submit comment")</f>
        <v>Click here to submit comment</v>
      </c>
    </row>
    <row r="1151" spans="1:16" ht="60">
      <c r="A1151" s="6" t="s">
        <v>6788</v>
      </c>
      <c r="B1151" s="6" t="s">
        <v>6821</v>
      </c>
      <c r="C1151" s="6" t="s">
        <v>6771</v>
      </c>
      <c r="D1151" s="6" t="s">
        <v>4411</v>
      </c>
      <c r="E1151" s="6" t="s">
        <v>4412</v>
      </c>
      <c r="F1151" s="7" t="s">
        <v>6594</v>
      </c>
      <c r="G1151" s="6" t="s">
        <v>218</v>
      </c>
      <c r="H1151" s="6"/>
      <c r="I1151" s="6"/>
      <c r="J1151" s="6"/>
      <c r="K1151" s="6"/>
      <c r="L1151" s="6" t="s">
        <v>4413</v>
      </c>
      <c r="M1151" s="6"/>
      <c r="N1151" s="6" t="s">
        <v>4414</v>
      </c>
      <c r="O1151" s="6" t="str">
        <f>HYPERLINK("https://ceds.ed.gov/cedselementdetails.aspx?termid=5207")</f>
        <v>https://ceds.ed.gov/cedselementdetails.aspx?termid=5207</v>
      </c>
      <c r="P1151" s="6" t="str">
        <f>HYPERLINK("https://ceds.ed.gov/elementComment.aspx?elementName=Paraprofessional Qualification Status &amp;elementID=5207", "Click here to submit comment")</f>
        <v>Click here to submit comment</v>
      </c>
    </row>
    <row r="1152" spans="1:16" ht="390">
      <c r="A1152" s="6" t="s">
        <v>6788</v>
      </c>
      <c r="B1152" s="6" t="s">
        <v>6821</v>
      </c>
      <c r="C1152" s="6" t="s">
        <v>6771</v>
      </c>
      <c r="D1152" s="6" t="s">
        <v>4847</v>
      </c>
      <c r="E1152" s="6" t="s">
        <v>4848</v>
      </c>
      <c r="F1152" s="7" t="s">
        <v>6625</v>
      </c>
      <c r="G1152" s="6"/>
      <c r="H1152" s="6" t="s">
        <v>66</v>
      </c>
      <c r="I1152" s="6"/>
      <c r="J1152" s="6" t="s">
        <v>4849</v>
      </c>
      <c r="K1152" s="6"/>
      <c r="L1152" s="6" t="s">
        <v>4850</v>
      </c>
      <c r="M1152" s="6"/>
      <c r="N1152" s="6" t="s">
        <v>4851</v>
      </c>
      <c r="O1152" s="6" t="str">
        <f>HYPERLINK("https://ceds.ed.gov/cedselementdetails.aspx?termid=5692")</f>
        <v>https://ceds.ed.gov/cedselementdetails.aspx?termid=5692</v>
      </c>
      <c r="P1152" s="6" t="str">
        <f>HYPERLINK("https://ceds.ed.gov/elementComment.aspx?elementName=Program Sponsor Type &amp;elementID=5692", "Click here to submit comment")</f>
        <v>Click here to submit comment</v>
      </c>
    </row>
    <row r="1153" spans="1:16" ht="75">
      <c r="A1153" s="6" t="s">
        <v>6788</v>
      </c>
      <c r="B1153" s="6" t="s">
        <v>6821</v>
      </c>
      <c r="C1153" s="6" t="s">
        <v>6771</v>
      </c>
      <c r="D1153" s="6" t="s">
        <v>1562</v>
      </c>
      <c r="E1153" s="6" t="s">
        <v>1563</v>
      </c>
      <c r="F1153" s="6" t="s">
        <v>5963</v>
      </c>
      <c r="G1153" s="6"/>
      <c r="H1153" s="6" t="s">
        <v>54</v>
      </c>
      <c r="I1153" s="6"/>
      <c r="J1153" s="6"/>
      <c r="K1153" s="6"/>
      <c r="L1153" s="6" t="s">
        <v>1564</v>
      </c>
      <c r="M1153" s="6" t="s">
        <v>1565</v>
      </c>
      <c r="N1153" s="6" t="s">
        <v>1566</v>
      </c>
      <c r="O1153" s="6" t="str">
        <f>HYPERLINK("https://ceds.ed.gov/cedselementdetails.aspx?termid=6284")</f>
        <v>https://ceds.ed.gov/cedselementdetails.aspx?termid=6284</v>
      </c>
      <c r="P1153" s="6" t="str">
        <f>HYPERLINK("https://ceds.ed.gov/elementComment.aspx?elementName=Career and Technical Education Instructor Industry Certification &amp;elementID=6284", "Click here to submit comment")</f>
        <v>Click here to submit comment</v>
      </c>
    </row>
    <row r="1154" spans="1:16" ht="90">
      <c r="A1154" s="6" t="s">
        <v>6788</v>
      </c>
      <c r="B1154" s="6" t="s">
        <v>6821</v>
      </c>
      <c r="C1154" s="6" t="s">
        <v>6770</v>
      </c>
      <c r="D1154" s="6" t="s">
        <v>4507</v>
      </c>
      <c r="E1154" s="6" t="s">
        <v>4508</v>
      </c>
      <c r="F1154" s="6" t="s">
        <v>13</v>
      </c>
      <c r="G1154" s="6" t="s">
        <v>5968</v>
      </c>
      <c r="H1154" s="6" t="s">
        <v>3</v>
      </c>
      <c r="I1154" s="6" t="s">
        <v>1249</v>
      </c>
      <c r="J1154" s="6"/>
      <c r="K1154" s="6"/>
      <c r="L1154" s="6" t="s">
        <v>4509</v>
      </c>
      <c r="M1154" s="6"/>
      <c r="N1154" s="6" t="s">
        <v>4510</v>
      </c>
      <c r="O1154" s="6" t="str">
        <f>HYPERLINK("https://ceds.ed.gov/cedselementdetails.aspx?termid=5213")</f>
        <v>https://ceds.ed.gov/cedselementdetails.aspx?termid=5213</v>
      </c>
      <c r="P1154" s="6" t="str">
        <f>HYPERLINK("https://ceds.ed.gov/elementComment.aspx?elementName=Position Title &amp;elementID=5213", "Click here to submit comment")</f>
        <v>Click here to submit comment</v>
      </c>
    </row>
    <row r="1155" spans="1:16" ht="210">
      <c r="A1155" s="6" t="s">
        <v>6788</v>
      </c>
      <c r="B1155" s="6" t="s">
        <v>6821</v>
      </c>
      <c r="C1155" s="6" t="s">
        <v>6770</v>
      </c>
      <c r="D1155" s="6" t="s">
        <v>2980</v>
      </c>
      <c r="E1155" s="6" t="s">
        <v>2981</v>
      </c>
      <c r="F1155" s="6" t="s">
        <v>13</v>
      </c>
      <c r="G1155" s="6" t="s">
        <v>6197</v>
      </c>
      <c r="H1155" s="6" t="s">
        <v>3</v>
      </c>
      <c r="I1155" s="6" t="s">
        <v>73</v>
      </c>
      <c r="J1155" s="6"/>
      <c r="K1155" s="6" t="s">
        <v>2982</v>
      </c>
      <c r="L1155" s="6" t="s">
        <v>2983</v>
      </c>
      <c r="M1155" s="6"/>
      <c r="N1155" s="6" t="s">
        <v>2984</v>
      </c>
      <c r="O1155" s="6" t="str">
        <f>HYPERLINK("https://ceds.ed.gov/cedselementdetails.aspx?termid=5143")</f>
        <v>https://ceds.ed.gov/cedselementdetails.aspx?termid=5143</v>
      </c>
      <c r="P1155" s="6" t="str">
        <f>HYPERLINK("https://ceds.ed.gov/elementComment.aspx?elementName=Hire Date &amp;elementID=5143", "Click here to submit comment")</f>
        <v>Click here to submit comment</v>
      </c>
    </row>
    <row r="1156" spans="1:16" ht="60">
      <c r="A1156" s="6" t="s">
        <v>6788</v>
      </c>
      <c r="B1156" s="6" t="s">
        <v>6821</v>
      </c>
      <c r="C1156" s="6" t="s">
        <v>6770</v>
      </c>
      <c r="D1156" s="6" t="s">
        <v>1777</v>
      </c>
      <c r="E1156" s="6" t="s">
        <v>1778</v>
      </c>
      <c r="F1156" s="6" t="s">
        <v>13</v>
      </c>
      <c r="G1156" s="6" t="s">
        <v>1780</v>
      </c>
      <c r="H1156" s="6"/>
      <c r="I1156" s="6" t="s">
        <v>1461</v>
      </c>
      <c r="J1156" s="6"/>
      <c r="K1156" s="6"/>
      <c r="L1156" s="6" t="s">
        <v>1781</v>
      </c>
      <c r="M1156" s="6"/>
      <c r="N1156" s="6" t="s">
        <v>1782</v>
      </c>
      <c r="O1156" s="6" t="str">
        <f>HYPERLINK("https://ceds.ed.gov/cedselementdetails.aspx?termid=5047")</f>
        <v>https://ceds.ed.gov/cedselementdetails.aspx?termid=5047</v>
      </c>
      <c r="P1156" s="6" t="str">
        <f>HYPERLINK("https://ceds.ed.gov/elementComment.aspx?elementName=Contract Days of Service per Year &amp;elementID=5047", "Click here to submit comment")</f>
        <v>Click here to submit comment</v>
      </c>
    </row>
    <row r="1157" spans="1:16" ht="315">
      <c r="A1157" s="6" t="s">
        <v>6788</v>
      </c>
      <c r="B1157" s="6" t="s">
        <v>6821</v>
      </c>
      <c r="C1157" s="6" t="s">
        <v>6770</v>
      </c>
      <c r="D1157" s="6" t="s">
        <v>2538</v>
      </c>
      <c r="E1157" s="6" t="s">
        <v>285</v>
      </c>
      <c r="F1157" s="7" t="s">
        <v>6496</v>
      </c>
      <c r="G1157" s="6" t="s">
        <v>6131</v>
      </c>
      <c r="H1157" s="6"/>
      <c r="I1157" s="6"/>
      <c r="J1157" s="6"/>
      <c r="K1157" s="6"/>
      <c r="L1157" s="6" t="s">
        <v>2539</v>
      </c>
      <c r="M1157" s="6"/>
      <c r="N1157" s="6" t="s">
        <v>2540</v>
      </c>
      <c r="O1157" s="6" t="str">
        <f>HYPERLINK("https://ceds.ed.gov/cedselementdetails.aspx?termid=5346")</f>
        <v>https://ceds.ed.gov/cedselementdetails.aspx?termid=5346</v>
      </c>
      <c r="P1157" s="6" t="str">
        <f>HYPERLINK("https://ceds.ed.gov/elementComment.aspx?elementName=Employment Status &amp;elementID=5346", "Click here to submit comment")</f>
        <v>Click here to submit comment</v>
      </c>
    </row>
    <row r="1158" spans="1:16" ht="409.5">
      <c r="A1158" s="6" t="s">
        <v>6788</v>
      </c>
      <c r="B1158" s="6" t="s">
        <v>6821</v>
      </c>
      <c r="C1158" s="6" t="s">
        <v>6770</v>
      </c>
      <c r="D1158" s="6" t="s">
        <v>2525</v>
      </c>
      <c r="E1158" s="6" t="s">
        <v>2526</v>
      </c>
      <c r="F1158" s="7" t="s">
        <v>6494</v>
      </c>
      <c r="G1158" s="6"/>
      <c r="H1158" s="6" t="s">
        <v>66</v>
      </c>
      <c r="I1158" s="6"/>
      <c r="J1158" s="6" t="s">
        <v>2527</v>
      </c>
      <c r="K1158" s="6"/>
      <c r="L1158" s="6" t="s">
        <v>2528</v>
      </c>
      <c r="M1158" s="6"/>
      <c r="N1158" s="6" t="s">
        <v>2529</v>
      </c>
      <c r="O1158" s="6" t="str">
        <f>HYPERLINK("https://ceds.ed.gov/cedselementdetails.aspx?termid=5613")</f>
        <v>https://ceds.ed.gov/cedselementdetails.aspx?termid=5613</v>
      </c>
      <c r="P1158" s="6" t="str">
        <f>HYPERLINK("https://ceds.ed.gov/elementComment.aspx?elementName=Employment Separation Reason &amp;elementID=5613", "Click here to submit comment")</f>
        <v>Click here to submit comment</v>
      </c>
    </row>
    <row r="1159" spans="1:16" ht="120">
      <c r="A1159" s="6" t="s">
        <v>6788</v>
      </c>
      <c r="B1159" s="6" t="s">
        <v>6821</v>
      </c>
      <c r="C1159" s="6" t="s">
        <v>6770</v>
      </c>
      <c r="D1159" s="6" t="s">
        <v>2530</v>
      </c>
      <c r="E1159" s="6" t="s">
        <v>2531</v>
      </c>
      <c r="F1159" s="7" t="s">
        <v>6495</v>
      </c>
      <c r="G1159" s="6"/>
      <c r="H1159" s="6"/>
      <c r="I1159" s="6"/>
      <c r="J1159" s="6"/>
      <c r="K1159" s="6"/>
      <c r="L1159" s="6" t="s">
        <v>2532</v>
      </c>
      <c r="M1159" s="6"/>
      <c r="N1159" s="6" t="s">
        <v>2533</v>
      </c>
      <c r="O1159" s="6" t="str">
        <f>HYPERLINK("https://ceds.ed.gov/cedselementdetails.aspx?termid=5614")</f>
        <v>https://ceds.ed.gov/cedselementdetails.aspx?termid=5614</v>
      </c>
      <c r="P1159" s="6" t="str">
        <f>HYPERLINK("https://ceds.ed.gov/elementComment.aspx?elementName=Employment Separation Type &amp;elementID=5614", "Click here to submit comment")</f>
        <v>Click here to submit comment</v>
      </c>
    </row>
    <row r="1160" spans="1:16" ht="225">
      <c r="A1160" s="6" t="s">
        <v>6788</v>
      </c>
      <c r="B1160" s="6" t="s">
        <v>6821</v>
      </c>
      <c r="C1160" s="6" t="s">
        <v>6770</v>
      </c>
      <c r="D1160" s="6" t="s">
        <v>5447</v>
      </c>
      <c r="E1160" s="6" t="s">
        <v>5448</v>
      </c>
      <c r="F1160" s="6" t="s">
        <v>13</v>
      </c>
      <c r="G1160" s="6" t="s">
        <v>1780</v>
      </c>
      <c r="H1160" s="6" t="s">
        <v>3</v>
      </c>
      <c r="I1160" s="6" t="s">
        <v>1461</v>
      </c>
      <c r="J1160" s="6"/>
      <c r="K1160" s="6" t="s">
        <v>5449</v>
      </c>
      <c r="L1160" s="6" t="s">
        <v>5450</v>
      </c>
      <c r="M1160" s="6"/>
      <c r="N1160" s="6" t="s">
        <v>5451</v>
      </c>
      <c r="O1160" s="6" t="str">
        <f>HYPERLINK("https://ceds.ed.gov/cedselementdetails.aspx?termid=5032")</f>
        <v>https://ceds.ed.gov/cedselementdetails.aspx?termid=5032</v>
      </c>
      <c r="P1160" s="6" t="str">
        <f>HYPERLINK("https://ceds.ed.gov/elementComment.aspx?elementName=Staff Compensation Base Salary &amp;elementID=5032", "Click here to submit comment")</f>
        <v>Click here to submit comment</v>
      </c>
    </row>
    <row r="1161" spans="1:16" ht="105">
      <c r="A1161" s="6" t="s">
        <v>6788</v>
      </c>
      <c r="B1161" s="6" t="s">
        <v>6821</v>
      </c>
      <c r="C1161" s="6" t="s">
        <v>6770</v>
      </c>
      <c r="D1161" s="6" t="s">
        <v>5452</v>
      </c>
      <c r="E1161" s="6" t="s">
        <v>5453</v>
      </c>
      <c r="F1161" s="6" t="s">
        <v>13</v>
      </c>
      <c r="G1161" s="6" t="s">
        <v>1780</v>
      </c>
      <c r="H1161" s="6"/>
      <c r="I1161" s="6" t="s">
        <v>1461</v>
      </c>
      <c r="J1161" s="6"/>
      <c r="K1161" s="6"/>
      <c r="L1161" s="6" t="s">
        <v>5454</v>
      </c>
      <c r="M1161" s="6"/>
      <c r="N1161" s="6" t="s">
        <v>5455</v>
      </c>
      <c r="O1161" s="6" t="str">
        <f>HYPERLINK("https://ceds.ed.gov/cedselementdetails.aspx?termid=5136")</f>
        <v>https://ceds.ed.gov/cedselementdetails.aspx?termid=5136</v>
      </c>
      <c r="P1161" s="6" t="str">
        <f>HYPERLINK("https://ceds.ed.gov/elementComment.aspx?elementName=Staff Compensation Health Benefits &amp;elementID=5136", "Click here to submit comment")</f>
        <v>Click here to submit comment</v>
      </c>
    </row>
    <row r="1162" spans="1:16" ht="105">
      <c r="A1162" s="6" t="s">
        <v>6788</v>
      </c>
      <c r="B1162" s="6" t="s">
        <v>6821</v>
      </c>
      <c r="C1162" s="6" t="s">
        <v>6770</v>
      </c>
      <c r="D1162" s="6" t="s">
        <v>5460</v>
      </c>
      <c r="E1162" s="6" t="s">
        <v>5461</v>
      </c>
      <c r="F1162" s="6" t="s">
        <v>13</v>
      </c>
      <c r="G1162" s="6" t="s">
        <v>1780</v>
      </c>
      <c r="H1162" s="6"/>
      <c r="I1162" s="6" t="s">
        <v>1461</v>
      </c>
      <c r="J1162" s="6"/>
      <c r="K1162" s="6"/>
      <c r="L1162" s="6" t="s">
        <v>5462</v>
      </c>
      <c r="M1162" s="6"/>
      <c r="N1162" s="6" t="s">
        <v>5463</v>
      </c>
      <c r="O1162" s="6" t="str">
        <f>HYPERLINK("https://ceds.ed.gov/cedselementdetails.aspx?termid=5233")</f>
        <v>https://ceds.ed.gov/cedselementdetails.aspx?termid=5233</v>
      </c>
      <c r="P1162" s="6" t="str">
        <f>HYPERLINK("https://ceds.ed.gov/elementComment.aspx?elementName=Staff Compensation Retirement Benefits &amp;elementID=5233", "Click here to submit comment")</f>
        <v>Click here to submit comment</v>
      </c>
    </row>
    <row r="1163" spans="1:16" ht="120">
      <c r="A1163" s="6" t="s">
        <v>6788</v>
      </c>
      <c r="B1163" s="6" t="s">
        <v>6821</v>
      </c>
      <c r="C1163" s="6" t="s">
        <v>6770</v>
      </c>
      <c r="D1163" s="6" t="s">
        <v>5456</v>
      </c>
      <c r="E1163" s="6" t="s">
        <v>5457</v>
      </c>
      <c r="F1163" s="6" t="s">
        <v>13</v>
      </c>
      <c r="G1163" s="6" t="s">
        <v>1780</v>
      </c>
      <c r="H1163" s="6"/>
      <c r="I1163" s="6" t="s">
        <v>1461</v>
      </c>
      <c r="J1163" s="6"/>
      <c r="K1163" s="6"/>
      <c r="L1163" s="6" t="s">
        <v>5458</v>
      </c>
      <c r="M1163" s="6"/>
      <c r="N1163" s="6" t="s">
        <v>5459</v>
      </c>
      <c r="O1163" s="6" t="str">
        <f>HYPERLINK("https://ceds.ed.gov/cedselementdetails.aspx?termid=5205")</f>
        <v>https://ceds.ed.gov/cedselementdetails.aspx?termid=5205</v>
      </c>
      <c r="P1163" s="6" t="str">
        <f>HYPERLINK("https://ceds.ed.gov/elementComment.aspx?elementName=Staff Compensation Other Benefits &amp;elementID=5205", "Click here to submit comment")</f>
        <v>Click here to submit comment</v>
      </c>
    </row>
    <row r="1164" spans="1:16" ht="45">
      <c r="A1164" s="6" t="s">
        <v>6788</v>
      </c>
      <c r="B1164" s="6" t="s">
        <v>6821</v>
      </c>
      <c r="C1164" s="6" t="s">
        <v>6770</v>
      </c>
      <c r="D1164" s="6" t="s">
        <v>5168</v>
      </c>
      <c r="E1164" s="6" t="s">
        <v>5169</v>
      </c>
      <c r="F1164" s="6" t="s">
        <v>5963</v>
      </c>
      <c r="G1164" s="6" t="s">
        <v>1780</v>
      </c>
      <c r="H1164" s="6"/>
      <c r="I1164" s="6"/>
      <c r="J1164" s="6"/>
      <c r="K1164" s="6"/>
      <c r="L1164" s="6" t="s">
        <v>5170</v>
      </c>
      <c r="M1164" s="6"/>
      <c r="N1164" s="6" t="s">
        <v>5171</v>
      </c>
      <c r="O1164" s="6" t="str">
        <f>HYPERLINK("https://ceds.ed.gov/cedselementdetails.aspx?termid=5234")</f>
        <v>https://ceds.ed.gov/cedselementdetails.aspx?termid=5234</v>
      </c>
      <c r="P1164" s="6" t="str">
        <f>HYPERLINK("https://ceds.ed.gov/elementComment.aspx?elementName=Salary For Teaching Assignment Only Indicator &amp;elementID=5234", "Click here to submit comment")</f>
        <v>Click here to submit comment</v>
      </c>
    </row>
    <row r="1165" spans="1:16" ht="90">
      <c r="A1165" s="6" t="s">
        <v>6788</v>
      </c>
      <c r="B1165" s="6" t="s">
        <v>6821</v>
      </c>
      <c r="C1165" s="6" t="s">
        <v>6770</v>
      </c>
      <c r="D1165" s="6" t="s">
        <v>5464</v>
      </c>
      <c r="E1165" s="6" t="s">
        <v>5465</v>
      </c>
      <c r="F1165" s="6" t="s">
        <v>13</v>
      </c>
      <c r="G1165" s="6" t="s">
        <v>1780</v>
      </c>
      <c r="H1165" s="6"/>
      <c r="I1165" s="6" t="s">
        <v>1461</v>
      </c>
      <c r="J1165" s="6"/>
      <c r="K1165" s="6"/>
      <c r="L1165" s="6" t="s">
        <v>5466</v>
      </c>
      <c r="M1165" s="6"/>
      <c r="N1165" s="6" t="s">
        <v>5467</v>
      </c>
      <c r="O1165" s="6" t="str">
        <f>HYPERLINK("https://ceds.ed.gov/cedselementdetails.aspx?termid=5293")</f>
        <v>https://ceds.ed.gov/cedselementdetails.aspx?termid=5293</v>
      </c>
      <c r="P1165" s="6" t="str">
        <f>HYPERLINK("https://ceds.ed.gov/elementComment.aspx?elementName=Staff Compensation Total Benefits &amp;elementID=5293", "Click here to submit comment")</f>
        <v>Click here to submit comment</v>
      </c>
    </row>
    <row r="1166" spans="1:16" ht="60">
      <c r="A1166" s="6" t="s">
        <v>6788</v>
      </c>
      <c r="B1166" s="6" t="s">
        <v>6821</v>
      </c>
      <c r="C1166" s="6" t="s">
        <v>6770</v>
      </c>
      <c r="D1166" s="6" t="s">
        <v>5468</v>
      </c>
      <c r="E1166" s="6" t="s">
        <v>5469</v>
      </c>
      <c r="F1166" s="6" t="s">
        <v>13</v>
      </c>
      <c r="G1166" s="6" t="s">
        <v>1780</v>
      </c>
      <c r="H1166" s="6"/>
      <c r="I1166" s="6" t="s">
        <v>1461</v>
      </c>
      <c r="J1166" s="6"/>
      <c r="K1166" s="6"/>
      <c r="L1166" s="6" t="s">
        <v>5470</v>
      </c>
      <c r="M1166" s="6"/>
      <c r="N1166" s="6" t="s">
        <v>5471</v>
      </c>
      <c r="O1166" s="6" t="str">
        <f>HYPERLINK("https://ceds.ed.gov/cedselementdetails.aspx?termid=5295")</f>
        <v>https://ceds.ed.gov/cedselementdetails.aspx?termid=5295</v>
      </c>
      <c r="P1166" s="6" t="str">
        <f>HYPERLINK("https://ceds.ed.gov/elementComment.aspx?elementName=Staff Compensation Total Salary &amp;elementID=5295", "Click here to submit comment")</f>
        <v>Click here to submit comment</v>
      </c>
    </row>
    <row r="1167" spans="1:16" ht="60">
      <c r="A1167" s="6" t="s">
        <v>6788</v>
      </c>
      <c r="B1167" s="6" t="s">
        <v>6821</v>
      </c>
      <c r="C1167" s="6" t="s">
        <v>6770</v>
      </c>
      <c r="D1167" s="6" t="s">
        <v>4112</v>
      </c>
      <c r="E1167" s="6" t="s">
        <v>4113</v>
      </c>
      <c r="F1167" s="6" t="s">
        <v>5963</v>
      </c>
      <c r="G1167" s="6" t="s">
        <v>218</v>
      </c>
      <c r="H1167" s="6"/>
      <c r="I1167" s="6"/>
      <c r="J1167" s="6"/>
      <c r="K1167" s="6"/>
      <c r="L1167" s="6" t="s">
        <v>4114</v>
      </c>
      <c r="M1167" s="6" t="s">
        <v>4115</v>
      </c>
      <c r="N1167" s="6" t="s">
        <v>4116</v>
      </c>
      <c r="O1167" s="6" t="str">
        <f>HYPERLINK("https://ceds.ed.gov/cedselementdetails.aspx?termid=5534")</f>
        <v>https://ceds.ed.gov/cedselementdetails.aspx?termid=5534</v>
      </c>
      <c r="P1167" s="6" t="str">
        <f>HYPERLINK("https://ceds.ed.gov/elementComment.aspx?elementName=Migrant Education Program Personnel Indicator &amp;elementID=5534", "Click here to submit comment")</f>
        <v>Click here to submit comment</v>
      </c>
    </row>
    <row r="1168" spans="1:16" ht="60">
      <c r="A1168" s="6" t="s">
        <v>6788</v>
      </c>
      <c r="B1168" s="6" t="s">
        <v>6821</v>
      </c>
      <c r="C1168" s="6" t="s">
        <v>6770</v>
      </c>
      <c r="D1168" s="6" t="s">
        <v>5796</v>
      </c>
      <c r="E1168" s="6" t="s">
        <v>5797</v>
      </c>
      <c r="F1168" s="6" t="s">
        <v>5963</v>
      </c>
      <c r="G1168" s="6"/>
      <c r="H1168" s="6"/>
      <c r="I1168" s="6"/>
      <c r="J1168" s="6"/>
      <c r="K1168" s="6"/>
      <c r="L1168" s="6" t="s">
        <v>5798</v>
      </c>
      <c r="M1168" s="6"/>
      <c r="N1168" s="6" t="s">
        <v>5799</v>
      </c>
      <c r="O1168" s="6" t="str">
        <f>HYPERLINK("https://ceds.ed.gov/cedselementdetails.aspx?termid=5543")</f>
        <v>https://ceds.ed.gov/cedselementdetails.aspx?termid=5543</v>
      </c>
      <c r="P1168" s="6" t="str">
        <f>HYPERLINK("https://ceds.ed.gov/elementComment.aspx?elementName=Title I Targeted Assistance Staff Funded &amp;elementID=5543", "Click here to submit comment")</f>
        <v>Click here to submit comment</v>
      </c>
    </row>
    <row r="1169" spans="1:16" ht="60">
      <c r="A1169" s="6" t="s">
        <v>6788</v>
      </c>
      <c r="B1169" s="6" t="s">
        <v>6821</v>
      </c>
      <c r="C1169" s="6" t="s">
        <v>6770</v>
      </c>
      <c r="D1169" s="6" t="s">
        <v>2492</v>
      </c>
      <c r="E1169" s="6" t="s">
        <v>2493</v>
      </c>
      <c r="F1169" s="6" t="s">
        <v>13</v>
      </c>
      <c r="G1169" s="6" t="s">
        <v>202</v>
      </c>
      <c r="H1169" s="6" t="s">
        <v>3</v>
      </c>
      <c r="I1169" s="6" t="s">
        <v>73</v>
      </c>
      <c r="J1169" s="6"/>
      <c r="K1169" s="6"/>
      <c r="L1169" s="6" t="s">
        <v>2494</v>
      </c>
      <c r="M1169" s="6"/>
      <c r="N1169" s="6" t="s">
        <v>2495</v>
      </c>
      <c r="O1169" s="6" t="str">
        <f>HYPERLINK("https://ceds.ed.gov/cedselementdetails.aspx?termid=5794")</f>
        <v>https://ceds.ed.gov/cedselementdetails.aspx?termid=5794</v>
      </c>
      <c r="P1169" s="6" t="str">
        <f>HYPERLINK("https://ceds.ed.gov/elementComment.aspx?elementName=Employment End Date &amp;elementID=5794", "Click here to submit comment")</f>
        <v>Click here to submit comment</v>
      </c>
    </row>
    <row r="1170" spans="1:16" ht="60">
      <c r="A1170" s="6" t="s">
        <v>6788</v>
      </c>
      <c r="B1170" s="6" t="s">
        <v>6821</v>
      </c>
      <c r="C1170" s="6" t="s">
        <v>6770</v>
      </c>
      <c r="D1170" s="6" t="s">
        <v>2534</v>
      </c>
      <c r="E1170" s="6" t="s">
        <v>2535</v>
      </c>
      <c r="F1170" s="6" t="s">
        <v>13</v>
      </c>
      <c r="G1170" s="6" t="s">
        <v>6154</v>
      </c>
      <c r="H1170" s="6" t="s">
        <v>3</v>
      </c>
      <c r="I1170" s="6" t="s">
        <v>73</v>
      </c>
      <c r="J1170" s="6"/>
      <c r="K1170" s="6"/>
      <c r="L1170" s="6" t="s">
        <v>2536</v>
      </c>
      <c r="M1170" s="6"/>
      <c r="N1170" s="6" t="s">
        <v>2537</v>
      </c>
      <c r="O1170" s="6" t="str">
        <f>HYPERLINK("https://ceds.ed.gov/cedselementdetails.aspx?termid=5345")</f>
        <v>https://ceds.ed.gov/cedselementdetails.aspx?termid=5345</v>
      </c>
      <c r="P1170" s="6" t="str">
        <f>HYPERLINK("https://ceds.ed.gov/elementComment.aspx?elementName=Employment Start Date &amp;elementID=5345", "Click here to submit comment")</f>
        <v>Click here to submit comment</v>
      </c>
    </row>
    <row r="1171" spans="1:16" ht="30">
      <c r="A1171" s="6" t="s">
        <v>6788</v>
      </c>
      <c r="B1171" s="6" t="s">
        <v>6821</v>
      </c>
      <c r="C1171" s="6" t="s">
        <v>6764</v>
      </c>
      <c r="D1171" s="6" t="s">
        <v>5480</v>
      </c>
      <c r="E1171" s="6" t="s">
        <v>5481</v>
      </c>
      <c r="F1171" s="6" t="s">
        <v>13</v>
      </c>
      <c r="G1171" s="6"/>
      <c r="H1171" s="6"/>
      <c r="I1171" s="6" t="s">
        <v>25</v>
      </c>
      <c r="J1171" s="6"/>
      <c r="K1171" s="6"/>
      <c r="L1171" s="6" t="s">
        <v>5482</v>
      </c>
      <c r="M1171" s="6"/>
      <c r="N1171" s="6" t="s">
        <v>5483</v>
      </c>
      <c r="O1171" s="6" t="str">
        <f>HYPERLINK("https://ceds.ed.gov/cedselementdetails.aspx?termid=5102")</f>
        <v>https://ceds.ed.gov/cedselementdetails.aspx?termid=5102</v>
      </c>
      <c r="P1171" s="6" t="str">
        <f>HYPERLINK("https://ceds.ed.gov/elementComment.aspx?elementName=Staff Evaluation Outcome &amp;elementID=5102", "Click here to submit comment")</f>
        <v>Click here to submit comment</v>
      </c>
    </row>
    <row r="1172" spans="1:16" ht="60">
      <c r="A1172" s="6" t="s">
        <v>6788</v>
      </c>
      <c r="B1172" s="6" t="s">
        <v>6821</v>
      </c>
      <c r="C1172" s="6" t="s">
        <v>6764</v>
      </c>
      <c r="D1172" s="6" t="s">
        <v>5484</v>
      </c>
      <c r="E1172" s="6" t="s">
        <v>5485</v>
      </c>
      <c r="F1172" s="6" t="s">
        <v>13</v>
      </c>
      <c r="G1172" s="6"/>
      <c r="H1172" s="6"/>
      <c r="I1172" s="6" t="s">
        <v>25</v>
      </c>
      <c r="J1172" s="6"/>
      <c r="K1172" s="6"/>
      <c r="L1172" s="6" t="s">
        <v>5486</v>
      </c>
      <c r="M1172" s="6"/>
      <c r="N1172" s="6" t="s">
        <v>5487</v>
      </c>
      <c r="O1172" s="6" t="str">
        <f>HYPERLINK("https://ceds.ed.gov/cedselementdetails.aspx?termid=5103")</f>
        <v>https://ceds.ed.gov/cedselementdetails.aspx?termid=5103</v>
      </c>
      <c r="P1172" s="6" t="str">
        <f>HYPERLINK("https://ceds.ed.gov/elementComment.aspx?elementName=Staff Evaluation Scale &amp;elementID=5103", "Click here to submit comment")</f>
        <v>Click here to submit comment</v>
      </c>
    </row>
    <row r="1173" spans="1:16" ht="30">
      <c r="A1173" s="6" t="s">
        <v>6788</v>
      </c>
      <c r="B1173" s="6" t="s">
        <v>6821</v>
      </c>
      <c r="C1173" s="6" t="s">
        <v>6764</v>
      </c>
      <c r="D1173" s="6" t="s">
        <v>5488</v>
      </c>
      <c r="E1173" s="6" t="s">
        <v>5489</v>
      </c>
      <c r="F1173" s="6" t="s">
        <v>13</v>
      </c>
      <c r="G1173" s="6"/>
      <c r="H1173" s="6"/>
      <c r="I1173" s="6" t="s">
        <v>106</v>
      </c>
      <c r="J1173" s="6"/>
      <c r="K1173" s="6"/>
      <c r="L1173" s="6" t="s">
        <v>5490</v>
      </c>
      <c r="M1173" s="6"/>
      <c r="N1173" s="6" t="s">
        <v>5491</v>
      </c>
      <c r="O1173" s="6" t="str">
        <f>HYPERLINK("https://ceds.ed.gov/cedselementdetails.aspx?termid=5104")</f>
        <v>https://ceds.ed.gov/cedselementdetails.aspx?termid=5104</v>
      </c>
      <c r="P1173" s="6" t="str">
        <f>HYPERLINK("https://ceds.ed.gov/elementComment.aspx?elementName=Staff Evaluation Score or Rating &amp;elementID=5104", "Click here to submit comment")</f>
        <v>Click here to submit comment</v>
      </c>
    </row>
    <row r="1174" spans="1:16" ht="45">
      <c r="A1174" s="6" t="s">
        <v>6788</v>
      </c>
      <c r="B1174" s="6" t="s">
        <v>6821</v>
      </c>
      <c r="C1174" s="6" t="s">
        <v>6764</v>
      </c>
      <c r="D1174" s="6" t="s">
        <v>5492</v>
      </c>
      <c r="E1174" s="6" t="s">
        <v>5493</v>
      </c>
      <c r="F1174" s="6" t="s">
        <v>13</v>
      </c>
      <c r="G1174" s="6"/>
      <c r="H1174" s="6"/>
      <c r="I1174" s="6" t="s">
        <v>106</v>
      </c>
      <c r="J1174" s="6"/>
      <c r="K1174" s="6"/>
      <c r="L1174" s="6" t="s">
        <v>5494</v>
      </c>
      <c r="M1174" s="6"/>
      <c r="N1174" s="6" t="s">
        <v>5495</v>
      </c>
      <c r="O1174" s="6" t="str">
        <f>HYPERLINK("https://ceds.ed.gov/cedselementdetails.aspx?termid=5105")</f>
        <v>https://ceds.ed.gov/cedselementdetails.aspx?termid=5105</v>
      </c>
      <c r="P1174" s="6" t="str">
        <f>HYPERLINK("https://ceds.ed.gov/elementComment.aspx?elementName=Staff Evaluation System &amp;elementID=5105", "Click here to submit comment")</f>
        <v>Click here to submit comment</v>
      </c>
    </row>
    <row r="1175" spans="1:16" ht="165">
      <c r="A1175" s="6" t="s">
        <v>6788</v>
      </c>
      <c r="B1175" s="6" t="s">
        <v>6821</v>
      </c>
      <c r="C1175" s="6" t="s">
        <v>6764</v>
      </c>
      <c r="D1175" s="6" t="s">
        <v>2623</v>
      </c>
      <c r="E1175" s="6" t="s">
        <v>2624</v>
      </c>
      <c r="F1175" s="7" t="s">
        <v>6505</v>
      </c>
      <c r="G1175" s="6" t="s">
        <v>6051</v>
      </c>
      <c r="H1175" s="6"/>
      <c r="I1175" s="6"/>
      <c r="J1175" s="6"/>
      <c r="K1175" s="6"/>
      <c r="L1175" s="6" t="s">
        <v>2626</v>
      </c>
      <c r="M1175" s="6"/>
      <c r="N1175" s="6" t="s">
        <v>2627</v>
      </c>
      <c r="O1175" s="6" t="str">
        <f>HYPERLINK("https://ceds.ed.gov/cedselementdetails.aspx?termid=5582")</f>
        <v>https://ceds.ed.gov/cedselementdetails.aspx?termid=5582</v>
      </c>
      <c r="P1175" s="6" t="str">
        <f>HYPERLINK("https://ceds.ed.gov/elementComment.aspx?elementName=Faculty and Administration Performance Level &amp;elementID=5582", "Click here to submit comment")</f>
        <v>Click here to submit comment</v>
      </c>
    </row>
    <row r="1176" spans="1:16" ht="60">
      <c r="A1176" s="6" t="s">
        <v>6788</v>
      </c>
      <c r="B1176" s="6" t="s">
        <v>6821</v>
      </c>
      <c r="C1176" s="6" t="s">
        <v>6764</v>
      </c>
      <c r="D1176" s="6" t="s">
        <v>5723</v>
      </c>
      <c r="E1176" s="6" t="s">
        <v>5724</v>
      </c>
      <c r="F1176" s="6" t="s">
        <v>5963</v>
      </c>
      <c r="G1176" s="6" t="s">
        <v>218</v>
      </c>
      <c r="H1176" s="6"/>
      <c r="I1176" s="6"/>
      <c r="J1176" s="6"/>
      <c r="K1176" s="6"/>
      <c r="L1176" s="6" t="s">
        <v>5725</v>
      </c>
      <c r="M1176" s="6"/>
      <c r="N1176" s="6" t="s">
        <v>5726</v>
      </c>
      <c r="O1176" s="6" t="str">
        <f>HYPERLINK("https://ceds.ed.gov/cedselementdetails.aspx?termid=5537")</f>
        <v>https://ceds.ed.gov/cedselementdetails.aspx?termid=5537</v>
      </c>
      <c r="P1176" s="6" t="str">
        <f>HYPERLINK("https://ceds.ed.gov/elementComment.aspx?elementName=Technology Skills Standards Met &amp;elementID=5537", "Click here to submit comment")</f>
        <v>Click here to submit comment</v>
      </c>
    </row>
    <row r="1177" spans="1:16" ht="30">
      <c r="A1177" s="6" t="s">
        <v>6788</v>
      </c>
      <c r="B1177" s="6" t="s">
        <v>6821</v>
      </c>
      <c r="C1177" s="6" t="s">
        <v>6764</v>
      </c>
      <c r="D1177" s="6" t="s">
        <v>1582</v>
      </c>
      <c r="E1177" s="6" t="s">
        <v>1583</v>
      </c>
      <c r="F1177" s="6" t="s">
        <v>13</v>
      </c>
      <c r="G1177" s="6"/>
      <c r="H1177" s="6" t="s">
        <v>54</v>
      </c>
      <c r="I1177" s="6" t="s">
        <v>73</v>
      </c>
      <c r="J1177" s="6"/>
      <c r="K1177" s="6"/>
      <c r="L1177" s="6" t="s">
        <v>1584</v>
      </c>
      <c r="M1177" s="6"/>
      <c r="N1177" s="6" t="s">
        <v>1585</v>
      </c>
      <c r="O1177" s="6" t="str">
        <f>HYPERLINK("https://ceds.ed.gov/cedselementdetails.aspx?termid=6255")</f>
        <v>https://ceds.ed.gov/cedselementdetails.aspx?termid=6255</v>
      </c>
      <c r="P1177" s="6" t="str">
        <f>HYPERLINK("https://ceds.ed.gov/elementComment.aspx?elementName=Career Education Plan Date &amp;elementID=6255", "Click here to submit comment")</f>
        <v>Click here to submit comment</v>
      </c>
    </row>
    <row r="1178" spans="1:16" ht="105">
      <c r="A1178" s="6" t="s">
        <v>6788</v>
      </c>
      <c r="B1178" s="6" t="s">
        <v>6821</v>
      </c>
      <c r="C1178" s="6" t="s">
        <v>6764</v>
      </c>
      <c r="D1178" s="6" t="s">
        <v>1586</v>
      </c>
      <c r="E1178" s="6" t="s">
        <v>1587</v>
      </c>
      <c r="F1178" s="7" t="s">
        <v>6416</v>
      </c>
      <c r="G1178" s="6"/>
      <c r="H1178" s="6" t="s">
        <v>54</v>
      </c>
      <c r="I1178" s="6"/>
      <c r="J1178" s="6"/>
      <c r="K1178" s="6"/>
      <c r="L1178" s="6" t="s">
        <v>1588</v>
      </c>
      <c r="M1178" s="6"/>
      <c r="N1178" s="6" t="s">
        <v>1589</v>
      </c>
      <c r="O1178" s="6" t="str">
        <f>HYPERLINK("https://ceds.ed.gov/cedselementdetails.aspx?termid=6256")</f>
        <v>https://ceds.ed.gov/cedselementdetails.aspx?termid=6256</v>
      </c>
      <c r="P1178" s="6" t="str">
        <f>HYPERLINK("https://ceds.ed.gov/elementComment.aspx?elementName=Career Education Plan Type &amp;elementID=6256", "Click here to submit comment")</f>
        <v>Click here to submit comment</v>
      </c>
    </row>
    <row r="1179" spans="1:16" ht="60">
      <c r="A1179" s="6" t="s">
        <v>6788</v>
      </c>
      <c r="B1179" s="6" t="s">
        <v>6821</v>
      </c>
      <c r="C1179" s="6" t="s">
        <v>6775</v>
      </c>
      <c r="D1179" s="6" t="s">
        <v>4620</v>
      </c>
      <c r="E1179" s="6" t="s">
        <v>4621</v>
      </c>
      <c r="F1179" s="6" t="s">
        <v>13</v>
      </c>
      <c r="G1179" s="6"/>
      <c r="H1179" s="6" t="s">
        <v>54</v>
      </c>
      <c r="I1179" s="6" t="s">
        <v>100</v>
      </c>
      <c r="J1179" s="6"/>
      <c r="K1179" s="6"/>
      <c r="L1179" s="6" t="s">
        <v>4622</v>
      </c>
      <c r="M1179" s="6"/>
      <c r="N1179" s="6" t="s">
        <v>4623</v>
      </c>
      <c r="O1179" s="6" t="str">
        <f>HYPERLINK("https://ceds.ed.gov/cedselementdetails.aspx?termid=6402")</f>
        <v>https://ceds.ed.gov/cedselementdetails.aspx?termid=6402</v>
      </c>
      <c r="P1179" s="6" t="str">
        <f>HYPERLINK("https://ceds.ed.gov/elementComment.aspx?elementName=Professional Development Activity Approval Code &amp;elementID=6402", "Click here to submit comment")</f>
        <v>Click here to submit comment</v>
      </c>
    </row>
    <row r="1180" spans="1:16" ht="105">
      <c r="A1180" s="6" t="s">
        <v>6788</v>
      </c>
      <c r="B1180" s="6" t="s">
        <v>6821</v>
      </c>
      <c r="C1180" s="6" t="s">
        <v>6775</v>
      </c>
      <c r="D1180" s="6" t="s">
        <v>4624</v>
      </c>
      <c r="E1180" s="6" t="s">
        <v>4625</v>
      </c>
      <c r="F1180" s="7" t="s">
        <v>6611</v>
      </c>
      <c r="G1180" s="6"/>
      <c r="H1180" s="6" t="s">
        <v>54</v>
      </c>
      <c r="I1180" s="6"/>
      <c r="J1180" s="6"/>
      <c r="K1180" s="6"/>
      <c r="L1180" s="6" t="s">
        <v>4626</v>
      </c>
      <c r="M1180" s="6"/>
      <c r="N1180" s="6" t="s">
        <v>4627</v>
      </c>
      <c r="O1180" s="6" t="str">
        <f>HYPERLINK("https://ceds.ed.gov/cedselementdetails.aspx?termid=6403")</f>
        <v>https://ceds.ed.gov/cedselementdetails.aspx?termid=6403</v>
      </c>
      <c r="P1180" s="6" t="str">
        <f>HYPERLINK("https://ceds.ed.gov/elementComment.aspx?elementName=Professional Development Activity Approved For &amp;elementID=6403", "Click here to submit comment")</f>
        <v>Click here to submit comment</v>
      </c>
    </row>
    <row r="1181" spans="1:16" ht="75">
      <c r="A1181" s="6" t="s">
        <v>6788</v>
      </c>
      <c r="B1181" s="6" t="s">
        <v>6821</v>
      </c>
      <c r="C1181" s="6" t="s">
        <v>6775</v>
      </c>
      <c r="D1181" s="6" t="s">
        <v>4628</v>
      </c>
      <c r="E1181" s="6" t="s">
        <v>4629</v>
      </c>
      <c r="F1181" s="6" t="s">
        <v>13</v>
      </c>
      <c r="G1181" s="6"/>
      <c r="H1181" s="6" t="s">
        <v>54</v>
      </c>
      <c r="I1181" s="6" t="s">
        <v>100</v>
      </c>
      <c r="J1181" s="6"/>
      <c r="K1181" s="6"/>
      <c r="L1181" s="6" t="s">
        <v>4630</v>
      </c>
      <c r="M1181" s="6"/>
      <c r="N1181" s="6" t="s">
        <v>4631</v>
      </c>
      <c r="O1181" s="6" t="str">
        <f>HYPERLINK("https://ceds.ed.gov/cedselementdetails.aspx?termid=6404")</f>
        <v>https://ceds.ed.gov/cedselementdetails.aspx?termid=6404</v>
      </c>
      <c r="P1181" s="6" t="str">
        <f>HYPERLINK("https://ceds.ed.gov/elementComment.aspx?elementName=Professional Development Activity Code &amp;elementID=6404", "Click here to submit comment")</f>
        <v>Click here to submit comment</v>
      </c>
    </row>
    <row r="1182" spans="1:16" ht="45">
      <c r="A1182" s="6" t="s">
        <v>6788</v>
      </c>
      <c r="B1182" s="6" t="s">
        <v>6821</v>
      </c>
      <c r="C1182" s="6" t="s">
        <v>6775</v>
      </c>
      <c r="D1182" s="6" t="s">
        <v>4632</v>
      </c>
      <c r="E1182" s="6" t="s">
        <v>4633</v>
      </c>
      <c r="F1182" s="6" t="s">
        <v>13</v>
      </c>
      <c r="G1182" s="6"/>
      <c r="H1182" s="6" t="s">
        <v>54</v>
      </c>
      <c r="I1182" s="6" t="s">
        <v>1461</v>
      </c>
      <c r="J1182" s="6"/>
      <c r="K1182" s="6"/>
      <c r="L1182" s="6" t="s">
        <v>4634</v>
      </c>
      <c r="M1182" s="6"/>
      <c r="N1182" s="6" t="s">
        <v>4635</v>
      </c>
      <c r="O1182" s="6" t="str">
        <f>HYPERLINK("https://ceds.ed.gov/cedselementdetails.aspx?termid=6405")</f>
        <v>https://ceds.ed.gov/cedselementdetails.aspx?termid=6405</v>
      </c>
      <c r="P1182" s="6" t="str">
        <f>HYPERLINK("https://ceds.ed.gov/elementComment.aspx?elementName=Professional Development Activity Cost &amp;elementID=6405", "Click here to submit comment")</f>
        <v>Click here to submit comment</v>
      </c>
    </row>
    <row r="1183" spans="1:16" ht="120">
      <c r="A1183" s="6" t="s">
        <v>6788</v>
      </c>
      <c r="B1183" s="6" t="s">
        <v>6821</v>
      </c>
      <c r="C1183" s="6" t="s">
        <v>6775</v>
      </c>
      <c r="D1183" s="6" t="s">
        <v>4636</v>
      </c>
      <c r="E1183" s="6" t="s">
        <v>4637</v>
      </c>
      <c r="F1183" s="7" t="s">
        <v>6612</v>
      </c>
      <c r="G1183" s="6"/>
      <c r="H1183" s="6" t="s">
        <v>54</v>
      </c>
      <c r="I1183" s="6"/>
      <c r="J1183" s="6"/>
      <c r="K1183" s="6"/>
      <c r="L1183" s="6" t="s">
        <v>4638</v>
      </c>
      <c r="M1183" s="6"/>
      <c r="N1183" s="6" t="s">
        <v>4639</v>
      </c>
      <c r="O1183" s="6" t="str">
        <f>HYPERLINK("https://ceds.ed.gov/cedselementdetails.aspx?termid=6406")</f>
        <v>https://ceds.ed.gov/cedselementdetails.aspx?termid=6406</v>
      </c>
      <c r="P1183" s="6" t="str">
        <f>HYPERLINK("https://ceds.ed.gov/elementComment.aspx?elementName=Professional Development Activity Credit Type &amp;elementID=6406", "Click here to submit comment")</f>
        <v>Click here to submit comment</v>
      </c>
    </row>
    <row r="1184" spans="1:16" ht="45">
      <c r="A1184" s="6" t="s">
        <v>6788</v>
      </c>
      <c r="B1184" s="6" t="s">
        <v>6821</v>
      </c>
      <c r="C1184" s="6" t="s">
        <v>6775</v>
      </c>
      <c r="D1184" s="6" t="s">
        <v>4640</v>
      </c>
      <c r="E1184" s="6" t="s">
        <v>4641</v>
      </c>
      <c r="F1184" s="6" t="s">
        <v>13</v>
      </c>
      <c r="G1184" s="6"/>
      <c r="H1184" s="6" t="s">
        <v>54</v>
      </c>
      <c r="I1184" s="6" t="s">
        <v>1461</v>
      </c>
      <c r="J1184" s="6"/>
      <c r="K1184" s="6"/>
      <c r="L1184" s="6" t="s">
        <v>4642</v>
      </c>
      <c r="M1184" s="6"/>
      <c r="N1184" s="6" t="s">
        <v>4643</v>
      </c>
      <c r="O1184" s="6" t="str">
        <f>HYPERLINK("https://ceds.ed.gov/cedselementdetails.aspx?termid=6407")</f>
        <v>https://ceds.ed.gov/cedselementdetails.aspx?termid=6407</v>
      </c>
      <c r="P1184" s="6" t="str">
        <f>HYPERLINK("https://ceds.ed.gov/elementComment.aspx?elementName=Professional Development Activity Credits &amp;elementID=6407", "Click here to submit comment")</f>
        <v>Click here to submit comment</v>
      </c>
    </row>
    <row r="1185" spans="1:16" ht="60">
      <c r="A1185" s="6" t="s">
        <v>6788</v>
      </c>
      <c r="B1185" s="6" t="s">
        <v>6821</v>
      </c>
      <c r="C1185" s="6" t="s">
        <v>6775</v>
      </c>
      <c r="D1185" s="6" t="s">
        <v>4644</v>
      </c>
      <c r="E1185" s="6" t="s">
        <v>4645</v>
      </c>
      <c r="F1185" s="6" t="s">
        <v>13</v>
      </c>
      <c r="G1185" s="6"/>
      <c r="H1185" s="6" t="s">
        <v>54</v>
      </c>
      <c r="I1185" s="6" t="s">
        <v>319</v>
      </c>
      <c r="J1185" s="6"/>
      <c r="K1185" s="6"/>
      <c r="L1185" s="6" t="s">
        <v>4646</v>
      </c>
      <c r="M1185" s="6"/>
      <c r="N1185" s="6" t="s">
        <v>4647</v>
      </c>
      <c r="O1185" s="6" t="str">
        <f>HYPERLINK("https://ceds.ed.gov/cedselementdetails.aspx?termid=6408")</f>
        <v>https://ceds.ed.gov/cedselementdetails.aspx?termid=6408</v>
      </c>
      <c r="P1185" s="6" t="str">
        <f>HYPERLINK("https://ceds.ed.gov/elementComment.aspx?elementName=Professional Development Activity Description &amp;elementID=6408", "Click here to submit comment")</f>
        <v>Click here to submit comment</v>
      </c>
    </row>
    <row r="1186" spans="1:16" ht="60">
      <c r="A1186" s="6" t="s">
        <v>6788</v>
      </c>
      <c r="B1186" s="6" t="s">
        <v>6821</v>
      </c>
      <c r="C1186" s="6" t="s">
        <v>6775</v>
      </c>
      <c r="D1186" s="6" t="s">
        <v>4654</v>
      </c>
      <c r="E1186" s="6" t="s">
        <v>4655</v>
      </c>
      <c r="F1186" s="6" t="s">
        <v>13</v>
      </c>
      <c r="G1186" s="6"/>
      <c r="H1186" s="6" t="s">
        <v>54</v>
      </c>
      <c r="I1186" s="6" t="s">
        <v>73</v>
      </c>
      <c r="J1186" s="6"/>
      <c r="K1186" s="6"/>
      <c r="L1186" s="6" t="s">
        <v>4656</v>
      </c>
      <c r="M1186" s="6"/>
      <c r="N1186" s="6" t="s">
        <v>4657</v>
      </c>
      <c r="O1186" s="6" t="str">
        <f>HYPERLINK("https://ceds.ed.gov/cedselementdetails.aspx?termid=6421")</f>
        <v>https://ceds.ed.gov/cedselementdetails.aspx?termid=6421</v>
      </c>
      <c r="P1186" s="6" t="str">
        <f>HYPERLINK("https://ceds.ed.gov/elementComment.aspx?elementName=Professional Development Activity Expiration Date &amp;elementID=6421", "Click here to submit comment")</f>
        <v>Click here to submit comment</v>
      </c>
    </row>
    <row r="1187" spans="1:16" ht="60">
      <c r="A1187" s="6" t="s">
        <v>6788</v>
      </c>
      <c r="B1187" s="6" t="s">
        <v>6821</v>
      </c>
      <c r="C1187" s="6" t="s">
        <v>6775</v>
      </c>
      <c r="D1187" s="6" t="s">
        <v>4664</v>
      </c>
      <c r="E1187" s="6" t="s">
        <v>4665</v>
      </c>
      <c r="F1187" s="6" t="s">
        <v>6289</v>
      </c>
      <c r="G1187" s="6"/>
      <c r="H1187" s="6" t="s">
        <v>54</v>
      </c>
      <c r="I1187" s="6"/>
      <c r="J1187" s="6"/>
      <c r="K1187" s="6"/>
      <c r="L1187" s="6" t="s">
        <v>4666</v>
      </c>
      <c r="M1187" s="6"/>
      <c r="N1187" s="6" t="s">
        <v>4667</v>
      </c>
      <c r="O1187" s="6" t="str">
        <f>HYPERLINK("https://ceds.ed.gov/cedselementdetails.aspx?termid=6409")</f>
        <v>https://ceds.ed.gov/cedselementdetails.aspx?termid=6409</v>
      </c>
      <c r="P1187" s="6" t="str">
        <f>HYPERLINK("https://ceds.ed.gov/elementComment.aspx?elementName=Professional Development Activity Level &amp;elementID=6409", "Click here to submit comment")</f>
        <v>Click here to submit comment</v>
      </c>
    </row>
    <row r="1188" spans="1:16" ht="45">
      <c r="A1188" s="6" t="s">
        <v>6788</v>
      </c>
      <c r="B1188" s="6" t="s">
        <v>6821</v>
      </c>
      <c r="C1188" s="6" t="s">
        <v>6775</v>
      </c>
      <c r="D1188" s="6" t="s">
        <v>4668</v>
      </c>
      <c r="E1188" s="6" t="s">
        <v>4669</v>
      </c>
      <c r="F1188" s="6" t="s">
        <v>13</v>
      </c>
      <c r="G1188" s="6"/>
      <c r="H1188" s="6" t="s">
        <v>54</v>
      </c>
      <c r="I1188" s="6" t="s">
        <v>319</v>
      </c>
      <c r="J1188" s="6"/>
      <c r="K1188" s="6"/>
      <c r="L1188" s="6" t="s">
        <v>4670</v>
      </c>
      <c r="M1188" s="6"/>
      <c r="N1188" s="6" t="s">
        <v>4671</v>
      </c>
      <c r="O1188" s="6" t="str">
        <f>HYPERLINK("https://ceds.ed.gov/cedselementdetails.aspx?termid=6410")</f>
        <v>https://ceds.ed.gov/cedselementdetails.aspx?termid=6410</v>
      </c>
      <c r="P1188" s="6" t="str">
        <f>HYPERLINK("https://ceds.ed.gov/elementComment.aspx?elementName=Professional Development Activity Objective &amp;elementID=6410", "Click here to submit comment")</f>
        <v>Click here to submit comment</v>
      </c>
    </row>
    <row r="1189" spans="1:16" ht="409.5">
      <c r="A1189" s="6" t="s">
        <v>6788</v>
      </c>
      <c r="B1189" s="6" t="s">
        <v>6821</v>
      </c>
      <c r="C1189" s="6" t="s">
        <v>6775</v>
      </c>
      <c r="D1189" s="6" t="s">
        <v>4672</v>
      </c>
      <c r="E1189" s="6" t="s">
        <v>4673</v>
      </c>
      <c r="F1189" s="7" t="s">
        <v>6614</v>
      </c>
      <c r="G1189" s="6"/>
      <c r="H1189" s="6" t="s">
        <v>54</v>
      </c>
      <c r="I1189" s="6"/>
      <c r="J1189" s="6"/>
      <c r="K1189" s="6"/>
      <c r="L1189" s="6" t="s">
        <v>4674</v>
      </c>
      <c r="M1189" s="6"/>
      <c r="N1189" s="6" t="s">
        <v>4675</v>
      </c>
      <c r="O1189" s="6" t="str">
        <f>HYPERLINK("https://ceds.ed.gov/cedselementdetails.aspx?termid=6464")</f>
        <v>https://ceds.ed.gov/cedselementdetails.aspx?termid=6464</v>
      </c>
      <c r="P1189" s="6" t="str">
        <f>HYPERLINK("https://ceds.ed.gov/elementComment.aspx?elementName=Professional Development Activity Target Audience &amp;elementID=6464", "Click here to submit comment")</f>
        <v>Click here to submit comment</v>
      </c>
    </row>
    <row r="1190" spans="1:16" ht="45">
      <c r="A1190" s="6" t="s">
        <v>6788</v>
      </c>
      <c r="B1190" s="6" t="s">
        <v>6821</v>
      </c>
      <c r="C1190" s="6" t="s">
        <v>6775</v>
      </c>
      <c r="D1190" s="6" t="s">
        <v>4676</v>
      </c>
      <c r="E1190" s="6" t="s">
        <v>4677</v>
      </c>
      <c r="F1190" s="6" t="s">
        <v>13</v>
      </c>
      <c r="G1190" s="6" t="s">
        <v>202</v>
      </c>
      <c r="H1190" s="6" t="s">
        <v>66</v>
      </c>
      <c r="I1190" s="6" t="s">
        <v>106</v>
      </c>
      <c r="J1190" s="6" t="s">
        <v>4678</v>
      </c>
      <c r="K1190" s="6"/>
      <c r="L1190" s="6" t="s">
        <v>4679</v>
      </c>
      <c r="M1190" s="6"/>
      <c r="N1190" s="6" t="s">
        <v>4680</v>
      </c>
      <c r="O1190" s="6" t="str">
        <f>HYPERLINK("https://ceds.ed.gov/cedselementdetails.aspx?termid=5809")</f>
        <v>https://ceds.ed.gov/cedselementdetails.aspx?termid=5809</v>
      </c>
      <c r="P1190" s="6" t="str">
        <f>HYPERLINK("https://ceds.ed.gov/elementComment.aspx?elementName=Professional Development Activity Title &amp;elementID=5809", "Click here to submit comment")</f>
        <v>Click here to submit comment</v>
      </c>
    </row>
    <row r="1191" spans="1:16" ht="210">
      <c r="A1191" s="6" t="s">
        <v>6788</v>
      </c>
      <c r="B1191" s="6" t="s">
        <v>6821</v>
      </c>
      <c r="C1191" s="6" t="s">
        <v>6775</v>
      </c>
      <c r="D1191" s="6" t="s">
        <v>4681</v>
      </c>
      <c r="E1191" s="6" t="s">
        <v>4682</v>
      </c>
      <c r="F1191" s="7" t="s">
        <v>6615</v>
      </c>
      <c r="G1191" s="6"/>
      <c r="H1191" s="6" t="s">
        <v>54</v>
      </c>
      <c r="I1191" s="6"/>
      <c r="J1191" s="6"/>
      <c r="K1191" s="6" t="s">
        <v>4683</v>
      </c>
      <c r="L1191" s="6" t="s">
        <v>4684</v>
      </c>
      <c r="M1191" s="6"/>
      <c r="N1191" s="6" t="s">
        <v>4685</v>
      </c>
      <c r="O1191" s="6" t="str">
        <f>HYPERLINK("https://ceds.ed.gov/cedselementdetails.aspx?termid=6412")</f>
        <v>https://ceds.ed.gov/cedselementdetails.aspx?termid=6412</v>
      </c>
      <c r="P1191" s="6" t="str">
        <f>HYPERLINK("https://ceds.ed.gov/elementComment.aspx?elementName=Professional Development Activity Type &amp;elementID=6412", "Click here to submit comment")</f>
        <v>Click here to submit comment</v>
      </c>
    </row>
    <row r="1192" spans="1:16" ht="90">
      <c r="A1192" s="6" t="s">
        <v>6788</v>
      </c>
      <c r="B1192" s="6" t="s">
        <v>6821</v>
      </c>
      <c r="C1192" s="6" t="s">
        <v>6776</v>
      </c>
      <c r="D1192" s="6" t="s">
        <v>4690</v>
      </c>
      <c r="E1192" s="6" t="s">
        <v>4691</v>
      </c>
      <c r="F1192" s="7" t="s">
        <v>6616</v>
      </c>
      <c r="G1192" s="6"/>
      <c r="H1192" s="6" t="s">
        <v>54</v>
      </c>
      <c r="I1192" s="6"/>
      <c r="J1192" s="6"/>
      <c r="K1192" s="6"/>
      <c r="L1192" s="6" t="s">
        <v>4692</v>
      </c>
      <c r="M1192" s="6"/>
      <c r="N1192" s="6" t="s">
        <v>4693</v>
      </c>
      <c r="O1192" s="6" t="str">
        <f>HYPERLINK("https://ceds.ed.gov/cedselementdetails.aspx?termid=6401")</f>
        <v>https://ceds.ed.gov/cedselementdetails.aspx?termid=6401</v>
      </c>
      <c r="P1192" s="6" t="str">
        <f>HYPERLINK("https://ceds.ed.gov/elementComment.aspx?elementName=Professional Development Delivery Method &amp;elementID=6401", "Click here to submit comment")</f>
        <v>Click here to submit comment</v>
      </c>
    </row>
    <row r="1193" spans="1:16" ht="45">
      <c r="A1193" s="6" t="s">
        <v>6788</v>
      </c>
      <c r="B1193" s="6" t="s">
        <v>6821</v>
      </c>
      <c r="C1193" s="6" t="s">
        <v>6776</v>
      </c>
      <c r="D1193" s="6" t="s">
        <v>4698</v>
      </c>
      <c r="E1193" s="6" t="s">
        <v>4699</v>
      </c>
      <c r="F1193" s="6" t="s">
        <v>13</v>
      </c>
      <c r="G1193" s="6"/>
      <c r="H1193" s="6" t="s">
        <v>54</v>
      </c>
      <c r="I1193" s="6" t="s">
        <v>100</v>
      </c>
      <c r="J1193" s="6"/>
      <c r="K1193" s="6"/>
      <c r="L1193" s="6" t="s">
        <v>4700</v>
      </c>
      <c r="M1193" s="6"/>
      <c r="N1193" s="6" t="s">
        <v>4701</v>
      </c>
      <c r="O1193" s="6" t="str">
        <f>HYPERLINK("https://ceds.ed.gov/cedselementdetails.aspx?termid=6413")</f>
        <v>https://ceds.ed.gov/cedselementdetails.aspx?termid=6413</v>
      </c>
      <c r="P1193" s="6" t="str">
        <f>HYPERLINK("https://ceds.ed.gov/elementComment.aspx?elementName=Professional Development Funding Source &amp;elementID=6413", "Click here to submit comment")</f>
        <v>Click here to submit comment</v>
      </c>
    </row>
    <row r="1194" spans="1:16" ht="240">
      <c r="A1194" s="6" t="s">
        <v>6788</v>
      </c>
      <c r="B1194" s="6" t="s">
        <v>6821</v>
      </c>
      <c r="C1194" s="6" t="s">
        <v>6776</v>
      </c>
      <c r="D1194" s="6" t="s">
        <v>4702</v>
      </c>
      <c r="E1194" s="6" t="s">
        <v>4703</v>
      </c>
      <c r="F1194" s="7" t="s">
        <v>6618</v>
      </c>
      <c r="G1194" s="6"/>
      <c r="H1194" s="6" t="s">
        <v>54</v>
      </c>
      <c r="I1194" s="6"/>
      <c r="J1194" s="6"/>
      <c r="K1194" s="6"/>
      <c r="L1194" s="6" t="s">
        <v>4704</v>
      </c>
      <c r="M1194" s="6"/>
      <c r="N1194" s="6" t="s">
        <v>4705</v>
      </c>
      <c r="O1194" s="6" t="str">
        <f>HYPERLINK("https://ceds.ed.gov/cedselementdetails.aspx?termid=6429")</f>
        <v>https://ceds.ed.gov/cedselementdetails.aspx?termid=6429</v>
      </c>
      <c r="P1194" s="6" t="str">
        <f>HYPERLINK("https://ceds.ed.gov/elementComment.aspx?elementName=Professional Development Instructional Delivery Mode &amp;elementID=6429", "Click here to submit comment")</f>
        <v>Click here to submit comment</v>
      </c>
    </row>
    <row r="1195" spans="1:16" ht="60">
      <c r="A1195" s="6" t="s">
        <v>6788</v>
      </c>
      <c r="B1195" s="6" t="s">
        <v>6821</v>
      </c>
      <c r="C1195" s="6" t="s">
        <v>6776</v>
      </c>
      <c r="D1195" s="6" t="s">
        <v>4706</v>
      </c>
      <c r="E1195" s="6" t="s">
        <v>4707</v>
      </c>
      <c r="F1195" s="6" t="s">
        <v>13</v>
      </c>
      <c r="G1195" s="6"/>
      <c r="H1195" s="6" t="s">
        <v>54</v>
      </c>
      <c r="I1195" s="6" t="s">
        <v>100</v>
      </c>
      <c r="J1195" s="6"/>
      <c r="K1195" s="6"/>
      <c r="L1195" s="6" t="s">
        <v>4708</v>
      </c>
      <c r="M1195" s="6"/>
      <c r="N1195" s="6" t="s">
        <v>4709</v>
      </c>
      <c r="O1195" s="6" t="str">
        <f>HYPERLINK("https://ceds.ed.gov/cedselementdetails.aspx?termid=6414")</f>
        <v>https://ceds.ed.gov/cedselementdetails.aspx?termid=6414</v>
      </c>
      <c r="P1195" s="6" t="str">
        <f>HYPERLINK("https://ceds.ed.gov/elementComment.aspx?elementName=Professional Development Instructor Identifier &amp;elementID=6414", "Click here to submit comment")</f>
        <v>Click here to submit comment</v>
      </c>
    </row>
    <row r="1196" spans="1:16" ht="45">
      <c r="A1196" s="6" t="s">
        <v>6788</v>
      </c>
      <c r="B1196" s="6" t="s">
        <v>6821</v>
      </c>
      <c r="C1196" s="6" t="s">
        <v>6776</v>
      </c>
      <c r="D1196" s="6" t="s">
        <v>4718</v>
      </c>
      <c r="E1196" s="6" t="s">
        <v>4719</v>
      </c>
      <c r="F1196" s="6" t="s">
        <v>13</v>
      </c>
      <c r="G1196" s="6"/>
      <c r="H1196" s="6" t="s">
        <v>54</v>
      </c>
      <c r="I1196" s="6" t="s">
        <v>575</v>
      </c>
      <c r="J1196" s="6"/>
      <c r="K1196" s="6"/>
      <c r="L1196" s="6" t="s">
        <v>4720</v>
      </c>
      <c r="M1196" s="6"/>
      <c r="N1196" s="6" t="s">
        <v>4721</v>
      </c>
      <c r="O1196" s="6" t="str">
        <f>HYPERLINK("https://ceds.ed.gov/cedselementdetails.aspx?termid=6416")</f>
        <v>https://ceds.ed.gov/cedselementdetails.aspx?termid=6416</v>
      </c>
      <c r="P1196" s="6" t="str">
        <f>HYPERLINK("https://ceds.ed.gov/elementComment.aspx?elementName=Professional Development Session Capacity &amp;elementID=6416", "Click here to submit comment")</f>
        <v>Click here to submit comment</v>
      </c>
    </row>
    <row r="1197" spans="1:16" ht="45">
      <c r="A1197" s="6" t="s">
        <v>6788</v>
      </c>
      <c r="B1197" s="6" t="s">
        <v>6821</v>
      </c>
      <c r="C1197" s="6" t="s">
        <v>6776</v>
      </c>
      <c r="D1197" s="6" t="s">
        <v>4722</v>
      </c>
      <c r="E1197" s="6" t="s">
        <v>4723</v>
      </c>
      <c r="F1197" s="6" t="s">
        <v>13</v>
      </c>
      <c r="G1197" s="6"/>
      <c r="H1197" s="6" t="s">
        <v>54</v>
      </c>
      <c r="I1197" s="6" t="s">
        <v>73</v>
      </c>
      <c r="J1197" s="6"/>
      <c r="K1197" s="6"/>
      <c r="L1197" s="6" t="s">
        <v>4724</v>
      </c>
      <c r="M1197" s="6"/>
      <c r="N1197" s="6" t="s">
        <v>4725</v>
      </c>
      <c r="O1197" s="6" t="str">
        <f>HYPERLINK("https://ceds.ed.gov/cedselementdetails.aspx?termid=6417")</f>
        <v>https://ceds.ed.gov/cedselementdetails.aspx?termid=6417</v>
      </c>
      <c r="P1197" s="6" t="str">
        <f>HYPERLINK("https://ceds.ed.gov/elementComment.aspx?elementName=Professional Development Session End Date &amp;elementID=6417", "Click here to submit comment")</f>
        <v>Click here to submit comment</v>
      </c>
    </row>
    <row r="1198" spans="1:16" ht="45">
      <c r="A1198" s="6" t="s">
        <v>6788</v>
      </c>
      <c r="B1198" s="6" t="s">
        <v>6821</v>
      </c>
      <c r="C1198" s="6" t="s">
        <v>6776</v>
      </c>
      <c r="D1198" s="6" t="s">
        <v>4726</v>
      </c>
      <c r="E1198" s="6" t="s">
        <v>4727</v>
      </c>
      <c r="F1198" s="6" t="s">
        <v>13</v>
      </c>
      <c r="G1198" s="6"/>
      <c r="H1198" s="6" t="s">
        <v>54</v>
      </c>
      <c r="I1198" s="6" t="s">
        <v>4728</v>
      </c>
      <c r="J1198" s="6"/>
      <c r="K1198" s="6"/>
      <c r="L1198" s="6" t="s">
        <v>4729</v>
      </c>
      <c r="M1198" s="6"/>
      <c r="N1198" s="6" t="s">
        <v>4730</v>
      </c>
      <c r="O1198" s="6" t="str">
        <f>HYPERLINK("https://ceds.ed.gov/cedselementdetails.aspx?termid=6418")</f>
        <v>https://ceds.ed.gov/cedselementdetails.aspx?termid=6418</v>
      </c>
      <c r="P1198" s="6" t="str">
        <f>HYPERLINK("https://ceds.ed.gov/elementComment.aspx?elementName=Professional Development Session End Time &amp;elementID=6418", "Click here to submit comment")</f>
        <v>Click here to submit comment</v>
      </c>
    </row>
    <row r="1199" spans="1:16" ht="60">
      <c r="A1199" s="6" t="s">
        <v>6788</v>
      </c>
      <c r="B1199" s="6" t="s">
        <v>6821</v>
      </c>
      <c r="C1199" s="6" t="s">
        <v>6776</v>
      </c>
      <c r="D1199" s="6" t="s">
        <v>4731</v>
      </c>
      <c r="E1199" s="6" t="s">
        <v>4732</v>
      </c>
      <c r="F1199" s="6" t="s">
        <v>13</v>
      </c>
      <c r="G1199" s="6"/>
      <c r="H1199" s="6" t="s">
        <v>54</v>
      </c>
      <c r="I1199" s="6" t="s">
        <v>100</v>
      </c>
      <c r="J1199" s="6"/>
      <c r="K1199" s="6"/>
      <c r="L1199" s="6" t="s">
        <v>4733</v>
      </c>
      <c r="M1199" s="6"/>
      <c r="N1199" s="6" t="s">
        <v>4734</v>
      </c>
      <c r="O1199" s="6" t="str">
        <f>HYPERLINK("https://ceds.ed.gov/cedselementdetails.aspx?termid=6419")</f>
        <v>https://ceds.ed.gov/cedselementdetails.aspx?termid=6419</v>
      </c>
      <c r="P1199" s="6" t="str">
        <f>HYPERLINK("https://ceds.ed.gov/elementComment.aspx?elementName=Professional Development Session Evaluation Method &amp;elementID=6419", "Click here to submit comment")</f>
        <v>Click here to submit comment</v>
      </c>
    </row>
    <row r="1200" spans="1:16" ht="60">
      <c r="A1200" s="6" t="s">
        <v>6788</v>
      </c>
      <c r="B1200" s="6" t="s">
        <v>6821</v>
      </c>
      <c r="C1200" s="6" t="s">
        <v>6776</v>
      </c>
      <c r="D1200" s="6" t="s">
        <v>4735</v>
      </c>
      <c r="E1200" s="6" t="s">
        <v>4736</v>
      </c>
      <c r="F1200" s="6" t="s">
        <v>13</v>
      </c>
      <c r="G1200" s="6"/>
      <c r="H1200" s="6" t="s">
        <v>54</v>
      </c>
      <c r="I1200" s="6" t="s">
        <v>100</v>
      </c>
      <c r="J1200" s="6"/>
      <c r="K1200" s="6"/>
      <c r="L1200" s="6" t="s">
        <v>4737</v>
      </c>
      <c r="M1200" s="6"/>
      <c r="N1200" s="6" t="s">
        <v>4738</v>
      </c>
      <c r="O1200" s="6" t="str">
        <f>HYPERLINK("https://ceds.ed.gov/cedselementdetails.aspx?termid=6420")</f>
        <v>https://ceds.ed.gov/cedselementdetails.aspx?termid=6420</v>
      </c>
      <c r="P1200" s="6" t="str">
        <f>HYPERLINK("https://ceds.ed.gov/elementComment.aspx?elementName=Professional Development Session Evaluation Score &amp;elementID=6420", "Click here to submit comment")</f>
        <v>Click here to submit comment</v>
      </c>
    </row>
    <row r="1201" spans="1:16" ht="75">
      <c r="A1201" s="6" t="s">
        <v>6788</v>
      </c>
      <c r="B1201" s="6" t="s">
        <v>6821</v>
      </c>
      <c r="C1201" s="6" t="s">
        <v>6776</v>
      </c>
      <c r="D1201" s="6" t="s">
        <v>4739</v>
      </c>
      <c r="E1201" s="6" t="s">
        <v>4740</v>
      </c>
      <c r="F1201" s="6" t="s">
        <v>13</v>
      </c>
      <c r="G1201" s="6"/>
      <c r="H1201" s="6" t="s">
        <v>54</v>
      </c>
      <c r="I1201" s="6" t="s">
        <v>100</v>
      </c>
      <c r="J1201" s="6"/>
      <c r="K1201" s="6"/>
      <c r="L1201" s="6" t="s">
        <v>4741</v>
      </c>
      <c r="M1201" s="6"/>
      <c r="N1201" s="6" t="s">
        <v>4742</v>
      </c>
      <c r="O1201" s="6" t="str">
        <f>HYPERLINK("https://ceds.ed.gov/cedselementdetails.aspx?termid=6422")</f>
        <v>https://ceds.ed.gov/cedselementdetails.aspx?termid=6422</v>
      </c>
      <c r="P1201" s="6" t="str">
        <f>HYPERLINK("https://ceds.ed.gov/elementComment.aspx?elementName=Professional Development Session Identifier &amp;elementID=6422", "Click here to submit comment")</f>
        <v>Click here to submit comment</v>
      </c>
    </row>
    <row r="1202" spans="1:16" ht="45">
      <c r="A1202" s="6" t="s">
        <v>6788</v>
      </c>
      <c r="B1202" s="6" t="s">
        <v>6821</v>
      </c>
      <c r="C1202" s="6" t="s">
        <v>6776</v>
      </c>
      <c r="D1202" s="6" t="s">
        <v>4747</v>
      </c>
      <c r="E1202" s="6" t="s">
        <v>4748</v>
      </c>
      <c r="F1202" s="6" t="s">
        <v>13</v>
      </c>
      <c r="G1202" s="6"/>
      <c r="H1202" s="6" t="s">
        <v>54</v>
      </c>
      <c r="I1202" s="6" t="s">
        <v>73</v>
      </c>
      <c r="J1202" s="6"/>
      <c r="K1202" s="6"/>
      <c r="L1202" s="6" t="s">
        <v>4749</v>
      </c>
      <c r="M1202" s="6"/>
      <c r="N1202" s="6" t="s">
        <v>4750</v>
      </c>
      <c r="O1202" s="6" t="str">
        <f>HYPERLINK("https://ceds.ed.gov/cedselementdetails.aspx?termid=6426")</f>
        <v>https://ceds.ed.gov/cedselementdetails.aspx?termid=6426</v>
      </c>
      <c r="P1202" s="6" t="str">
        <f>HYPERLINK("https://ceds.ed.gov/elementComment.aspx?elementName=Professional Development Session Start Date &amp;elementID=6426", "Click here to submit comment")</f>
        <v>Click here to submit comment</v>
      </c>
    </row>
    <row r="1203" spans="1:16" ht="45">
      <c r="A1203" s="6" t="s">
        <v>6788</v>
      </c>
      <c r="B1203" s="6" t="s">
        <v>6821</v>
      </c>
      <c r="C1203" s="6" t="s">
        <v>6776</v>
      </c>
      <c r="D1203" s="6" t="s">
        <v>4751</v>
      </c>
      <c r="E1203" s="6" t="s">
        <v>4752</v>
      </c>
      <c r="F1203" s="6" t="s">
        <v>13</v>
      </c>
      <c r="G1203" s="6"/>
      <c r="H1203" s="6" t="s">
        <v>54</v>
      </c>
      <c r="I1203" s="6" t="s">
        <v>4728</v>
      </c>
      <c r="J1203" s="6"/>
      <c r="K1203" s="6"/>
      <c r="L1203" s="6" t="s">
        <v>4753</v>
      </c>
      <c r="M1203" s="6"/>
      <c r="N1203" s="6" t="s">
        <v>4754</v>
      </c>
      <c r="O1203" s="6" t="str">
        <f>HYPERLINK("https://ceds.ed.gov/cedselementdetails.aspx?termid=6427")</f>
        <v>https://ceds.ed.gov/cedselementdetails.aspx?termid=6427</v>
      </c>
      <c r="P1203" s="6" t="str">
        <f>HYPERLINK("https://ceds.ed.gov/elementComment.aspx?elementName=Professional Development Session Start Time &amp;elementID=6427", "Click here to submit comment")</f>
        <v>Click here to submit comment</v>
      </c>
    </row>
    <row r="1204" spans="1:16" ht="60">
      <c r="A1204" s="6" t="s">
        <v>6788</v>
      </c>
      <c r="B1204" s="6" t="s">
        <v>6821</v>
      </c>
      <c r="C1204" s="6" t="s">
        <v>6776</v>
      </c>
      <c r="D1204" s="6" t="s">
        <v>4755</v>
      </c>
      <c r="E1204" s="6" t="s">
        <v>4756</v>
      </c>
      <c r="F1204" s="6" t="s">
        <v>6292</v>
      </c>
      <c r="G1204" s="6"/>
      <c r="H1204" s="6" t="s">
        <v>54</v>
      </c>
      <c r="I1204" s="6"/>
      <c r="J1204" s="6"/>
      <c r="K1204" s="6"/>
      <c r="L1204" s="6" t="s">
        <v>4757</v>
      </c>
      <c r="M1204" s="6"/>
      <c r="N1204" s="6" t="s">
        <v>4758</v>
      </c>
      <c r="O1204" s="6" t="str">
        <f>HYPERLINK("https://ceds.ed.gov/cedselementdetails.aspx?termid=6428")</f>
        <v>https://ceds.ed.gov/cedselementdetails.aspx?termid=6428</v>
      </c>
      <c r="P1204" s="6" t="str">
        <f>HYPERLINK("https://ceds.ed.gov/elementComment.aspx?elementName=Professional Development Session Status &amp;elementID=6428", "Click here to submit comment")</f>
        <v>Click here to submit comment</v>
      </c>
    </row>
    <row r="1205" spans="1:16" ht="45">
      <c r="A1205" s="6" t="s">
        <v>6788</v>
      </c>
      <c r="B1205" s="6" t="s">
        <v>6821</v>
      </c>
      <c r="C1205" s="6" t="s">
        <v>6776</v>
      </c>
      <c r="D1205" s="6" t="s">
        <v>5443</v>
      </c>
      <c r="E1205" s="6" t="s">
        <v>5444</v>
      </c>
      <c r="F1205" s="6" t="s">
        <v>13</v>
      </c>
      <c r="G1205" s="6"/>
      <c r="H1205" s="6" t="s">
        <v>54</v>
      </c>
      <c r="I1205" s="6" t="s">
        <v>106</v>
      </c>
      <c r="J1205" s="6"/>
      <c r="K1205" s="6"/>
      <c r="L1205" s="6" t="s">
        <v>5445</v>
      </c>
      <c r="M1205" s="6"/>
      <c r="N1205" s="6" t="s">
        <v>5446</v>
      </c>
      <c r="O1205" s="6" t="str">
        <f>HYPERLINK("https://ceds.ed.gov/cedselementdetails.aspx?termid=6461")</f>
        <v>https://ceds.ed.gov/cedselementdetails.aspx?termid=6461</v>
      </c>
      <c r="P1205" s="6" t="str">
        <f>HYPERLINK("https://ceds.ed.gov/elementComment.aspx?elementName=Sponsoring Agency Name &amp;elementID=6461", "Click here to submit comment")</f>
        <v>Click here to submit comment</v>
      </c>
    </row>
    <row r="1206" spans="1:16" ht="60">
      <c r="A1206" s="6" t="s">
        <v>6788</v>
      </c>
      <c r="B1206" s="6" t="s">
        <v>6821</v>
      </c>
      <c r="C1206" s="6" t="s">
        <v>6777</v>
      </c>
      <c r="D1206" s="6" t="s">
        <v>4743</v>
      </c>
      <c r="E1206" s="6" t="s">
        <v>4744</v>
      </c>
      <c r="F1206" s="6" t="s">
        <v>13</v>
      </c>
      <c r="G1206" s="6"/>
      <c r="H1206" s="6" t="s">
        <v>54</v>
      </c>
      <c r="I1206" s="6" t="s">
        <v>106</v>
      </c>
      <c r="J1206" s="6"/>
      <c r="K1206" s="6"/>
      <c r="L1206" s="6" t="s">
        <v>4745</v>
      </c>
      <c r="M1206" s="6"/>
      <c r="N1206" s="6" t="s">
        <v>4746</v>
      </c>
      <c r="O1206" s="6" t="str">
        <f>HYPERLINK("https://ceds.ed.gov/cedselementdetails.aspx?termid=6424")</f>
        <v>https://ceds.ed.gov/cedselementdetails.aspx?termid=6424</v>
      </c>
      <c r="P1206" s="6" t="str">
        <f>HYPERLINK("https://ceds.ed.gov/elementComment.aspx?elementName=Professional Development Session Location Name &amp;elementID=6424", "Click here to submit comment")</f>
        <v>Click here to submit comment</v>
      </c>
    </row>
    <row r="1207" spans="1:16" ht="225">
      <c r="A1207" s="6" t="s">
        <v>6788</v>
      </c>
      <c r="B1207" s="6" t="s">
        <v>6821</v>
      </c>
      <c r="C1207" s="6" t="s">
        <v>6777</v>
      </c>
      <c r="D1207" s="6" t="s">
        <v>187</v>
      </c>
      <c r="E1207" s="6" t="s">
        <v>188</v>
      </c>
      <c r="F1207" s="6" t="s">
        <v>13</v>
      </c>
      <c r="G1207" s="6" t="s">
        <v>5973</v>
      </c>
      <c r="H1207" s="6" t="s">
        <v>3</v>
      </c>
      <c r="I1207" s="6" t="s">
        <v>149</v>
      </c>
      <c r="J1207" s="6"/>
      <c r="K1207" s="6"/>
      <c r="L1207" s="6" t="s">
        <v>189</v>
      </c>
      <c r="M1207" s="6"/>
      <c r="N1207" s="6" t="s">
        <v>190</v>
      </c>
      <c r="O1207" s="6" t="str">
        <f>HYPERLINK("https://ceds.ed.gov/cedselementdetails.aspx?termid=5269")</f>
        <v>https://ceds.ed.gov/cedselementdetails.aspx?termid=5269</v>
      </c>
      <c r="P1207" s="6" t="str">
        <f>HYPERLINK("https://ceds.ed.gov/elementComment.aspx?elementName=Address Street Number and Name &amp;elementID=5269", "Click here to submit comment")</f>
        <v>Click here to submit comment</v>
      </c>
    </row>
    <row r="1208" spans="1:16" ht="225">
      <c r="A1208" s="6" t="s">
        <v>6788</v>
      </c>
      <c r="B1208" s="6" t="s">
        <v>6821</v>
      </c>
      <c r="C1208" s="6" t="s">
        <v>6777</v>
      </c>
      <c r="D1208" s="6" t="s">
        <v>170</v>
      </c>
      <c r="E1208" s="6" t="s">
        <v>171</v>
      </c>
      <c r="F1208" s="6" t="s">
        <v>13</v>
      </c>
      <c r="G1208" s="6" t="s">
        <v>5973</v>
      </c>
      <c r="H1208" s="6" t="s">
        <v>3</v>
      </c>
      <c r="I1208" s="6" t="s">
        <v>100</v>
      </c>
      <c r="J1208" s="6"/>
      <c r="K1208" s="6"/>
      <c r="L1208" s="6" t="s">
        <v>172</v>
      </c>
      <c r="M1208" s="6"/>
      <c r="N1208" s="6" t="s">
        <v>173</v>
      </c>
      <c r="O1208" s="6" t="str">
        <f>HYPERLINK("https://ceds.ed.gov/cedselementdetails.aspx?termid=5019")</f>
        <v>https://ceds.ed.gov/cedselementdetails.aspx?termid=5019</v>
      </c>
      <c r="P1208" s="6" t="str">
        <f>HYPERLINK("https://ceds.ed.gov/elementComment.aspx?elementName=Address Apartment Room or Suite Number &amp;elementID=5019", "Click here to submit comment")</f>
        <v>Click here to submit comment</v>
      </c>
    </row>
    <row r="1209" spans="1:16" ht="225">
      <c r="A1209" s="6" t="s">
        <v>6788</v>
      </c>
      <c r="B1209" s="6" t="s">
        <v>6821</v>
      </c>
      <c r="C1209" s="6" t="s">
        <v>6777</v>
      </c>
      <c r="D1209" s="6" t="s">
        <v>174</v>
      </c>
      <c r="E1209" s="6" t="s">
        <v>175</v>
      </c>
      <c r="F1209" s="6" t="s">
        <v>13</v>
      </c>
      <c r="G1209" s="6" t="s">
        <v>5973</v>
      </c>
      <c r="H1209" s="6" t="s">
        <v>3</v>
      </c>
      <c r="I1209" s="6" t="s">
        <v>100</v>
      </c>
      <c r="J1209" s="6"/>
      <c r="K1209" s="6"/>
      <c r="L1209" s="6" t="s">
        <v>176</v>
      </c>
      <c r="M1209" s="6"/>
      <c r="N1209" s="6" t="s">
        <v>177</v>
      </c>
      <c r="O1209" s="6" t="str">
        <f>HYPERLINK("https://ceds.ed.gov/cedselementdetails.aspx?termid=5040")</f>
        <v>https://ceds.ed.gov/cedselementdetails.aspx?termid=5040</v>
      </c>
      <c r="P1209" s="6" t="str">
        <f>HYPERLINK("https://ceds.ed.gov/elementComment.aspx?elementName=Address City &amp;elementID=5040", "Click here to submit comment")</f>
        <v>Click here to submit comment</v>
      </c>
    </row>
    <row r="1210" spans="1:16" ht="409.5">
      <c r="A1210" s="6" t="s">
        <v>6788</v>
      </c>
      <c r="B1210" s="6" t="s">
        <v>6821</v>
      </c>
      <c r="C1210" s="6" t="s">
        <v>6777</v>
      </c>
      <c r="D1210" s="6" t="s">
        <v>5533</v>
      </c>
      <c r="E1210" s="6" t="s">
        <v>5534</v>
      </c>
      <c r="F1210" s="7" t="s">
        <v>6633</v>
      </c>
      <c r="G1210" s="6" t="s">
        <v>6324</v>
      </c>
      <c r="H1210" s="6" t="s">
        <v>3</v>
      </c>
      <c r="I1210" s="6"/>
      <c r="J1210" s="6"/>
      <c r="K1210" s="6"/>
      <c r="L1210" s="6" t="s">
        <v>5535</v>
      </c>
      <c r="M1210" s="6"/>
      <c r="N1210" s="6" t="s">
        <v>5536</v>
      </c>
      <c r="O1210" s="6" t="str">
        <f>HYPERLINK("https://ceds.ed.gov/cedselementdetails.aspx?termid=5267")</f>
        <v>https://ceds.ed.gov/cedselementdetails.aspx?termid=5267</v>
      </c>
      <c r="P1210" s="6" t="str">
        <f>HYPERLINK("https://ceds.ed.gov/elementComment.aspx?elementName=State Abbreviation &amp;elementID=5267", "Click here to submit comment")</f>
        <v>Click here to submit comment</v>
      </c>
    </row>
    <row r="1211" spans="1:16" ht="225">
      <c r="A1211" s="6" t="s">
        <v>6788</v>
      </c>
      <c r="B1211" s="6" t="s">
        <v>6821</v>
      </c>
      <c r="C1211" s="6" t="s">
        <v>6777</v>
      </c>
      <c r="D1211" s="6" t="s">
        <v>182</v>
      </c>
      <c r="E1211" s="6" t="s">
        <v>183</v>
      </c>
      <c r="F1211" s="6" t="s">
        <v>13</v>
      </c>
      <c r="G1211" s="6" t="s">
        <v>5973</v>
      </c>
      <c r="H1211" s="6" t="s">
        <v>3</v>
      </c>
      <c r="I1211" s="6" t="s">
        <v>184</v>
      </c>
      <c r="J1211" s="6"/>
      <c r="K1211" s="6"/>
      <c r="L1211" s="6" t="s">
        <v>185</v>
      </c>
      <c r="M1211" s="6"/>
      <c r="N1211" s="6" t="s">
        <v>186</v>
      </c>
      <c r="O1211" s="6" t="str">
        <f>HYPERLINK("https://ceds.ed.gov/cedselementdetails.aspx?termid=5214")</f>
        <v>https://ceds.ed.gov/cedselementdetails.aspx?termid=5214</v>
      </c>
      <c r="P1211" s="6" t="str">
        <f>HYPERLINK("https://ceds.ed.gov/elementComment.aspx?elementName=Address Postal Code &amp;elementID=5214", "Click here to submit comment")</f>
        <v>Click here to submit comment</v>
      </c>
    </row>
    <row r="1212" spans="1:16" ht="90">
      <c r="A1212" s="6" t="s">
        <v>6788</v>
      </c>
      <c r="B1212" s="6" t="s">
        <v>6821</v>
      </c>
      <c r="C1212" s="6" t="s">
        <v>6777</v>
      </c>
      <c r="D1212" s="6" t="s">
        <v>5727</v>
      </c>
      <c r="E1212" s="6" t="s">
        <v>5728</v>
      </c>
      <c r="F1212" s="6" t="s">
        <v>13</v>
      </c>
      <c r="G1212" s="6" t="s">
        <v>5968</v>
      </c>
      <c r="H1212" s="6" t="s">
        <v>3</v>
      </c>
      <c r="I1212" s="6" t="s">
        <v>5729</v>
      </c>
      <c r="J1212" s="6"/>
      <c r="K1212" s="6"/>
      <c r="L1212" s="6" t="s">
        <v>5730</v>
      </c>
      <c r="M1212" s="6"/>
      <c r="N1212" s="6" t="s">
        <v>5731</v>
      </c>
      <c r="O1212" s="6" t="str">
        <f>HYPERLINK("https://ceds.ed.gov/cedselementdetails.aspx?termid=5279")</f>
        <v>https://ceds.ed.gov/cedselementdetails.aspx?termid=5279</v>
      </c>
      <c r="P1212" s="6" t="str">
        <f>HYPERLINK("https://ceds.ed.gov/elementComment.aspx?elementName=Telephone Number &amp;elementID=5279", "Click here to submit comment")</f>
        <v>Click here to submit comment</v>
      </c>
    </row>
    <row r="1213" spans="1:16" ht="409.5">
      <c r="A1213" s="6" t="s">
        <v>6788</v>
      </c>
      <c r="B1213" s="6" t="s">
        <v>6821</v>
      </c>
      <c r="C1213" s="6" t="s">
        <v>6807</v>
      </c>
      <c r="D1213" s="6" t="s">
        <v>3958</v>
      </c>
      <c r="E1213" s="6" t="s">
        <v>3959</v>
      </c>
      <c r="F1213" s="7" t="s">
        <v>6571</v>
      </c>
      <c r="G1213" s="6"/>
      <c r="H1213" s="6" t="s">
        <v>66</v>
      </c>
      <c r="I1213" s="6"/>
      <c r="J1213" s="6" t="s">
        <v>2309</v>
      </c>
      <c r="K1213" s="6"/>
      <c r="L1213" s="6" t="s">
        <v>3961</v>
      </c>
      <c r="M1213" s="6"/>
      <c r="N1213" s="6" t="s">
        <v>3962</v>
      </c>
      <c r="O1213" s="6" t="str">
        <f>HYPERLINK("https://ceds.ed.gov/cedselementdetails.aspx?termid=5617")</f>
        <v>https://ceds.ed.gov/cedselementdetails.aspx?termid=5617</v>
      </c>
      <c r="P1213" s="6" t="str">
        <f>HYPERLINK("https://ceds.ed.gov/elementComment.aspx?elementName=Leave Event Type &amp;elementID=5617", "Click here to submit comment")</f>
        <v>Click here to submit comment</v>
      </c>
    </row>
    <row r="1214" spans="1:16" ht="135">
      <c r="A1214" s="6" t="s">
        <v>6788</v>
      </c>
      <c r="B1214" s="6" t="s">
        <v>6821</v>
      </c>
      <c r="C1214" s="6" t="s">
        <v>6807</v>
      </c>
      <c r="D1214" s="6" t="s">
        <v>1411</v>
      </c>
      <c r="E1214" s="6" t="s">
        <v>1412</v>
      </c>
      <c r="F1214" s="7" t="s">
        <v>6408</v>
      </c>
      <c r="G1214" s="6"/>
      <c r="H1214" s="6" t="s">
        <v>66</v>
      </c>
      <c r="I1214" s="6"/>
      <c r="J1214" s="6" t="s">
        <v>1413</v>
      </c>
      <c r="K1214" s="6"/>
      <c r="L1214" s="6" t="s">
        <v>1414</v>
      </c>
      <c r="M1214" s="6"/>
      <c r="N1214" s="6" t="s">
        <v>1415</v>
      </c>
      <c r="O1214" s="6" t="str">
        <f>HYPERLINK("https://ceds.ed.gov/cedselementdetails.aspx?termid=5076")</f>
        <v>https://ceds.ed.gov/cedselementdetails.aspx?termid=5076</v>
      </c>
      <c r="P1214" s="6" t="str">
        <f>HYPERLINK("https://ceds.ed.gov/elementComment.aspx?elementName=Attendance Status &amp;elementID=5076", "Click here to submit comment")</f>
        <v>Click here to submit comment</v>
      </c>
    </row>
    <row r="1215" spans="1:16" ht="60">
      <c r="A1215" s="6" t="s">
        <v>6788</v>
      </c>
      <c r="B1215" s="6" t="s">
        <v>6821</v>
      </c>
      <c r="C1215" s="6" t="s">
        <v>6795</v>
      </c>
      <c r="D1215" s="6" t="s">
        <v>5707</v>
      </c>
      <c r="E1215" s="6" t="s">
        <v>5708</v>
      </c>
      <c r="F1215" s="6" t="s">
        <v>5963</v>
      </c>
      <c r="G1215" s="6"/>
      <c r="H1215" s="6" t="s">
        <v>54</v>
      </c>
      <c r="I1215" s="6"/>
      <c r="J1215" s="6"/>
      <c r="K1215" s="6"/>
      <c r="L1215" s="6" t="s">
        <v>5709</v>
      </c>
      <c r="M1215" s="6"/>
      <c r="N1215" s="6" t="s">
        <v>5710</v>
      </c>
      <c r="O1215" s="6" t="str">
        <f>HYPERLINK("https://ceds.ed.gov/cedselementdetails.aspx?termid=6465")</f>
        <v>https://ceds.ed.gov/cedselementdetails.aspx?termid=6465</v>
      </c>
      <c r="P1215" s="6" t="str">
        <f>HYPERLINK("https://ceds.ed.gov/elementComment.aspx?elementName=Technical Assistance Approved Indicator &amp;elementID=6465", "Click here to submit comment")</f>
        <v>Click here to submit comment</v>
      </c>
    </row>
    <row r="1216" spans="1:16" ht="90">
      <c r="A1216" s="6" t="s">
        <v>6788</v>
      </c>
      <c r="B1216" s="6" t="s">
        <v>6821</v>
      </c>
      <c r="C1216" s="6" t="s">
        <v>6795</v>
      </c>
      <c r="D1216" s="6" t="s">
        <v>5711</v>
      </c>
      <c r="E1216" s="6" t="s">
        <v>5712</v>
      </c>
      <c r="F1216" s="7" t="s">
        <v>6616</v>
      </c>
      <c r="G1216" s="6"/>
      <c r="H1216" s="6" t="s">
        <v>54</v>
      </c>
      <c r="I1216" s="6"/>
      <c r="J1216" s="6"/>
      <c r="K1216" s="6"/>
      <c r="L1216" s="6" t="s">
        <v>5713</v>
      </c>
      <c r="M1216" s="6"/>
      <c r="N1216" s="6" t="s">
        <v>5714</v>
      </c>
      <c r="O1216" s="6" t="str">
        <f>HYPERLINK("https://ceds.ed.gov/cedselementdetails.aspx?termid=6466")</f>
        <v>https://ceds.ed.gov/cedselementdetails.aspx?termid=6466</v>
      </c>
      <c r="P1216" s="6" t="str">
        <f>HYPERLINK("https://ceds.ed.gov/elementComment.aspx?elementName=Technical Assistance Delivery Type &amp;elementID=6466", "Click here to submit comment")</f>
        <v>Click here to submit comment</v>
      </c>
    </row>
    <row r="1217" spans="1:16" ht="409.5">
      <c r="A1217" s="6" t="s">
        <v>6788</v>
      </c>
      <c r="B1217" s="6" t="s">
        <v>6821</v>
      </c>
      <c r="C1217" s="6" t="s">
        <v>6795</v>
      </c>
      <c r="D1217" s="6" t="s">
        <v>5715</v>
      </c>
      <c r="E1217" s="6" t="s">
        <v>5716</v>
      </c>
      <c r="F1217" s="7" t="s">
        <v>6673</v>
      </c>
      <c r="G1217" s="6"/>
      <c r="H1217" s="6" t="s">
        <v>54</v>
      </c>
      <c r="I1217" s="6"/>
      <c r="J1217" s="6"/>
      <c r="K1217" s="6"/>
      <c r="L1217" s="6" t="s">
        <v>5717</v>
      </c>
      <c r="M1217" s="6"/>
      <c r="N1217" s="6" t="s">
        <v>5718</v>
      </c>
      <c r="O1217" s="6" t="str">
        <f>HYPERLINK("https://ceds.ed.gov/cedselementdetails.aspx?termid=6467")</f>
        <v>https://ceds.ed.gov/cedselementdetails.aspx?termid=6467</v>
      </c>
      <c r="P1217" s="6" t="str">
        <f>HYPERLINK("https://ceds.ed.gov/elementComment.aspx?elementName=Technical Assistance Type &amp;elementID=6467", "Click here to submit comment")</f>
        <v>Click here to submit comment</v>
      </c>
    </row>
    <row r="1218" spans="1:16" ht="225">
      <c r="A1218" s="6" t="s">
        <v>6788</v>
      </c>
      <c r="B1218" s="6" t="s">
        <v>6823</v>
      </c>
      <c r="C1218" s="6"/>
      <c r="D1218" s="6" t="s">
        <v>2034</v>
      </c>
      <c r="E1218" s="6" t="s">
        <v>2035</v>
      </c>
      <c r="F1218" s="6" t="s">
        <v>13</v>
      </c>
      <c r="G1218" s="6" t="s">
        <v>6078</v>
      </c>
      <c r="H1218" s="6"/>
      <c r="I1218" s="6" t="s">
        <v>106</v>
      </c>
      <c r="J1218" s="6"/>
      <c r="K1218" s="6"/>
      <c r="L1218" s="6" t="s">
        <v>2036</v>
      </c>
      <c r="M1218" s="6"/>
      <c r="N1218" s="6" t="s">
        <v>2037</v>
      </c>
      <c r="O1218" s="6" t="str">
        <f>HYPERLINK("https://ceds.ed.gov/cedselementdetails.aspx?termid=5067")</f>
        <v>https://ceds.ed.gov/cedselementdetails.aspx?termid=5067</v>
      </c>
      <c r="P1218" s="6" t="str">
        <f>HYPERLINK("https://ceds.ed.gov/elementComment.aspx?elementName=Course Title &amp;elementID=5067", "Click here to submit comment")</f>
        <v>Click here to submit comment</v>
      </c>
    </row>
    <row r="1219" spans="1:16" ht="135">
      <c r="A1219" s="6" t="s">
        <v>6788</v>
      </c>
      <c r="B1219" s="6" t="s">
        <v>6823</v>
      </c>
      <c r="C1219" s="6"/>
      <c r="D1219" s="6" t="s">
        <v>1915</v>
      </c>
      <c r="E1219" s="6" t="s">
        <v>1916</v>
      </c>
      <c r="F1219" s="6" t="s">
        <v>13</v>
      </c>
      <c r="G1219" s="6" t="s">
        <v>6116</v>
      </c>
      <c r="H1219" s="6" t="s">
        <v>66</v>
      </c>
      <c r="I1219" s="6" t="s">
        <v>1917</v>
      </c>
      <c r="J1219" s="6" t="s">
        <v>1918</v>
      </c>
      <c r="K1219" s="6"/>
      <c r="L1219" s="6" t="s">
        <v>1919</v>
      </c>
      <c r="M1219" s="6"/>
      <c r="N1219" s="6" t="s">
        <v>1920</v>
      </c>
      <c r="O1219" s="6" t="str">
        <f>HYPERLINK("https://ceds.ed.gov/cedselementdetails.aspx?termid=5055")</f>
        <v>https://ceds.ed.gov/cedselementdetails.aspx?termid=5055</v>
      </c>
      <c r="P1219" s="6" t="str">
        <f>HYPERLINK("https://ceds.ed.gov/elementComment.aspx?elementName=Course Identifier &amp;elementID=5055", "Click here to submit comment")</f>
        <v>Click here to submit comment</v>
      </c>
    </row>
    <row r="1220" spans="1:16" ht="285">
      <c r="A1220" s="6" t="s">
        <v>6788</v>
      </c>
      <c r="B1220" s="6" t="s">
        <v>6823</v>
      </c>
      <c r="C1220" s="6"/>
      <c r="D1220" s="6" t="s">
        <v>1868</v>
      </c>
      <c r="E1220" s="6" t="s">
        <v>1869</v>
      </c>
      <c r="F1220" s="7" t="s">
        <v>6435</v>
      </c>
      <c r="G1220" s="6" t="s">
        <v>6078</v>
      </c>
      <c r="H1220" s="6"/>
      <c r="I1220" s="6"/>
      <c r="J1220" s="6"/>
      <c r="K1220" s="6"/>
      <c r="L1220" s="6" t="s">
        <v>1870</v>
      </c>
      <c r="M1220" s="6"/>
      <c r="N1220" s="6" t="s">
        <v>1871</v>
      </c>
      <c r="O1220" s="6" t="str">
        <f>HYPERLINK("https://ceds.ed.gov/cedselementdetails.aspx?termid=5056")</f>
        <v>https://ceds.ed.gov/cedselementdetails.aspx?termid=5056</v>
      </c>
      <c r="P1220" s="6" t="str">
        <f>HYPERLINK("https://ceds.ed.gov/elementComment.aspx?elementName=Course Code System &amp;elementID=5056", "Click here to submit comment")</f>
        <v>Click here to submit comment</v>
      </c>
    </row>
    <row r="1221" spans="1:16" ht="45">
      <c r="A1221" s="6" t="s">
        <v>6788</v>
      </c>
      <c r="B1221" s="6" t="s">
        <v>6823</v>
      </c>
      <c r="C1221" s="6"/>
      <c r="D1221" s="6" t="s">
        <v>1889</v>
      </c>
      <c r="E1221" s="6" t="s">
        <v>1890</v>
      </c>
      <c r="F1221" s="6" t="s">
        <v>13</v>
      </c>
      <c r="G1221" s="6"/>
      <c r="H1221" s="6" t="s">
        <v>66</v>
      </c>
      <c r="I1221" s="6" t="s">
        <v>106</v>
      </c>
      <c r="J1221" s="6" t="s">
        <v>1820</v>
      </c>
      <c r="K1221" s="6"/>
      <c r="L1221" s="6" t="s">
        <v>1891</v>
      </c>
      <c r="M1221" s="6"/>
      <c r="N1221" s="6" t="s">
        <v>1892</v>
      </c>
      <c r="O1221" s="6" t="str">
        <f>HYPERLINK("https://ceds.ed.gov/cedselementdetails.aspx?termid=5508")</f>
        <v>https://ceds.ed.gov/cedselementdetails.aspx?termid=5508</v>
      </c>
      <c r="P1221" s="6" t="str">
        <f>HYPERLINK("https://ceds.ed.gov/elementComment.aspx?elementName=Course Description &amp;elementID=5508", "Click here to submit comment")</f>
        <v>Click here to submit comment</v>
      </c>
    </row>
    <row r="1222" spans="1:16" ht="120">
      <c r="A1222" s="6" t="s">
        <v>6788</v>
      </c>
      <c r="B1222" s="6" t="s">
        <v>6823</v>
      </c>
      <c r="C1222" s="6"/>
      <c r="D1222" s="6" t="s">
        <v>5214</v>
      </c>
      <c r="E1222" s="6" t="s">
        <v>5215</v>
      </c>
      <c r="F1222" s="6" t="s">
        <v>13</v>
      </c>
      <c r="G1222" s="6" t="s">
        <v>6078</v>
      </c>
      <c r="H1222" s="6" t="s">
        <v>66</v>
      </c>
      <c r="I1222" s="6" t="s">
        <v>2031</v>
      </c>
      <c r="J1222" s="6" t="s">
        <v>5216</v>
      </c>
      <c r="K1222" s="6" t="s">
        <v>5217</v>
      </c>
      <c r="L1222" s="6" t="s">
        <v>5218</v>
      </c>
      <c r="M1222" s="6" t="s">
        <v>5219</v>
      </c>
      <c r="N1222" s="6" t="s">
        <v>5220</v>
      </c>
      <c r="O1222" s="6" t="str">
        <f>HYPERLINK("https://ceds.ed.gov/cedselementdetails.aspx?termid=5250")</f>
        <v>https://ceds.ed.gov/cedselementdetails.aspx?termid=5250</v>
      </c>
      <c r="P1222" s="6" t="str">
        <f>HYPERLINK("https://ceds.ed.gov/elementComment.aspx?elementName=School Codes for the Exchange of Data Sequence of Course &amp;elementID=5250", "Click here to submit comment")</f>
        <v>Click here to submit comment</v>
      </c>
    </row>
    <row r="1223" spans="1:16" ht="195">
      <c r="A1223" s="6" t="s">
        <v>6788</v>
      </c>
      <c r="B1223" s="6" t="s">
        <v>6823</v>
      </c>
      <c r="C1223" s="6"/>
      <c r="D1223" s="6" t="s">
        <v>1880</v>
      </c>
      <c r="E1223" s="6" t="s">
        <v>1881</v>
      </c>
      <c r="F1223" s="7" t="s">
        <v>6438</v>
      </c>
      <c r="G1223" s="6" t="s">
        <v>24</v>
      </c>
      <c r="H1223" s="6"/>
      <c r="I1223" s="6"/>
      <c r="J1223" s="6"/>
      <c r="K1223" s="6"/>
      <c r="L1223" s="6" t="s">
        <v>1882</v>
      </c>
      <c r="M1223" s="6"/>
      <c r="N1223" s="6" t="s">
        <v>1883</v>
      </c>
      <c r="O1223" s="6" t="str">
        <f>HYPERLINK("https://ceds.ed.gov/cedselementdetails.aspx?termid=5057")</f>
        <v>https://ceds.ed.gov/cedselementdetails.aspx?termid=5057</v>
      </c>
      <c r="P1223" s="6" t="str">
        <f>HYPERLINK("https://ceds.ed.gov/elementComment.aspx?elementName=Course Credit Units &amp;elementID=5057", "Click here to submit comment")</f>
        <v>Click here to submit comment</v>
      </c>
    </row>
    <row r="1224" spans="1:16" ht="105">
      <c r="A1224" s="6" t="s">
        <v>6788</v>
      </c>
      <c r="B1224" s="6" t="s">
        <v>6823</v>
      </c>
      <c r="C1224" s="6"/>
      <c r="D1224" s="6" t="s">
        <v>1884</v>
      </c>
      <c r="E1224" s="6" t="s">
        <v>1885</v>
      </c>
      <c r="F1224" s="6" t="s">
        <v>13</v>
      </c>
      <c r="G1224" s="6" t="s">
        <v>24</v>
      </c>
      <c r="H1224" s="6"/>
      <c r="I1224" s="6" t="s">
        <v>1461</v>
      </c>
      <c r="J1224" s="6"/>
      <c r="K1224" s="6" t="s">
        <v>1886</v>
      </c>
      <c r="L1224" s="6" t="s">
        <v>1887</v>
      </c>
      <c r="M1224" s="6"/>
      <c r="N1224" s="6" t="s">
        <v>1888</v>
      </c>
      <c r="O1224" s="6" t="str">
        <f>HYPERLINK("https://ceds.ed.gov/cedselementdetails.aspx?termid=5058")</f>
        <v>https://ceds.ed.gov/cedselementdetails.aspx?termid=5058</v>
      </c>
      <c r="P1224" s="6" t="str">
        <f>HYPERLINK("https://ceds.ed.gov/elementComment.aspx?elementName=Course Credit Value &amp;elementID=5058", "Click here to submit comment")</f>
        <v>Click here to submit comment</v>
      </c>
    </row>
    <row r="1225" spans="1:16" ht="330">
      <c r="A1225" s="6" t="s">
        <v>6788</v>
      </c>
      <c r="B1225" s="6" t="s">
        <v>6823</v>
      </c>
      <c r="C1225" s="6"/>
      <c r="D1225" s="6" t="s">
        <v>165</v>
      </c>
      <c r="E1225" s="6" t="s">
        <v>166</v>
      </c>
      <c r="F1225" s="7" t="s">
        <v>6352</v>
      </c>
      <c r="G1225" s="6"/>
      <c r="H1225" s="6" t="s">
        <v>66</v>
      </c>
      <c r="I1225" s="6"/>
      <c r="J1225" s="6" t="s">
        <v>167</v>
      </c>
      <c r="K1225" s="6"/>
      <c r="L1225" s="6" t="s">
        <v>168</v>
      </c>
      <c r="M1225" s="6"/>
      <c r="N1225" s="6" t="s">
        <v>169</v>
      </c>
      <c r="O1225" s="6" t="str">
        <f>HYPERLINK("https://ceds.ed.gov/cedselementdetails.aspx?termid=5589")</f>
        <v>https://ceds.ed.gov/cedselementdetails.aspx?termid=5589</v>
      </c>
      <c r="P1225" s="6" t="str">
        <f>HYPERLINK("https://ceds.ed.gov/elementComment.aspx?elementName=Additional Credit Type &amp;elementID=5589", "Click here to submit comment")</f>
        <v>Click here to submit comment</v>
      </c>
    </row>
    <row r="1226" spans="1:16" ht="150">
      <c r="A1226" s="6" t="s">
        <v>6788</v>
      </c>
      <c r="B1226" s="6" t="s">
        <v>6823</v>
      </c>
      <c r="C1226" s="6"/>
      <c r="D1226" s="6" t="s">
        <v>1459</v>
      </c>
      <c r="E1226" s="6" t="s">
        <v>1460</v>
      </c>
      <c r="F1226" s="6" t="s">
        <v>13</v>
      </c>
      <c r="G1226" s="6" t="s">
        <v>6078</v>
      </c>
      <c r="H1226" s="6"/>
      <c r="I1226" s="6" t="s">
        <v>1461</v>
      </c>
      <c r="J1226" s="6"/>
      <c r="K1226" s="6"/>
      <c r="L1226" s="6" t="s">
        <v>1462</v>
      </c>
      <c r="M1226" s="6"/>
      <c r="N1226" s="6" t="s">
        <v>1463</v>
      </c>
      <c r="O1226" s="6" t="str">
        <f>HYPERLINK("https://ceds.ed.gov/cedselementdetails.aspx?termid=5030")</f>
        <v>https://ceds.ed.gov/cedselementdetails.aspx?termid=5030</v>
      </c>
      <c r="P1226" s="6" t="str">
        <f>HYPERLINK("https://ceds.ed.gov/elementComment.aspx?elementName=Available Carnegie Unit Credit &amp;elementID=5030", "Click here to submit comment")</f>
        <v>Click here to submit comment</v>
      </c>
    </row>
    <row r="1227" spans="1:16" ht="120">
      <c r="A1227" s="6" t="s">
        <v>6788</v>
      </c>
      <c r="B1227" s="6" t="s">
        <v>6823</v>
      </c>
      <c r="C1227" s="6"/>
      <c r="D1227" s="6" t="s">
        <v>1906</v>
      </c>
      <c r="E1227" s="6" t="s">
        <v>1907</v>
      </c>
      <c r="F1227" s="7" t="s">
        <v>6439</v>
      </c>
      <c r="G1227" s="6" t="s">
        <v>6078</v>
      </c>
      <c r="H1227" s="6" t="s">
        <v>66</v>
      </c>
      <c r="I1227" s="6"/>
      <c r="J1227" s="6" t="s">
        <v>1820</v>
      </c>
      <c r="K1227" s="6"/>
      <c r="L1227" s="6" t="s">
        <v>1908</v>
      </c>
      <c r="M1227" s="6" t="s">
        <v>1909</v>
      </c>
      <c r="N1227" s="6" t="s">
        <v>1910</v>
      </c>
      <c r="O1227" s="6" t="str">
        <f>HYPERLINK("https://ceds.ed.gov/cedselementdetails.aspx?termid=5060")</f>
        <v>https://ceds.ed.gov/cedselementdetails.aspx?termid=5060</v>
      </c>
      <c r="P1227" s="6" t="str">
        <f>HYPERLINK("https://ceds.ed.gov/elementComment.aspx?elementName=Course Grade Point Average Applicability &amp;elementID=5060", "Click here to submit comment")</f>
        <v>Click here to submit comment</v>
      </c>
    </row>
    <row r="1228" spans="1:16" ht="409.5">
      <c r="A1228" s="6" t="s">
        <v>6788</v>
      </c>
      <c r="B1228" s="6" t="s">
        <v>6823</v>
      </c>
      <c r="C1228" s="6"/>
      <c r="D1228" s="6" t="s">
        <v>1938</v>
      </c>
      <c r="E1228" s="6" t="s">
        <v>1939</v>
      </c>
      <c r="F1228" s="7" t="s">
        <v>6443</v>
      </c>
      <c r="G1228" s="6" t="s">
        <v>6116</v>
      </c>
      <c r="H1228" s="6"/>
      <c r="I1228" s="6"/>
      <c r="J1228" s="6"/>
      <c r="K1228" s="6"/>
      <c r="L1228" s="6" t="s">
        <v>1940</v>
      </c>
      <c r="M1228" s="6"/>
      <c r="N1228" s="6" t="s">
        <v>1941</v>
      </c>
      <c r="O1228" s="6" t="str">
        <f>HYPERLINK("https://ceds.ed.gov/cedselementdetails.aspx?termid=5061")</f>
        <v>https://ceds.ed.gov/cedselementdetails.aspx?termid=5061</v>
      </c>
      <c r="P1228" s="6" t="str">
        <f>HYPERLINK("https://ceds.ed.gov/elementComment.aspx?elementName=Course Level Characteristic &amp;elementID=5061", "Click here to submit comment")</f>
        <v>Click here to submit comment</v>
      </c>
    </row>
    <row r="1229" spans="1:16" ht="120">
      <c r="A1229" s="6" t="s">
        <v>6788</v>
      </c>
      <c r="B1229" s="6" t="s">
        <v>6823</v>
      </c>
      <c r="C1229" s="6"/>
      <c r="D1229" s="6" t="s">
        <v>2941</v>
      </c>
      <c r="E1229" s="6" t="s">
        <v>2942</v>
      </c>
      <c r="F1229" s="6" t="s">
        <v>5963</v>
      </c>
      <c r="G1229" s="6" t="s">
        <v>6078</v>
      </c>
      <c r="H1229" s="6"/>
      <c r="I1229" s="6"/>
      <c r="J1229" s="6"/>
      <c r="K1229" s="6"/>
      <c r="L1229" s="6" t="s">
        <v>2943</v>
      </c>
      <c r="M1229" s="6"/>
      <c r="N1229" s="6" t="s">
        <v>2944</v>
      </c>
      <c r="O1229" s="6" t="str">
        <f>HYPERLINK("https://ceds.ed.gov/cedselementdetails.aspx?termid=5137")</f>
        <v>https://ceds.ed.gov/cedselementdetails.aspx?termid=5137</v>
      </c>
      <c r="P1229" s="6" t="str">
        <f>HYPERLINK("https://ceds.ed.gov/elementComment.aspx?elementName=High School Course Requirement &amp;elementID=5137", "Click here to submit comment")</f>
        <v>Click here to submit comment</v>
      </c>
    </row>
    <row r="1230" spans="1:16" ht="45">
      <c r="A1230" s="6" t="s">
        <v>6788</v>
      </c>
      <c r="B1230" s="6" t="s">
        <v>6823</v>
      </c>
      <c r="C1230" s="6"/>
      <c r="D1230" s="6" t="s">
        <v>3302</v>
      </c>
      <c r="E1230" s="6" t="s">
        <v>3303</v>
      </c>
      <c r="F1230" s="5" t="s">
        <v>939</v>
      </c>
      <c r="G1230" s="6" t="s">
        <v>207</v>
      </c>
      <c r="H1230" s="6"/>
      <c r="I1230" s="6"/>
      <c r="J1230" s="6"/>
      <c r="K1230" s="6"/>
      <c r="L1230" s="6" t="s">
        <v>3304</v>
      </c>
      <c r="M1230" s="6"/>
      <c r="N1230" s="6" t="s">
        <v>3305</v>
      </c>
      <c r="O1230" s="6" t="str">
        <f>HYPERLINK("https://ceds.ed.gov/cedselementdetails.aspx?termid=5438")</f>
        <v>https://ceds.ed.gov/cedselementdetails.aspx?termid=5438</v>
      </c>
      <c r="P1230" s="6" t="str">
        <f>HYPERLINK("https://ceds.ed.gov/elementComment.aspx?elementName=Instruction Language &amp;elementID=5438", "Click here to submit comment")</f>
        <v>Click here to submit comment</v>
      </c>
    </row>
    <row r="1231" spans="1:16" ht="45">
      <c r="A1231" s="6" t="s">
        <v>6788</v>
      </c>
      <c r="B1231" s="6" t="s">
        <v>6823</v>
      </c>
      <c r="C1231" s="6"/>
      <c r="D1231" s="6" t="s">
        <v>1792</v>
      </c>
      <c r="E1231" s="6" t="s">
        <v>1793</v>
      </c>
      <c r="F1231" s="6" t="s">
        <v>5963</v>
      </c>
      <c r="G1231" s="6"/>
      <c r="H1231" s="6"/>
      <c r="I1231" s="6"/>
      <c r="J1231" s="6"/>
      <c r="K1231" s="6"/>
      <c r="L1231" s="6" t="s">
        <v>1794</v>
      </c>
      <c r="M1231" s="6"/>
      <c r="N1231" s="6" t="s">
        <v>1795</v>
      </c>
      <c r="O1231" s="6" t="str">
        <f>HYPERLINK("https://ceds.ed.gov/cedselementdetails.aspx?termid=5509")</f>
        <v>https://ceds.ed.gov/cedselementdetails.aspx?termid=5509</v>
      </c>
      <c r="P1231" s="6" t="str">
        <f>HYPERLINK("https://ceds.ed.gov/elementComment.aspx?elementName=Core Academic Course &amp;elementID=5509", "Click here to submit comment")</f>
        <v>Click here to submit comment</v>
      </c>
    </row>
    <row r="1232" spans="1:16" ht="225">
      <c r="A1232" s="6" t="s">
        <v>6788</v>
      </c>
      <c r="B1232" s="6" t="s">
        <v>6823</v>
      </c>
      <c r="C1232" s="6"/>
      <c r="D1232" s="6" t="s">
        <v>2092</v>
      </c>
      <c r="E1232" s="6" t="s">
        <v>2093</v>
      </c>
      <c r="F1232" s="7" t="s">
        <v>6452</v>
      </c>
      <c r="G1232" s="6"/>
      <c r="H1232" s="6"/>
      <c r="I1232" s="6"/>
      <c r="J1232" s="6"/>
      <c r="K1232" s="6"/>
      <c r="L1232" s="6" t="s">
        <v>2094</v>
      </c>
      <c r="M1232" s="6"/>
      <c r="N1232" s="6" t="s">
        <v>2095</v>
      </c>
      <c r="O1232" s="6" t="str">
        <f>HYPERLINK("https://ceds.ed.gov/cedselementdetails.aspx?termid=5688")</f>
        <v>https://ceds.ed.gov/cedselementdetails.aspx?termid=5688</v>
      </c>
      <c r="P1232" s="6" t="str">
        <f>HYPERLINK("https://ceds.ed.gov/elementComment.aspx?elementName=Curriculum Framework Type &amp;elementID=5688", "Click here to submit comment")</f>
        <v>Click here to submit comment</v>
      </c>
    </row>
    <row r="1233" spans="1:16" ht="45">
      <c r="A1233" s="6" t="s">
        <v>6788</v>
      </c>
      <c r="B1233" s="6" t="s">
        <v>6823</v>
      </c>
      <c r="C1233" s="6"/>
      <c r="D1233" s="6" t="s">
        <v>1845</v>
      </c>
      <c r="E1233" s="6" t="s">
        <v>1846</v>
      </c>
      <c r="F1233" s="6" t="s">
        <v>5963</v>
      </c>
      <c r="G1233" s="6"/>
      <c r="H1233" s="6" t="s">
        <v>66</v>
      </c>
      <c r="I1233" s="6"/>
      <c r="J1233" s="6" t="s">
        <v>1847</v>
      </c>
      <c r="K1233" s="6"/>
      <c r="L1233" s="6" t="s">
        <v>1848</v>
      </c>
      <c r="M1233" s="6"/>
      <c r="N1233" s="6" t="s">
        <v>1849</v>
      </c>
      <c r="O1233" s="6" t="str">
        <f>HYPERLINK("https://ceds.ed.gov/cedselementdetails.aspx?termid=5013")</f>
        <v>https://ceds.ed.gov/cedselementdetails.aspx?termid=5013</v>
      </c>
      <c r="P1233" s="6" t="str">
        <f>HYPERLINK("https://ceds.ed.gov/elementComment.aspx?elementName=Course Aligned with Standards &amp;elementID=5013", "Click here to submit comment")</f>
        <v>Click here to submit comment</v>
      </c>
    </row>
    <row r="1234" spans="1:16" ht="75">
      <c r="A1234" s="6" t="s">
        <v>6788</v>
      </c>
      <c r="B1234" s="6" t="s">
        <v>6823</v>
      </c>
      <c r="C1234" s="6"/>
      <c r="D1234" s="6" t="s">
        <v>0</v>
      </c>
      <c r="E1234" s="6" t="s">
        <v>1</v>
      </c>
      <c r="F1234" s="6" t="s">
        <v>5963</v>
      </c>
      <c r="G1234" s="6" t="s">
        <v>2</v>
      </c>
      <c r="H1234" s="6" t="s">
        <v>3</v>
      </c>
      <c r="I1234" s="6"/>
      <c r="J1234" s="6"/>
      <c r="K1234" s="6"/>
      <c r="L1234" s="6" t="s">
        <v>4</v>
      </c>
      <c r="M1234" s="6"/>
      <c r="N1234" s="6" t="s">
        <v>5</v>
      </c>
      <c r="O1234" s="6" t="str">
        <f>HYPERLINK("https://ceds.ed.gov/cedselementdetails.aspx?termid=5000")</f>
        <v>https://ceds.ed.gov/cedselementdetails.aspx?termid=5000</v>
      </c>
      <c r="P1234" s="6" t="str">
        <f>HYPERLINK("https://ceds.ed.gov/elementComment.aspx?elementName=Ability Grouping Status &amp;elementID=5000", "Click here to submit comment")</f>
        <v>Click here to submit comment</v>
      </c>
    </row>
    <row r="1235" spans="1:16" ht="409.5">
      <c r="A1235" s="6" t="s">
        <v>6788</v>
      </c>
      <c r="B1235" s="6" t="s">
        <v>6823</v>
      </c>
      <c r="C1235" s="6"/>
      <c r="D1235" s="6" t="s">
        <v>296</v>
      </c>
      <c r="E1235" s="6" t="s">
        <v>297</v>
      </c>
      <c r="F1235" s="7" t="s">
        <v>6369</v>
      </c>
      <c r="G1235" s="6"/>
      <c r="H1235" s="6" t="s">
        <v>54</v>
      </c>
      <c r="I1235" s="6" t="s">
        <v>106</v>
      </c>
      <c r="J1235" s="6"/>
      <c r="K1235" s="6"/>
      <c r="L1235" s="6" t="s">
        <v>298</v>
      </c>
      <c r="M1235" s="6" t="s">
        <v>299</v>
      </c>
      <c r="N1235" s="6" t="s">
        <v>300</v>
      </c>
      <c r="O1235" s="6" t="str">
        <f>HYPERLINK("https://ceds.ed.gov/cedselementdetails.aspx?termid=6244")</f>
        <v>https://ceds.ed.gov/cedselementdetails.aspx?termid=6244</v>
      </c>
      <c r="P1235" s="6" t="str">
        <f>HYPERLINK("https://ceds.ed.gov/elementComment.aspx?elementName=Advanced Placement Course Code &amp;elementID=6244", "Click here to submit comment")</f>
        <v>Click here to submit comment</v>
      </c>
    </row>
    <row r="1236" spans="1:16" ht="165">
      <c r="A1236" s="6" t="s">
        <v>6788</v>
      </c>
      <c r="B1236" s="6" t="s">
        <v>6823</v>
      </c>
      <c r="C1236" s="6"/>
      <c r="D1236" s="6" t="s">
        <v>1487</v>
      </c>
      <c r="E1236" s="6" t="s">
        <v>1488</v>
      </c>
      <c r="F1236" s="7" t="s">
        <v>6410</v>
      </c>
      <c r="G1236" s="6"/>
      <c r="H1236" s="6" t="s">
        <v>54</v>
      </c>
      <c r="I1236" s="6"/>
      <c r="J1236" s="6"/>
      <c r="K1236" s="6" t="s">
        <v>1489</v>
      </c>
      <c r="L1236" s="6" t="s">
        <v>1490</v>
      </c>
      <c r="M1236" s="6"/>
      <c r="N1236" s="6" t="s">
        <v>1491</v>
      </c>
      <c r="O1236" s="6" t="str">
        <f>HYPERLINK("https://ceds.ed.gov/cedselementdetails.aspx?termid=6253")</f>
        <v>https://ceds.ed.gov/cedselementdetails.aspx?termid=6253</v>
      </c>
      <c r="P1236" s="6" t="str">
        <f>HYPERLINK("https://ceds.ed.gov/elementComment.aspx?elementName=Blended Learning Model Type &amp;elementID=6253", "Click here to submit comment")</f>
        <v>Click here to submit comment</v>
      </c>
    </row>
    <row r="1237" spans="1:16" ht="409.5">
      <c r="A1237" s="6" t="s">
        <v>6788</v>
      </c>
      <c r="B1237" s="6" t="s">
        <v>6823</v>
      </c>
      <c r="C1237" s="6"/>
      <c r="D1237" s="6" t="s">
        <v>1577</v>
      </c>
      <c r="E1237" s="6" t="s">
        <v>1578</v>
      </c>
      <c r="F1237" s="7" t="s">
        <v>6415</v>
      </c>
      <c r="G1237" s="6"/>
      <c r="H1237" s="6" t="s">
        <v>54</v>
      </c>
      <c r="I1237" s="6"/>
      <c r="J1237" s="6"/>
      <c r="K1237" s="6" t="s">
        <v>1579</v>
      </c>
      <c r="L1237" s="6" t="s">
        <v>1580</v>
      </c>
      <c r="M1237" s="6"/>
      <c r="N1237" s="6" t="s">
        <v>1581</v>
      </c>
      <c r="O1237" s="6" t="str">
        <f>HYPERLINK("https://ceds.ed.gov/cedselementdetails.aspx?termid=6254")</f>
        <v>https://ceds.ed.gov/cedselementdetails.aspx?termid=6254</v>
      </c>
      <c r="P1237" s="6" t="str">
        <f>HYPERLINK("https://ceds.ed.gov/elementComment.aspx?elementName=Career Cluster &amp;elementID=6254", "Click here to submit comment")</f>
        <v>Click here to submit comment</v>
      </c>
    </row>
    <row r="1238" spans="1:16" ht="409.5">
      <c r="A1238" s="6" t="s">
        <v>6788</v>
      </c>
      <c r="B1238" s="6" t="s">
        <v>6823</v>
      </c>
      <c r="C1238" s="6"/>
      <c r="D1238" s="6" t="s">
        <v>1850</v>
      </c>
      <c r="E1238" s="6" t="s">
        <v>1851</v>
      </c>
      <c r="F1238" s="13" t="s">
        <v>6921</v>
      </c>
      <c r="G1238" s="6"/>
      <c r="H1238" s="6" t="s">
        <v>54</v>
      </c>
      <c r="I1238" s="6"/>
      <c r="J1238" s="6"/>
      <c r="K1238" s="6" t="s">
        <v>1852</v>
      </c>
      <c r="L1238" s="6" t="s">
        <v>1853</v>
      </c>
      <c r="M1238" s="6"/>
      <c r="N1238" s="6" t="s">
        <v>1854</v>
      </c>
      <c r="O1238" s="6" t="str">
        <f>HYPERLINK("https://ceds.ed.gov/cedselementdetails.aspx?termid=6267")</f>
        <v>https://ceds.ed.gov/cedselementdetails.aspx?termid=6267</v>
      </c>
      <c r="P1238" s="6" t="str">
        <f>HYPERLINK("https://ceds.ed.gov/elementComment.aspx?elementName=Course Applicable Education Level &amp;elementID=6267", "Click here to submit comment")</f>
        <v>Click here to submit comment</v>
      </c>
    </row>
    <row r="1239" spans="1:16" ht="45">
      <c r="A1239" s="6" t="s">
        <v>6788</v>
      </c>
      <c r="B1239" s="6" t="s">
        <v>6823</v>
      </c>
      <c r="C1239" s="6"/>
      <c r="D1239" s="6" t="s">
        <v>1859</v>
      </c>
      <c r="E1239" s="6" t="s">
        <v>1860</v>
      </c>
      <c r="F1239" s="6" t="s">
        <v>13</v>
      </c>
      <c r="G1239" s="6"/>
      <c r="H1239" s="6" t="s">
        <v>54</v>
      </c>
      <c r="I1239" s="6" t="s">
        <v>93</v>
      </c>
      <c r="J1239" s="6"/>
      <c r="K1239" s="6"/>
      <c r="L1239" s="6" t="s">
        <v>1861</v>
      </c>
      <c r="M1239" s="6"/>
      <c r="N1239" s="6" t="s">
        <v>1862</v>
      </c>
      <c r="O1239" s="6" t="str">
        <f>HYPERLINK("https://ceds.ed.gov/cedselementdetails.aspx?termid=6268")</f>
        <v>https://ceds.ed.gov/cedselementdetails.aspx?termid=6268</v>
      </c>
      <c r="P1239" s="6" t="str">
        <f>HYPERLINK("https://ceds.ed.gov/elementComment.aspx?elementName=Course Certification Description &amp;elementID=6268", "Click here to submit comment")</f>
        <v>Click here to submit comment</v>
      </c>
    </row>
    <row r="1240" spans="1:16" ht="90">
      <c r="A1240" s="6" t="s">
        <v>6788</v>
      </c>
      <c r="B1240" s="6" t="s">
        <v>6823</v>
      </c>
      <c r="C1240" s="6"/>
      <c r="D1240" s="6" t="s">
        <v>1901</v>
      </c>
      <c r="E1240" s="6" t="s">
        <v>1902</v>
      </c>
      <c r="F1240" s="6" t="s">
        <v>13</v>
      </c>
      <c r="G1240" s="6"/>
      <c r="H1240" s="6" t="s">
        <v>54</v>
      </c>
      <c r="I1240" s="6" t="s">
        <v>100</v>
      </c>
      <c r="J1240" s="6"/>
      <c r="K1240" s="6" t="s">
        <v>1903</v>
      </c>
      <c r="L1240" s="6" t="s">
        <v>1904</v>
      </c>
      <c r="M1240" s="6"/>
      <c r="N1240" s="6" t="s">
        <v>1905</v>
      </c>
      <c r="O1240" s="6" t="str">
        <f>HYPERLINK("https://ceds.ed.gov/cedselementdetails.aspx?termid=6272")</f>
        <v>https://ceds.ed.gov/cedselementdetails.aspx?termid=6272</v>
      </c>
      <c r="P1240" s="6" t="str">
        <f>HYPERLINK("https://ceds.ed.gov/elementComment.aspx?elementName=Course Funding Program &amp;elementID=6272", "Click here to submit comment")</f>
        <v>Click here to submit comment</v>
      </c>
    </row>
    <row r="1241" spans="1:16" ht="75">
      <c r="A1241" s="6" t="s">
        <v>6788</v>
      </c>
      <c r="B1241" s="6" t="s">
        <v>6823</v>
      </c>
      <c r="C1241" s="6"/>
      <c r="D1241" s="6" t="s">
        <v>1933</v>
      </c>
      <c r="E1241" s="6" t="s">
        <v>1934</v>
      </c>
      <c r="F1241" s="7" t="s">
        <v>6442</v>
      </c>
      <c r="G1241" s="6"/>
      <c r="H1241" s="6" t="s">
        <v>54</v>
      </c>
      <c r="I1241" s="6"/>
      <c r="J1241" s="6"/>
      <c r="K1241" s="6" t="s">
        <v>1935</v>
      </c>
      <c r="L1241" s="6" t="s">
        <v>1936</v>
      </c>
      <c r="M1241" s="6"/>
      <c r="N1241" s="6" t="s">
        <v>1937</v>
      </c>
      <c r="O1241" s="6" t="str">
        <f>HYPERLINK("https://ceds.ed.gov/cedselementdetails.aspx?termid=6277")</f>
        <v>https://ceds.ed.gov/cedselementdetails.aspx?termid=6277</v>
      </c>
      <c r="P1241" s="6" t="str">
        <f>HYPERLINK("https://ceds.ed.gov/elementComment.aspx?elementName=Course Interaction Mode &amp;elementID=6277", "Click here to submit comment")</f>
        <v>Click here to submit comment</v>
      </c>
    </row>
    <row r="1242" spans="1:16" ht="60">
      <c r="A1242" s="6" t="s">
        <v>6788</v>
      </c>
      <c r="B1242" s="6" t="s">
        <v>6823</v>
      </c>
      <c r="C1242" s="6"/>
      <c r="D1242" s="6" t="s">
        <v>2633</v>
      </c>
      <c r="E1242" s="6" t="s">
        <v>2634</v>
      </c>
      <c r="F1242" s="6" t="s">
        <v>5963</v>
      </c>
      <c r="G1242" s="6"/>
      <c r="H1242" s="6" t="s">
        <v>54</v>
      </c>
      <c r="I1242" s="6"/>
      <c r="J1242" s="6"/>
      <c r="K1242" s="6"/>
      <c r="L1242" s="6" t="s">
        <v>2635</v>
      </c>
      <c r="M1242" s="6"/>
      <c r="N1242" s="6" t="s">
        <v>2636</v>
      </c>
      <c r="O1242" s="6" t="str">
        <f>HYPERLINK("https://ceds.ed.gov/cedselementdetails.aspx?termid=6311")</f>
        <v>https://ceds.ed.gov/cedselementdetails.aspx?termid=6311</v>
      </c>
      <c r="P1242" s="6" t="str">
        <f>HYPERLINK("https://ceds.ed.gov/elementComment.aspx?elementName=Family and Consumer Sciences Course Indicator &amp;elementID=6311", "Click here to submit comment")</f>
        <v>Click here to submit comment</v>
      </c>
    </row>
    <row r="1243" spans="1:16" ht="90">
      <c r="A1243" s="6" t="s">
        <v>6788</v>
      </c>
      <c r="B1243" s="6" t="s">
        <v>6823</v>
      </c>
      <c r="C1243" s="6"/>
      <c r="D1243" s="6" t="s">
        <v>3392</v>
      </c>
      <c r="E1243" s="6" t="s">
        <v>3393</v>
      </c>
      <c r="F1243" s="7" t="s">
        <v>6560</v>
      </c>
      <c r="G1243" s="6"/>
      <c r="H1243" s="6" t="s">
        <v>54</v>
      </c>
      <c r="I1243" s="6"/>
      <c r="J1243" s="6"/>
      <c r="K1243" s="6"/>
      <c r="L1243" s="6" t="s">
        <v>3395</v>
      </c>
      <c r="M1243" s="6"/>
      <c r="N1243" s="6" t="s">
        <v>3396</v>
      </c>
      <c r="O1243" s="6" t="str">
        <f>HYPERLINK("https://ceds.ed.gov/cedselementdetails.aspx?termid=6355")</f>
        <v>https://ceds.ed.gov/cedselementdetails.aspx?termid=6355</v>
      </c>
      <c r="P1243" s="6" t="str">
        <f>HYPERLINK("https://ceds.ed.gov/elementComment.aspx?elementName=K12 End of Course Requirement &amp;elementID=6355", "Click here to submit comment")</f>
        <v>Click here to submit comment</v>
      </c>
    </row>
    <row r="1244" spans="1:16" ht="60">
      <c r="A1244" s="6" t="s">
        <v>6788</v>
      </c>
      <c r="B1244" s="6" t="s">
        <v>6823</v>
      </c>
      <c r="C1244" s="6"/>
      <c r="D1244" s="6" t="s">
        <v>4197</v>
      </c>
      <c r="E1244" s="6" t="s">
        <v>4198</v>
      </c>
      <c r="F1244" s="6" t="s">
        <v>5963</v>
      </c>
      <c r="G1244" s="6"/>
      <c r="H1244" s="6" t="s">
        <v>54</v>
      </c>
      <c r="I1244" s="6"/>
      <c r="J1244" s="6"/>
      <c r="K1244" s="6"/>
      <c r="L1244" s="6" t="s">
        <v>4199</v>
      </c>
      <c r="M1244" s="6" t="s">
        <v>4200</v>
      </c>
      <c r="N1244" s="6" t="s">
        <v>4201</v>
      </c>
      <c r="O1244" s="6" t="str">
        <f>HYPERLINK("https://ceds.ed.gov/cedselementdetails.aspx?termid=6382")</f>
        <v>https://ceds.ed.gov/cedselementdetails.aspx?termid=6382</v>
      </c>
      <c r="P1244" s="6" t="str">
        <f>HYPERLINK("https://ceds.ed.gov/elementComment.aspx?elementName=National Collegiate Athletic Association Eligibility &amp;elementID=6382", "Click here to submit comment")</f>
        <v>Click here to submit comment</v>
      </c>
    </row>
    <row r="1245" spans="1:16" ht="120">
      <c r="A1245" s="6" t="s">
        <v>6788</v>
      </c>
      <c r="B1245" s="6" t="s">
        <v>6823</v>
      </c>
      <c r="C1245" s="6"/>
      <c r="D1245" s="6" t="s">
        <v>5186</v>
      </c>
      <c r="E1245" s="6" t="s">
        <v>5187</v>
      </c>
      <c r="F1245" s="5" t="s">
        <v>5188</v>
      </c>
      <c r="G1245" s="6"/>
      <c r="H1245" s="6" t="s">
        <v>54</v>
      </c>
      <c r="I1245" s="6" t="s">
        <v>5189</v>
      </c>
      <c r="J1245" s="6"/>
      <c r="K1245" s="6" t="s">
        <v>5190</v>
      </c>
      <c r="L1245" s="6" t="s">
        <v>5191</v>
      </c>
      <c r="M1245" s="6" t="s">
        <v>5192</v>
      </c>
      <c r="N1245" s="6" t="s">
        <v>5193</v>
      </c>
      <c r="O1245" s="6" t="str">
        <f>HYPERLINK("https://ceds.ed.gov/cedselementdetails.aspx?termid=6490")</f>
        <v>https://ceds.ed.gov/cedselementdetails.aspx?termid=6490</v>
      </c>
      <c r="P1245" s="6" t="str">
        <f>HYPERLINK("https://ceds.ed.gov/elementComment.aspx?elementName=School Codes for the Exchange of Data Course Code &amp;elementID=6490", "Click here to submit comment")</f>
        <v>Click here to submit comment</v>
      </c>
    </row>
    <row r="1246" spans="1:16" ht="120">
      <c r="A1246" s="6" t="s">
        <v>6788</v>
      </c>
      <c r="B1246" s="6" t="s">
        <v>6823</v>
      </c>
      <c r="C1246" s="6"/>
      <c r="D1246" s="6" t="s">
        <v>5194</v>
      </c>
      <c r="E1246" s="6" t="s">
        <v>5195</v>
      </c>
      <c r="F1246" s="7" t="s">
        <v>6643</v>
      </c>
      <c r="G1246" s="6"/>
      <c r="H1246" s="6" t="s">
        <v>54</v>
      </c>
      <c r="I1246" s="6" t="s">
        <v>5196</v>
      </c>
      <c r="J1246" s="6"/>
      <c r="K1246" s="6"/>
      <c r="L1246" s="6" t="s">
        <v>5197</v>
      </c>
      <c r="M1246" s="6" t="s">
        <v>5198</v>
      </c>
      <c r="N1246" s="6" t="s">
        <v>5199</v>
      </c>
      <c r="O1246" s="6" t="str">
        <f>HYPERLINK("https://ceds.ed.gov/cedselementdetails.aspx?termid=6488")</f>
        <v>https://ceds.ed.gov/cedselementdetails.aspx?termid=6488</v>
      </c>
      <c r="P1246" s="6" t="str">
        <f>HYPERLINK("https://ceds.ed.gov/elementComment.aspx?elementName=School Codes for the Exchange of Data Course Level &amp;elementID=6488", "Click here to submit comment")</f>
        <v>Click here to submit comment</v>
      </c>
    </row>
    <row r="1247" spans="1:16" ht="409.5">
      <c r="A1247" s="6" t="s">
        <v>6788</v>
      </c>
      <c r="B1247" s="6" t="s">
        <v>6823</v>
      </c>
      <c r="C1247" s="6"/>
      <c r="D1247" s="6" t="s">
        <v>5200</v>
      </c>
      <c r="E1247" s="6" t="s">
        <v>5201</v>
      </c>
      <c r="F1247" s="7" t="s">
        <v>6644</v>
      </c>
      <c r="G1247" s="6"/>
      <c r="H1247" s="6" t="s">
        <v>54</v>
      </c>
      <c r="I1247" s="6" t="s">
        <v>5202</v>
      </c>
      <c r="J1247" s="6"/>
      <c r="K1247" s="6" t="s">
        <v>5203</v>
      </c>
      <c r="L1247" s="6" t="s">
        <v>5204</v>
      </c>
      <c r="M1247" s="6" t="s">
        <v>5205</v>
      </c>
      <c r="N1247" s="6" t="s">
        <v>5206</v>
      </c>
      <c r="O1247" s="6" t="str">
        <f>HYPERLINK("https://ceds.ed.gov/cedselementdetails.aspx?termid=6491")</f>
        <v>https://ceds.ed.gov/cedselementdetails.aspx?termid=6491</v>
      </c>
      <c r="P1247" s="6" t="str">
        <f>HYPERLINK("https://ceds.ed.gov/elementComment.aspx?elementName=School Codes for the Exchange of Data Course Subject Area &amp;elementID=6491", "Click here to submit comment")</f>
        <v>Click here to submit comment</v>
      </c>
    </row>
    <row r="1248" spans="1:16" ht="105">
      <c r="A1248" s="6" t="s">
        <v>6788</v>
      </c>
      <c r="B1248" s="6" t="s">
        <v>6823</v>
      </c>
      <c r="C1248" s="6"/>
      <c r="D1248" s="6" t="s">
        <v>5207</v>
      </c>
      <c r="E1248" s="6" t="s">
        <v>5208</v>
      </c>
      <c r="F1248" s="6" t="s">
        <v>13</v>
      </c>
      <c r="G1248" s="6"/>
      <c r="H1248" s="6" t="s">
        <v>54</v>
      </c>
      <c r="I1248" s="6" t="s">
        <v>5209</v>
      </c>
      <c r="J1248" s="6"/>
      <c r="K1248" s="6" t="s">
        <v>5210</v>
      </c>
      <c r="L1248" s="6" t="s">
        <v>5211</v>
      </c>
      <c r="M1248" s="6" t="s">
        <v>5212</v>
      </c>
      <c r="N1248" s="6" t="s">
        <v>5213</v>
      </c>
      <c r="O1248" s="6" t="str">
        <f>HYPERLINK("https://ceds.ed.gov/cedselementdetails.aspx?termid=6452")</f>
        <v>https://ceds.ed.gov/cedselementdetails.aspx?termid=6452</v>
      </c>
      <c r="P1248" s="6" t="str">
        <f>HYPERLINK("https://ceds.ed.gov/elementComment.aspx?elementName=School Codes for the Exchange of Data Grade Span &amp;elementID=6452", "Click here to submit comment")</f>
        <v>Click here to submit comment</v>
      </c>
    </row>
    <row r="1249" spans="1:16" ht="345">
      <c r="A1249" s="6" t="s">
        <v>6788</v>
      </c>
      <c r="B1249" s="6" t="s">
        <v>6823</v>
      </c>
      <c r="C1249" s="6"/>
      <c r="D1249" s="6" t="s">
        <v>5928</v>
      </c>
      <c r="E1249" s="6" t="s">
        <v>5929</v>
      </c>
      <c r="F1249" s="7" t="s">
        <v>6695</v>
      </c>
      <c r="G1249" s="6"/>
      <c r="H1249" s="6" t="s">
        <v>54</v>
      </c>
      <c r="I1249" s="6"/>
      <c r="J1249" s="6"/>
      <c r="K1249" s="6"/>
      <c r="L1249" s="6" t="s">
        <v>5930</v>
      </c>
      <c r="M1249" s="6"/>
      <c r="N1249" s="6" t="s">
        <v>5931</v>
      </c>
      <c r="O1249" s="6" t="str">
        <f>HYPERLINK("https://ceds.ed.gov/cedselementdetails.aspx?termid=6471")</f>
        <v>https://ceds.ed.gov/cedselementdetails.aspx?termid=6471</v>
      </c>
      <c r="P1249" s="6" t="str">
        <f>HYPERLINK("https://ceds.ed.gov/elementComment.aspx?elementName=Work-based Learning Opportunity Type &amp;elementID=6471", "Click here to submit comment")</f>
        <v>Click here to submit comment</v>
      </c>
    </row>
    <row r="1250" spans="1:16" ht="75">
      <c r="A1250" s="6" t="s">
        <v>6788</v>
      </c>
      <c r="B1250" s="6" t="s">
        <v>6824</v>
      </c>
      <c r="C1250" s="6"/>
      <c r="D1250" s="6" t="s">
        <v>0</v>
      </c>
      <c r="E1250" s="6" t="s">
        <v>1</v>
      </c>
      <c r="F1250" s="6" t="s">
        <v>5963</v>
      </c>
      <c r="G1250" s="6" t="s">
        <v>2</v>
      </c>
      <c r="H1250" s="6" t="s">
        <v>3</v>
      </c>
      <c r="I1250" s="6"/>
      <c r="J1250" s="6"/>
      <c r="K1250" s="6"/>
      <c r="L1250" s="6" t="s">
        <v>4</v>
      </c>
      <c r="M1250" s="6"/>
      <c r="N1250" s="6" t="s">
        <v>5</v>
      </c>
      <c r="O1250" s="6" t="str">
        <f>HYPERLINK("https://ceds.ed.gov/cedselementdetails.aspx?termid=5000")</f>
        <v>https://ceds.ed.gov/cedselementdetails.aspx?termid=5000</v>
      </c>
      <c r="P1250" s="6" t="str">
        <f>HYPERLINK("https://ceds.ed.gov/elementComment.aspx?elementName=Ability Grouping Status &amp;elementID=5000", "Click here to submit comment")</f>
        <v>Click here to submit comment</v>
      </c>
    </row>
    <row r="1251" spans="1:16" ht="75">
      <c r="A1251" s="6" t="s">
        <v>6788</v>
      </c>
      <c r="B1251" s="6" t="s">
        <v>6824</v>
      </c>
      <c r="C1251" s="6" t="s">
        <v>6790</v>
      </c>
      <c r="D1251" s="6" t="s">
        <v>2004</v>
      </c>
      <c r="E1251" s="6" t="s">
        <v>2005</v>
      </c>
      <c r="F1251" s="6" t="s">
        <v>13</v>
      </c>
      <c r="G1251" s="6"/>
      <c r="H1251" s="6" t="s">
        <v>66</v>
      </c>
      <c r="I1251" s="6" t="s">
        <v>100</v>
      </c>
      <c r="J1251" s="6" t="s">
        <v>2006</v>
      </c>
      <c r="K1251" s="6"/>
      <c r="L1251" s="6" t="s">
        <v>2007</v>
      </c>
      <c r="M1251" s="6"/>
      <c r="N1251" s="6" t="s">
        <v>2008</v>
      </c>
      <c r="O1251" s="6" t="str">
        <f>HYPERLINK("https://ceds.ed.gov/cedselementdetails.aspx?termid=5979")</f>
        <v>https://ceds.ed.gov/cedselementdetails.aspx?termid=5979</v>
      </c>
      <c r="P1251" s="6" t="str">
        <f>HYPERLINK("https://ceds.ed.gov/elementComment.aspx?elementName=Course Section Identifier &amp;elementID=5979", "Click here to submit comment")</f>
        <v>Click here to submit comment</v>
      </c>
    </row>
    <row r="1252" spans="1:16" ht="60">
      <c r="A1252" s="6" t="s">
        <v>6788</v>
      </c>
      <c r="B1252" s="6" t="s">
        <v>6824</v>
      </c>
      <c r="C1252" s="6" t="s">
        <v>6790</v>
      </c>
      <c r="D1252" s="6" t="s">
        <v>1717</v>
      </c>
      <c r="E1252" s="6" t="s">
        <v>1718</v>
      </c>
      <c r="F1252" s="6" t="s">
        <v>13</v>
      </c>
      <c r="G1252" s="6"/>
      <c r="H1252" s="6"/>
      <c r="I1252" s="6" t="s">
        <v>100</v>
      </c>
      <c r="J1252" s="6"/>
      <c r="K1252" s="6"/>
      <c r="L1252" s="6" t="s">
        <v>1719</v>
      </c>
      <c r="M1252" s="6"/>
      <c r="N1252" s="6" t="s">
        <v>1720</v>
      </c>
      <c r="O1252" s="6" t="str">
        <f>HYPERLINK("https://ceds.ed.gov/cedselementdetails.aspx?termid=5507")</f>
        <v>https://ceds.ed.gov/cedselementdetails.aspx?termid=5507</v>
      </c>
      <c r="P1252" s="6" t="str">
        <f>HYPERLINK("https://ceds.ed.gov/elementComment.aspx?elementName=Classroom Identifier &amp;elementID=5507", "Click here to submit comment")</f>
        <v>Click here to submit comment</v>
      </c>
    </row>
    <row r="1253" spans="1:16" ht="120">
      <c r="A1253" s="6" t="s">
        <v>6788</v>
      </c>
      <c r="B1253" s="6" t="s">
        <v>6824</v>
      </c>
      <c r="C1253" s="6" t="s">
        <v>6790</v>
      </c>
      <c r="D1253" s="6" t="s">
        <v>5313</v>
      </c>
      <c r="E1253" s="6" t="s">
        <v>5314</v>
      </c>
      <c r="F1253" s="6" t="s">
        <v>13</v>
      </c>
      <c r="G1253" s="6" t="s">
        <v>6078</v>
      </c>
      <c r="H1253" s="6"/>
      <c r="I1253" s="6" t="s">
        <v>73</v>
      </c>
      <c r="J1253" s="6"/>
      <c r="K1253" s="6"/>
      <c r="L1253" s="6" t="s">
        <v>5315</v>
      </c>
      <c r="M1253" s="6"/>
      <c r="N1253" s="6" t="s">
        <v>5316</v>
      </c>
      <c r="O1253" s="6" t="str">
        <f>HYPERLINK("https://ceds.ed.gov/cedselementdetails.aspx?termid=5251")</f>
        <v>https://ceds.ed.gov/cedselementdetails.aspx?termid=5251</v>
      </c>
      <c r="P1253" s="6" t="str">
        <f>HYPERLINK("https://ceds.ed.gov/elementComment.aspx?elementName=Session Begin Date &amp;elementID=5251", "Click here to submit comment")</f>
        <v>Click here to submit comment</v>
      </c>
    </row>
    <row r="1254" spans="1:16" ht="120">
      <c r="A1254" s="6" t="s">
        <v>6788</v>
      </c>
      <c r="B1254" s="6" t="s">
        <v>6824</v>
      </c>
      <c r="C1254" s="6" t="s">
        <v>6790</v>
      </c>
      <c r="D1254" s="6" t="s">
        <v>5329</v>
      </c>
      <c r="E1254" s="6" t="s">
        <v>5330</v>
      </c>
      <c r="F1254" s="6" t="s">
        <v>13</v>
      </c>
      <c r="G1254" s="6" t="s">
        <v>6078</v>
      </c>
      <c r="H1254" s="6"/>
      <c r="I1254" s="6" t="s">
        <v>73</v>
      </c>
      <c r="J1254" s="6"/>
      <c r="K1254" s="6"/>
      <c r="L1254" s="6" t="s">
        <v>5331</v>
      </c>
      <c r="M1254" s="6"/>
      <c r="N1254" s="6" t="s">
        <v>5332</v>
      </c>
      <c r="O1254" s="6" t="str">
        <f>HYPERLINK("https://ceds.ed.gov/cedselementdetails.aspx?termid=5253")</f>
        <v>https://ceds.ed.gov/cedselementdetails.aspx?termid=5253</v>
      </c>
      <c r="P1254" s="6" t="str">
        <f>HYPERLINK("https://ceds.ed.gov/elementComment.aspx?elementName=Session End Date &amp;elementID=5253", "Click here to submit comment")</f>
        <v>Click here to submit comment</v>
      </c>
    </row>
    <row r="1255" spans="1:16" ht="30">
      <c r="A1255" s="6" t="s">
        <v>6788</v>
      </c>
      <c r="B1255" s="6" t="s">
        <v>6824</v>
      </c>
      <c r="C1255" s="6" t="s">
        <v>6790</v>
      </c>
      <c r="D1255" s="6" t="s">
        <v>5325</v>
      </c>
      <c r="E1255" s="6" t="s">
        <v>5326</v>
      </c>
      <c r="F1255" s="6" t="s">
        <v>13</v>
      </c>
      <c r="G1255" s="6" t="s">
        <v>6093</v>
      </c>
      <c r="H1255" s="6"/>
      <c r="I1255" s="6" t="s">
        <v>2191</v>
      </c>
      <c r="J1255" s="6"/>
      <c r="K1255" s="6"/>
      <c r="L1255" s="6" t="s">
        <v>5327</v>
      </c>
      <c r="M1255" s="6"/>
      <c r="N1255" s="6" t="s">
        <v>5328</v>
      </c>
      <c r="O1255" s="6" t="str">
        <f>HYPERLINK("https://ceds.ed.gov/cedselementdetails.aspx?termid=5252")</f>
        <v>https://ceds.ed.gov/cedselementdetails.aspx?termid=5252</v>
      </c>
      <c r="P1255" s="6" t="str">
        <f>HYPERLINK("https://ceds.ed.gov/elementComment.aspx?elementName=Session Designator &amp;elementID=5252", "Click here to submit comment")</f>
        <v>Click here to submit comment</v>
      </c>
    </row>
    <row r="1256" spans="1:16" ht="255">
      <c r="A1256" s="6" t="s">
        <v>6788</v>
      </c>
      <c r="B1256" s="6" t="s">
        <v>6824</v>
      </c>
      <c r="C1256" s="6" t="s">
        <v>6790</v>
      </c>
      <c r="D1256" s="6" t="s">
        <v>5349</v>
      </c>
      <c r="E1256" s="6" t="s">
        <v>5350</v>
      </c>
      <c r="F1256" s="7" t="s">
        <v>6655</v>
      </c>
      <c r="G1256" s="6" t="s">
        <v>6078</v>
      </c>
      <c r="H1256" s="6"/>
      <c r="I1256" s="6"/>
      <c r="J1256" s="6"/>
      <c r="K1256" s="6"/>
      <c r="L1256" s="6" t="s">
        <v>5351</v>
      </c>
      <c r="M1256" s="6"/>
      <c r="N1256" s="6" t="s">
        <v>5352</v>
      </c>
      <c r="O1256" s="6" t="str">
        <f>HYPERLINK("https://ceds.ed.gov/cedselementdetails.aspx?termid=5254")</f>
        <v>https://ceds.ed.gov/cedselementdetails.aspx?termid=5254</v>
      </c>
      <c r="P1256" s="6" t="str">
        <f>HYPERLINK("https://ceds.ed.gov/elementComment.aspx?elementName=Session Type &amp;elementID=5254", "Click here to submit comment")</f>
        <v>Click here to submit comment</v>
      </c>
    </row>
    <row r="1257" spans="1:16" ht="30">
      <c r="A1257" s="6" t="s">
        <v>6788</v>
      </c>
      <c r="B1257" s="6" t="s">
        <v>6824</v>
      </c>
      <c r="C1257" s="6" t="s">
        <v>6790</v>
      </c>
      <c r="D1257" s="6" t="s">
        <v>1678</v>
      </c>
      <c r="E1257" s="6" t="s">
        <v>1679</v>
      </c>
      <c r="F1257" s="6" t="s">
        <v>13</v>
      </c>
      <c r="G1257" s="6" t="s">
        <v>6097</v>
      </c>
      <c r="H1257" s="6"/>
      <c r="I1257" s="6" t="s">
        <v>426</v>
      </c>
      <c r="J1257" s="6"/>
      <c r="K1257" s="6"/>
      <c r="L1257" s="6" t="s">
        <v>1680</v>
      </c>
      <c r="M1257" s="6"/>
      <c r="N1257" s="6" t="s">
        <v>1681</v>
      </c>
      <c r="O1257" s="6" t="str">
        <f>HYPERLINK("https://ceds.ed.gov/cedselementdetails.aspx?termid=5510")</f>
        <v>https://ceds.ed.gov/cedselementdetails.aspx?termid=5510</v>
      </c>
      <c r="P1257" s="6" t="str">
        <f>HYPERLINK("https://ceds.ed.gov/elementComment.aspx?elementName=Class Beginning Time &amp;elementID=5510", "Click here to submit comment")</f>
        <v>Click here to submit comment</v>
      </c>
    </row>
    <row r="1258" spans="1:16" ht="30">
      <c r="A1258" s="6" t="s">
        <v>6788</v>
      </c>
      <c r="B1258" s="6" t="s">
        <v>6824</v>
      </c>
      <c r="C1258" s="6" t="s">
        <v>6790</v>
      </c>
      <c r="D1258" s="6" t="s">
        <v>1682</v>
      </c>
      <c r="E1258" s="6" t="s">
        <v>1683</v>
      </c>
      <c r="F1258" s="6" t="s">
        <v>13</v>
      </c>
      <c r="G1258" s="6" t="s">
        <v>6097</v>
      </c>
      <c r="H1258" s="6"/>
      <c r="I1258" s="6" t="s">
        <v>1684</v>
      </c>
      <c r="J1258" s="6"/>
      <c r="K1258" s="6"/>
      <c r="L1258" s="6" t="s">
        <v>1685</v>
      </c>
      <c r="M1258" s="6"/>
      <c r="N1258" s="6" t="s">
        <v>1686</v>
      </c>
      <c r="O1258" s="6" t="str">
        <f>HYPERLINK("https://ceds.ed.gov/cedselementdetails.aspx?termid=5511")</f>
        <v>https://ceds.ed.gov/cedselementdetails.aspx?termid=5511</v>
      </c>
      <c r="P1258" s="6" t="str">
        <f>HYPERLINK("https://ceds.ed.gov/elementComment.aspx?elementName=Class Ending Time &amp;elementID=5511", "Click here to submit comment")</f>
        <v>Click here to submit comment</v>
      </c>
    </row>
    <row r="1259" spans="1:16" ht="60">
      <c r="A1259" s="6" t="s">
        <v>6788</v>
      </c>
      <c r="B1259" s="6" t="s">
        <v>6824</v>
      </c>
      <c r="C1259" s="6" t="s">
        <v>6790</v>
      </c>
      <c r="D1259" s="6" t="s">
        <v>1687</v>
      </c>
      <c r="E1259" s="6" t="s">
        <v>1688</v>
      </c>
      <c r="F1259" s="6" t="s">
        <v>13</v>
      </c>
      <c r="G1259" s="6"/>
      <c r="H1259" s="6"/>
      <c r="I1259" s="6" t="s">
        <v>106</v>
      </c>
      <c r="J1259" s="6"/>
      <c r="K1259" s="6"/>
      <c r="L1259" s="6" t="s">
        <v>1689</v>
      </c>
      <c r="M1259" s="6"/>
      <c r="N1259" s="6" t="s">
        <v>1690</v>
      </c>
      <c r="O1259" s="6" t="str">
        <f>HYPERLINK("https://ceds.ed.gov/cedselementdetails.aspx?termid=5512")</f>
        <v>https://ceds.ed.gov/cedselementdetails.aspx?termid=5512</v>
      </c>
      <c r="P1259" s="6" t="str">
        <f>HYPERLINK("https://ceds.ed.gov/elementComment.aspx?elementName=Class Meeting Days &amp;elementID=5512", "Click here to submit comment")</f>
        <v>Click here to submit comment</v>
      </c>
    </row>
    <row r="1260" spans="1:16" ht="75">
      <c r="A1260" s="6" t="s">
        <v>6788</v>
      </c>
      <c r="B1260" s="6" t="s">
        <v>6824</v>
      </c>
      <c r="C1260" s="6" t="s">
        <v>6790</v>
      </c>
      <c r="D1260" s="6" t="s">
        <v>1691</v>
      </c>
      <c r="E1260" s="6" t="s">
        <v>1692</v>
      </c>
      <c r="F1260" s="6" t="s">
        <v>13</v>
      </c>
      <c r="G1260" s="6"/>
      <c r="H1260" s="6"/>
      <c r="I1260" s="6" t="s">
        <v>100</v>
      </c>
      <c r="J1260" s="6"/>
      <c r="K1260" s="6"/>
      <c r="L1260" s="6" t="s">
        <v>1693</v>
      </c>
      <c r="M1260" s="6"/>
      <c r="N1260" s="6" t="s">
        <v>1694</v>
      </c>
      <c r="O1260" s="6" t="str">
        <f>HYPERLINK("https://ceds.ed.gov/cedselementdetails.aspx?termid=5513")</f>
        <v>https://ceds.ed.gov/cedselementdetails.aspx?termid=5513</v>
      </c>
      <c r="P1260" s="6" t="str">
        <f>HYPERLINK("https://ceds.ed.gov/elementComment.aspx?elementName=Class Period &amp;elementID=5513", "Click here to submit comment")</f>
        <v>Click here to submit comment</v>
      </c>
    </row>
    <row r="1261" spans="1:16" ht="75">
      <c r="A1261" s="6" t="s">
        <v>6788</v>
      </c>
      <c r="B1261" s="6" t="s">
        <v>6824</v>
      </c>
      <c r="C1261" s="6" t="s">
        <v>6790</v>
      </c>
      <c r="D1261" s="6" t="s">
        <v>5748</v>
      </c>
      <c r="E1261" s="6" t="s">
        <v>5749</v>
      </c>
      <c r="F1261" s="6" t="s">
        <v>13</v>
      </c>
      <c r="G1261" s="6"/>
      <c r="H1261" s="6"/>
      <c r="I1261" s="6" t="s">
        <v>100</v>
      </c>
      <c r="J1261" s="6"/>
      <c r="K1261" s="6"/>
      <c r="L1261" s="6" t="s">
        <v>5750</v>
      </c>
      <c r="M1261" s="6"/>
      <c r="N1261" s="6" t="s">
        <v>5751</v>
      </c>
      <c r="O1261" s="6" t="str">
        <f>HYPERLINK("https://ceds.ed.gov/cedselementdetails.aspx?termid=5514")</f>
        <v>https://ceds.ed.gov/cedselementdetails.aspx?termid=5514</v>
      </c>
      <c r="P1261" s="6" t="str">
        <f>HYPERLINK("https://ceds.ed.gov/elementComment.aspx?elementName=Timetable Day Identifier &amp;elementID=5514", "Click here to submit comment")</f>
        <v>Click here to submit comment</v>
      </c>
    </row>
    <row r="1262" spans="1:16" ht="165">
      <c r="A1262" s="6" t="s">
        <v>6788</v>
      </c>
      <c r="B1262" s="6" t="s">
        <v>6824</v>
      </c>
      <c r="C1262" s="6" t="s">
        <v>6790</v>
      </c>
      <c r="D1262" s="6" t="s">
        <v>2023</v>
      </c>
      <c r="E1262" s="6" t="s">
        <v>2024</v>
      </c>
      <c r="F1262" s="6" t="s">
        <v>13</v>
      </c>
      <c r="G1262" s="6" t="s">
        <v>2025</v>
      </c>
      <c r="H1262" s="6" t="s">
        <v>66</v>
      </c>
      <c r="I1262" s="6" t="s">
        <v>308</v>
      </c>
      <c r="J1262" s="6" t="s">
        <v>2026</v>
      </c>
      <c r="K1262" s="6"/>
      <c r="L1262" s="6" t="s">
        <v>2027</v>
      </c>
      <c r="M1262" s="6"/>
      <c r="N1262" s="6" t="s">
        <v>2028</v>
      </c>
      <c r="O1262" s="6" t="str">
        <f>HYPERLINK("https://ceds.ed.gov/cedselementdetails.aspx?termid=5101")</f>
        <v>https://ceds.ed.gov/cedselementdetails.aspx?termid=5101</v>
      </c>
      <c r="P1262" s="6" t="str">
        <f>HYPERLINK("https://ceds.ed.gov/elementComment.aspx?elementName=Course Section Time Required For Completion &amp;elementID=5101", "Click here to submit comment")</f>
        <v>Click here to submit comment</v>
      </c>
    </row>
    <row r="1263" spans="1:16" ht="45">
      <c r="A1263" s="6" t="s">
        <v>6788</v>
      </c>
      <c r="B1263" s="6" t="s">
        <v>6824</v>
      </c>
      <c r="C1263" s="6" t="s">
        <v>6790</v>
      </c>
      <c r="D1263" s="6" t="s">
        <v>3302</v>
      </c>
      <c r="E1263" s="6" t="s">
        <v>3303</v>
      </c>
      <c r="F1263" s="5" t="s">
        <v>939</v>
      </c>
      <c r="G1263" s="6" t="s">
        <v>207</v>
      </c>
      <c r="H1263" s="6"/>
      <c r="I1263" s="6"/>
      <c r="J1263" s="6"/>
      <c r="K1263" s="6"/>
      <c r="L1263" s="6" t="s">
        <v>3304</v>
      </c>
      <c r="M1263" s="6"/>
      <c r="N1263" s="6" t="s">
        <v>3305</v>
      </c>
      <c r="O1263" s="6" t="str">
        <f>HYPERLINK("https://ceds.ed.gov/cedselementdetails.aspx?termid=5438")</f>
        <v>https://ceds.ed.gov/cedselementdetails.aspx?termid=5438</v>
      </c>
      <c r="P1263" s="6" t="str">
        <f>HYPERLINK("https://ceds.ed.gov/elementComment.aspx?elementName=Instruction Language &amp;elementID=5438", "Click here to submit comment")</f>
        <v>Click here to submit comment</v>
      </c>
    </row>
    <row r="1264" spans="1:16" ht="90">
      <c r="A1264" s="6" t="s">
        <v>6788</v>
      </c>
      <c r="B1264" s="6" t="s">
        <v>6824</v>
      </c>
      <c r="C1264" s="6" t="s">
        <v>6790</v>
      </c>
      <c r="D1264" s="6" t="s">
        <v>2018</v>
      </c>
      <c r="E1264" s="6" t="s">
        <v>2019</v>
      </c>
      <c r="F1264" s="7" t="s">
        <v>6449</v>
      </c>
      <c r="G1264" s="6" t="s">
        <v>6123</v>
      </c>
      <c r="H1264" s="6" t="s">
        <v>66</v>
      </c>
      <c r="I1264" s="6"/>
      <c r="J1264" s="6" t="s">
        <v>2020</v>
      </c>
      <c r="K1264" s="6"/>
      <c r="L1264" s="6" t="s">
        <v>2021</v>
      </c>
      <c r="M1264" s="6"/>
      <c r="N1264" s="6" t="s">
        <v>2022</v>
      </c>
      <c r="O1264" s="6" t="str">
        <f>HYPERLINK("https://ceds.ed.gov/cedselementdetails.aspx?termid=5258")</f>
        <v>https://ceds.ed.gov/cedselementdetails.aspx?termid=5258</v>
      </c>
      <c r="P1264" s="6" t="str">
        <f>HYPERLINK("https://ceds.ed.gov/elementComment.aspx?elementName=Course Section Single Sex Class Status &amp;elementID=5258", "Click here to submit comment")</f>
        <v>Click here to submit comment</v>
      </c>
    </row>
    <row r="1265" spans="1:16" ht="225">
      <c r="A1265" s="6" t="s">
        <v>6788</v>
      </c>
      <c r="B1265" s="6" t="s">
        <v>6824</v>
      </c>
      <c r="C1265" s="6" t="s">
        <v>6790</v>
      </c>
      <c r="D1265" s="6" t="s">
        <v>4979</v>
      </c>
      <c r="E1265" s="6" t="s">
        <v>4980</v>
      </c>
      <c r="F1265" s="7" t="s">
        <v>6637</v>
      </c>
      <c r="G1265" s="6"/>
      <c r="H1265" s="6"/>
      <c r="I1265" s="6"/>
      <c r="J1265" s="6"/>
      <c r="K1265" s="6"/>
      <c r="L1265" s="6" t="s">
        <v>4981</v>
      </c>
      <c r="M1265" s="6"/>
      <c r="N1265" s="6" t="s">
        <v>4982</v>
      </c>
      <c r="O1265" s="6" t="str">
        <f>HYPERLINK("https://ceds.ed.gov/cedselementdetails.aspx?termid=5515")</f>
        <v>https://ceds.ed.gov/cedselementdetails.aspx?termid=5515</v>
      </c>
      <c r="P1265" s="6" t="str">
        <f>HYPERLINK("https://ceds.ed.gov/elementComment.aspx?elementName=Receiving Location of Instruction &amp;elementID=5515", "Click here to submit comment")</f>
        <v>Click here to submit comment</v>
      </c>
    </row>
    <row r="1266" spans="1:16" ht="210">
      <c r="A1266" s="6" t="s">
        <v>6788</v>
      </c>
      <c r="B1266" s="6" t="s">
        <v>6824</v>
      </c>
      <c r="C1266" s="6" t="s">
        <v>6790</v>
      </c>
      <c r="D1266" s="6" t="s">
        <v>2009</v>
      </c>
      <c r="E1266" s="6" t="s">
        <v>2010</v>
      </c>
      <c r="F1266" s="7" t="s">
        <v>6448</v>
      </c>
      <c r="G1266" s="6"/>
      <c r="H1266" s="6" t="s">
        <v>66</v>
      </c>
      <c r="I1266" s="6"/>
      <c r="J1266" s="6" t="s">
        <v>2011</v>
      </c>
      <c r="K1266" s="6"/>
      <c r="L1266" s="6" t="s">
        <v>2012</v>
      </c>
      <c r="M1266" s="6"/>
      <c r="N1266" s="6" t="s">
        <v>2013</v>
      </c>
      <c r="O1266" s="6" t="str">
        <f>HYPERLINK("https://ceds.ed.gov/cedselementdetails.aspx?termid=6168")</f>
        <v>https://ceds.ed.gov/cedselementdetails.aspx?termid=6168</v>
      </c>
      <c r="P1266" s="6" t="str">
        <f>HYPERLINK("https://ceds.ed.gov/elementComment.aspx?elementName=Course Section Instructional Delivery Mode &amp;elementID=6168", "Click here to submit comment")</f>
        <v>Click here to submit comment</v>
      </c>
    </row>
    <row r="1267" spans="1:16" ht="105">
      <c r="A1267" s="6" t="s">
        <v>6788</v>
      </c>
      <c r="B1267" s="6" t="s">
        <v>6824</v>
      </c>
      <c r="C1267" s="6" t="s">
        <v>6790</v>
      </c>
      <c r="D1267" s="6" t="s">
        <v>5875</v>
      </c>
      <c r="E1267" s="6" t="s">
        <v>5876</v>
      </c>
      <c r="F1267" s="6" t="s">
        <v>5963</v>
      </c>
      <c r="G1267" s="6"/>
      <c r="H1267" s="6"/>
      <c r="I1267" s="6"/>
      <c r="J1267" s="6"/>
      <c r="K1267" s="6"/>
      <c r="L1267" s="6" t="s">
        <v>5877</v>
      </c>
      <c r="M1267" s="6"/>
      <c r="N1267" s="6" t="s">
        <v>5878</v>
      </c>
      <c r="O1267" s="6" t="str">
        <f>HYPERLINK("https://ceds.ed.gov/cedselementdetails.aspx?termid=6167")</f>
        <v>https://ceds.ed.gov/cedselementdetails.aspx?termid=6167</v>
      </c>
      <c r="P1267" s="6" t="str">
        <f>HYPERLINK("https://ceds.ed.gov/elementComment.aspx?elementName=Virtual Indicator &amp;elementID=6167", "Click here to submit comment")</f>
        <v>Click here to submit comment</v>
      </c>
    </row>
    <row r="1268" spans="1:16" ht="45">
      <c r="A1268" s="6" t="s">
        <v>6788</v>
      </c>
      <c r="B1268" s="6" t="s">
        <v>6824</v>
      </c>
      <c r="C1268" s="6" t="s">
        <v>6790</v>
      </c>
      <c r="D1268" s="6" t="s">
        <v>1845</v>
      </c>
      <c r="E1268" s="6" t="s">
        <v>1846</v>
      </c>
      <c r="F1268" s="6" t="s">
        <v>5963</v>
      </c>
      <c r="G1268" s="6"/>
      <c r="H1268" s="6" t="s">
        <v>66</v>
      </c>
      <c r="I1268" s="6"/>
      <c r="J1268" s="6" t="s">
        <v>1847</v>
      </c>
      <c r="K1268" s="6"/>
      <c r="L1268" s="6" t="s">
        <v>1848</v>
      </c>
      <c r="M1268" s="6"/>
      <c r="N1268" s="6" t="s">
        <v>1849</v>
      </c>
      <c r="O1268" s="6" t="str">
        <f>HYPERLINK("https://ceds.ed.gov/cedselementdetails.aspx?termid=5013")</f>
        <v>https://ceds.ed.gov/cedselementdetails.aspx?termid=5013</v>
      </c>
      <c r="P1268" s="6" t="str">
        <f>HYPERLINK("https://ceds.ed.gov/elementComment.aspx?elementName=Course Aligned with Standards &amp;elementID=5013", "Click here to submit comment")</f>
        <v>Click here to submit comment</v>
      </c>
    </row>
    <row r="1269" spans="1:16" ht="330">
      <c r="A1269" s="6" t="s">
        <v>6788</v>
      </c>
      <c r="B1269" s="6" t="s">
        <v>6824</v>
      </c>
      <c r="C1269" s="6" t="s">
        <v>6790</v>
      </c>
      <c r="D1269" s="6" t="s">
        <v>165</v>
      </c>
      <c r="E1269" s="6" t="s">
        <v>166</v>
      </c>
      <c r="F1269" s="7" t="s">
        <v>6352</v>
      </c>
      <c r="G1269" s="6"/>
      <c r="H1269" s="6" t="s">
        <v>66</v>
      </c>
      <c r="I1269" s="6"/>
      <c r="J1269" s="6" t="s">
        <v>167</v>
      </c>
      <c r="K1269" s="6"/>
      <c r="L1269" s="6" t="s">
        <v>168</v>
      </c>
      <c r="M1269" s="6"/>
      <c r="N1269" s="6" t="s">
        <v>169</v>
      </c>
      <c r="O1269" s="6" t="str">
        <f>HYPERLINK("https://ceds.ed.gov/cedselementdetails.aspx?termid=5589")</f>
        <v>https://ceds.ed.gov/cedselementdetails.aspx?termid=5589</v>
      </c>
      <c r="P1269" s="6" t="str">
        <f>HYPERLINK("https://ceds.ed.gov/elementComment.aspx?elementName=Additional Credit Type &amp;elementID=5589", "Click here to submit comment")</f>
        <v>Click here to submit comment</v>
      </c>
    </row>
    <row r="1270" spans="1:16" ht="409.5">
      <c r="A1270" s="6" t="s">
        <v>6788</v>
      </c>
      <c r="B1270" s="6" t="s">
        <v>6824</v>
      </c>
      <c r="C1270" s="6" t="s">
        <v>6790</v>
      </c>
      <c r="D1270" s="6" t="s">
        <v>296</v>
      </c>
      <c r="E1270" s="6" t="s">
        <v>297</v>
      </c>
      <c r="F1270" s="7" t="s">
        <v>6369</v>
      </c>
      <c r="G1270" s="6"/>
      <c r="H1270" s="6" t="s">
        <v>54</v>
      </c>
      <c r="I1270" s="6" t="s">
        <v>106</v>
      </c>
      <c r="J1270" s="6"/>
      <c r="K1270" s="6"/>
      <c r="L1270" s="6" t="s">
        <v>298</v>
      </c>
      <c r="M1270" s="6" t="s">
        <v>299</v>
      </c>
      <c r="N1270" s="6" t="s">
        <v>300</v>
      </c>
      <c r="O1270" s="6" t="str">
        <f>HYPERLINK("https://ceds.ed.gov/cedselementdetails.aspx?termid=6244")</f>
        <v>https://ceds.ed.gov/cedselementdetails.aspx?termid=6244</v>
      </c>
      <c r="P1270" s="6" t="str">
        <f>HYPERLINK("https://ceds.ed.gov/elementComment.aspx?elementName=Advanced Placement Course Code &amp;elementID=6244", "Click here to submit comment")</f>
        <v>Click here to submit comment</v>
      </c>
    </row>
    <row r="1271" spans="1:16" ht="165">
      <c r="A1271" s="6" t="s">
        <v>6788</v>
      </c>
      <c r="B1271" s="6" t="s">
        <v>6824</v>
      </c>
      <c r="C1271" s="6" t="s">
        <v>6790</v>
      </c>
      <c r="D1271" s="6" t="s">
        <v>1487</v>
      </c>
      <c r="E1271" s="6" t="s">
        <v>1488</v>
      </c>
      <c r="F1271" s="7" t="s">
        <v>6410</v>
      </c>
      <c r="G1271" s="6"/>
      <c r="H1271" s="6" t="s">
        <v>54</v>
      </c>
      <c r="I1271" s="6"/>
      <c r="J1271" s="6"/>
      <c r="K1271" s="6" t="s">
        <v>1489</v>
      </c>
      <c r="L1271" s="6" t="s">
        <v>1490</v>
      </c>
      <c r="M1271" s="6"/>
      <c r="N1271" s="6" t="s">
        <v>1491</v>
      </c>
      <c r="O1271" s="6" t="str">
        <f>HYPERLINK("https://ceds.ed.gov/cedselementdetails.aspx?termid=6253")</f>
        <v>https://ceds.ed.gov/cedselementdetails.aspx?termid=6253</v>
      </c>
      <c r="P1271" s="6" t="str">
        <f>HYPERLINK("https://ceds.ed.gov/elementComment.aspx?elementName=Blended Learning Model Type &amp;elementID=6253", "Click here to submit comment")</f>
        <v>Click here to submit comment</v>
      </c>
    </row>
    <row r="1272" spans="1:16" ht="409.5">
      <c r="A1272" s="6" t="s">
        <v>6788</v>
      </c>
      <c r="B1272" s="6" t="s">
        <v>6824</v>
      </c>
      <c r="C1272" s="6" t="s">
        <v>6790</v>
      </c>
      <c r="D1272" s="6" t="s">
        <v>1577</v>
      </c>
      <c r="E1272" s="6" t="s">
        <v>1578</v>
      </c>
      <c r="F1272" s="7" t="s">
        <v>6415</v>
      </c>
      <c r="G1272" s="6"/>
      <c r="H1272" s="6" t="s">
        <v>54</v>
      </c>
      <c r="I1272" s="6"/>
      <c r="J1272" s="6"/>
      <c r="K1272" s="6" t="s">
        <v>1579</v>
      </c>
      <c r="L1272" s="6" t="s">
        <v>1580</v>
      </c>
      <c r="M1272" s="6"/>
      <c r="N1272" s="6" t="s">
        <v>1581</v>
      </c>
      <c r="O1272" s="6" t="str">
        <f>HYPERLINK("https://ceds.ed.gov/cedselementdetails.aspx?termid=6254")</f>
        <v>https://ceds.ed.gov/cedselementdetails.aspx?termid=6254</v>
      </c>
      <c r="P1272" s="6" t="str">
        <f>HYPERLINK("https://ceds.ed.gov/elementComment.aspx?elementName=Career Cluster &amp;elementID=6254", "Click here to submit comment")</f>
        <v>Click here to submit comment</v>
      </c>
    </row>
    <row r="1273" spans="1:16" ht="409.5">
      <c r="A1273" s="6" t="s">
        <v>6788</v>
      </c>
      <c r="B1273" s="6" t="s">
        <v>6824</v>
      </c>
      <c r="C1273" s="6" t="s">
        <v>6790</v>
      </c>
      <c r="D1273" s="6" t="s">
        <v>1850</v>
      </c>
      <c r="E1273" s="6" t="s">
        <v>1851</v>
      </c>
      <c r="F1273" s="13" t="s">
        <v>6921</v>
      </c>
      <c r="G1273" s="6"/>
      <c r="H1273" s="6" t="s">
        <v>54</v>
      </c>
      <c r="I1273" s="6"/>
      <c r="J1273" s="6"/>
      <c r="K1273" s="6" t="s">
        <v>1852</v>
      </c>
      <c r="L1273" s="6" t="s">
        <v>1853</v>
      </c>
      <c r="M1273" s="6"/>
      <c r="N1273" s="6" t="s">
        <v>1854</v>
      </c>
      <c r="O1273" s="6" t="str">
        <f>HYPERLINK("https://ceds.ed.gov/cedselementdetails.aspx?termid=6267")</f>
        <v>https://ceds.ed.gov/cedselementdetails.aspx?termid=6267</v>
      </c>
      <c r="P1273" s="6" t="str">
        <f>HYPERLINK("https://ceds.ed.gov/elementComment.aspx?elementName=Course Applicable Education Level &amp;elementID=6267", "Click here to submit comment")</f>
        <v>Click here to submit comment</v>
      </c>
    </row>
    <row r="1274" spans="1:16" ht="45">
      <c r="A1274" s="6" t="s">
        <v>6788</v>
      </c>
      <c r="B1274" s="6" t="s">
        <v>6824</v>
      </c>
      <c r="C1274" s="6" t="s">
        <v>6790</v>
      </c>
      <c r="D1274" s="6" t="s">
        <v>1859</v>
      </c>
      <c r="E1274" s="6" t="s">
        <v>1860</v>
      </c>
      <c r="F1274" s="6" t="s">
        <v>13</v>
      </c>
      <c r="G1274" s="6"/>
      <c r="H1274" s="6" t="s">
        <v>54</v>
      </c>
      <c r="I1274" s="6" t="s">
        <v>93</v>
      </c>
      <c r="J1274" s="6"/>
      <c r="K1274" s="6"/>
      <c r="L1274" s="6" t="s">
        <v>1861</v>
      </c>
      <c r="M1274" s="6"/>
      <c r="N1274" s="6" t="s">
        <v>1862</v>
      </c>
      <c r="O1274" s="6" t="str">
        <f>HYPERLINK("https://ceds.ed.gov/cedselementdetails.aspx?termid=6268")</f>
        <v>https://ceds.ed.gov/cedselementdetails.aspx?termid=6268</v>
      </c>
      <c r="P1274" s="6" t="str">
        <f>HYPERLINK("https://ceds.ed.gov/elementComment.aspx?elementName=Course Certification Description &amp;elementID=6268", "Click here to submit comment")</f>
        <v>Click here to submit comment</v>
      </c>
    </row>
    <row r="1275" spans="1:16" ht="45">
      <c r="A1275" s="6" t="s">
        <v>6788</v>
      </c>
      <c r="B1275" s="6" t="s">
        <v>6824</v>
      </c>
      <c r="C1275" s="6" t="s">
        <v>6790</v>
      </c>
      <c r="D1275" s="6" t="s">
        <v>1889</v>
      </c>
      <c r="E1275" s="6" t="s">
        <v>1890</v>
      </c>
      <c r="F1275" s="6" t="s">
        <v>13</v>
      </c>
      <c r="G1275" s="6"/>
      <c r="H1275" s="6" t="s">
        <v>66</v>
      </c>
      <c r="I1275" s="6" t="s">
        <v>106</v>
      </c>
      <c r="J1275" s="6" t="s">
        <v>1820</v>
      </c>
      <c r="K1275" s="6"/>
      <c r="L1275" s="6" t="s">
        <v>1891</v>
      </c>
      <c r="M1275" s="6"/>
      <c r="N1275" s="6" t="s">
        <v>1892</v>
      </c>
      <c r="O1275" s="6" t="str">
        <f>HYPERLINK("https://ceds.ed.gov/cedselementdetails.aspx?termid=5508")</f>
        <v>https://ceds.ed.gov/cedselementdetails.aspx?termid=5508</v>
      </c>
      <c r="P1275" s="6" t="str">
        <f>HYPERLINK("https://ceds.ed.gov/elementComment.aspx?elementName=Course Description &amp;elementID=5508", "Click here to submit comment")</f>
        <v>Click here to submit comment</v>
      </c>
    </row>
    <row r="1276" spans="1:16" ht="90">
      <c r="A1276" s="6" t="s">
        <v>6788</v>
      </c>
      <c r="B1276" s="6" t="s">
        <v>6824</v>
      </c>
      <c r="C1276" s="6" t="s">
        <v>6790</v>
      </c>
      <c r="D1276" s="6" t="s">
        <v>1901</v>
      </c>
      <c r="E1276" s="6" t="s">
        <v>1902</v>
      </c>
      <c r="F1276" s="6" t="s">
        <v>13</v>
      </c>
      <c r="G1276" s="6"/>
      <c r="H1276" s="6" t="s">
        <v>54</v>
      </c>
      <c r="I1276" s="6" t="s">
        <v>100</v>
      </c>
      <c r="J1276" s="6"/>
      <c r="K1276" s="6" t="s">
        <v>1903</v>
      </c>
      <c r="L1276" s="6" t="s">
        <v>1904</v>
      </c>
      <c r="M1276" s="6"/>
      <c r="N1276" s="6" t="s">
        <v>1905</v>
      </c>
      <c r="O1276" s="6" t="str">
        <f>HYPERLINK("https://ceds.ed.gov/cedselementdetails.aspx?termid=6272")</f>
        <v>https://ceds.ed.gov/cedselementdetails.aspx?termid=6272</v>
      </c>
      <c r="P1276" s="6" t="str">
        <f>HYPERLINK("https://ceds.ed.gov/elementComment.aspx?elementName=Course Funding Program &amp;elementID=6272", "Click here to submit comment")</f>
        <v>Click here to submit comment</v>
      </c>
    </row>
    <row r="1277" spans="1:16" ht="135">
      <c r="A1277" s="6" t="s">
        <v>6788</v>
      </c>
      <c r="B1277" s="6" t="s">
        <v>6824</v>
      </c>
      <c r="C1277" s="6" t="s">
        <v>6790</v>
      </c>
      <c r="D1277" s="6" t="s">
        <v>1915</v>
      </c>
      <c r="E1277" s="6" t="s">
        <v>1916</v>
      </c>
      <c r="F1277" s="6" t="s">
        <v>13</v>
      </c>
      <c r="G1277" s="6" t="s">
        <v>6116</v>
      </c>
      <c r="H1277" s="6" t="s">
        <v>66</v>
      </c>
      <c r="I1277" s="6" t="s">
        <v>1917</v>
      </c>
      <c r="J1277" s="6" t="s">
        <v>1918</v>
      </c>
      <c r="K1277" s="6"/>
      <c r="L1277" s="6" t="s">
        <v>1919</v>
      </c>
      <c r="M1277" s="6"/>
      <c r="N1277" s="6" t="s">
        <v>1920</v>
      </c>
      <c r="O1277" s="6" t="str">
        <f>HYPERLINK("https://ceds.ed.gov/cedselementdetails.aspx?termid=5055")</f>
        <v>https://ceds.ed.gov/cedselementdetails.aspx?termid=5055</v>
      </c>
      <c r="P1277" s="6" t="str">
        <f>HYPERLINK("https://ceds.ed.gov/elementComment.aspx?elementName=Course Identifier &amp;elementID=5055", "Click here to submit comment")</f>
        <v>Click here to submit comment</v>
      </c>
    </row>
    <row r="1278" spans="1:16" ht="75">
      <c r="A1278" s="6" t="s">
        <v>6788</v>
      </c>
      <c r="B1278" s="6" t="s">
        <v>6824</v>
      </c>
      <c r="C1278" s="6" t="s">
        <v>6790</v>
      </c>
      <c r="D1278" s="6" t="s">
        <v>1933</v>
      </c>
      <c r="E1278" s="6" t="s">
        <v>1934</v>
      </c>
      <c r="F1278" s="7" t="s">
        <v>6442</v>
      </c>
      <c r="G1278" s="6"/>
      <c r="H1278" s="6" t="s">
        <v>54</v>
      </c>
      <c r="I1278" s="6"/>
      <c r="J1278" s="6"/>
      <c r="K1278" s="6" t="s">
        <v>1935</v>
      </c>
      <c r="L1278" s="6" t="s">
        <v>1936</v>
      </c>
      <c r="M1278" s="6"/>
      <c r="N1278" s="6" t="s">
        <v>1937</v>
      </c>
      <c r="O1278" s="6" t="str">
        <f>HYPERLINK("https://ceds.ed.gov/cedselementdetails.aspx?termid=6277")</f>
        <v>https://ceds.ed.gov/cedselementdetails.aspx?termid=6277</v>
      </c>
      <c r="P1278" s="6" t="str">
        <f>HYPERLINK("https://ceds.ed.gov/elementComment.aspx?elementName=Course Interaction Mode &amp;elementID=6277", "Click here to submit comment")</f>
        <v>Click here to submit comment</v>
      </c>
    </row>
    <row r="1279" spans="1:16" ht="60">
      <c r="A1279" s="6" t="s">
        <v>6788</v>
      </c>
      <c r="B1279" s="6" t="s">
        <v>6824</v>
      </c>
      <c r="C1279" s="6" t="s">
        <v>6790</v>
      </c>
      <c r="D1279" s="6" t="s">
        <v>2633</v>
      </c>
      <c r="E1279" s="6" t="s">
        <v>2634</v>
      </c>
      <c r="F1279" s="6" t="s">
        <v>5963</v>
      </c>
      <c r="G1279" s="6"/>
      <c r="H1279" s="6" t="s">
        <v>54</v>
      </c>
      <c r="I1279" s="6"/>
      <c r="J1279" s="6"/>
      <c r="K1279" s="6"/>
      <c r="L1279" s="6" t="s">
        <v>2635</v>
      </c>
      <c r="M1279" s="6"/>
      <c r="N1279" s="6" t="s">
        <v>2636</v>
      </c>
      <c r="O1279" s="6" t="str">
        <f>HYPERLINK("https://ceds.ed.gov/cedselementdetails.aspx?termid=6311")</f>
        <v>https://ceds.ed.gov/cedselementdetails.aspx?termid=6311</v>
      </c>
      <c r="P1279" s="6" t="str">
        <f>HYPERLINK("https://ceds.ed.gov/elementComment.aspx?elementName=Family and Consumer Sciences Course Indicator &amp;elementID=6311", "Click here to submit comment")</f>
        <v>Click here to submit comment</v>
      </c>
    </row>
    <row r="1280" spans="1:16" ht="60">
      <c r="A1280" s="6" t="s">
        <v>6788</v>
      </c>
      <c r="B1280" s="6" t="s">
        <v>6824</v>
      </c>
      <c r="C1280" s="6" t="s">
        <v>6790</v>
      </c>
      <c r="D1280" s="6" t="s">
        <v>4197</v>
      </c>
      <c r="E1280" s="6" t="s">
        <v>4198</v>
      </c>
      <c r="F1280" s="6" t="s">
        <v>5963</v>
      </c>
      <c r="G1280" s="6"/>
      <c r="H1280" s="6" t="s">
        <v>54</v>
      </c>
      <c r="I1280" s="6"/>
      <c r="J1280" s="6"/>
      <c r="K1280" s="6"/>
      <c r="L1280" s="6" t="s">
        <v>4199</v>
      </c>
      <c r="M1280" s="6" t="s">
        <v>4200</v>
      </c>
      <c r="N1280" s="6" t="s">
        <v>4201</v>
      </c>
      <c r="O1280" s="6" t="str">
        <f>HYPERLINK("https://ceds.ed.gov/cedselementdetails.aspx?termid=6382")</f>
        <v>https://ceds.ed.gov/cedselementdetails.aspx?termid=6382</v>
      </c>
      <c r="P1280" s="6" t="str">
        <f>HYPERLINK("https://ceds.ed.gov/elementComment.aspx?elementName=National Collegiate Athletic Association Eligibility &amp;elementID=6382", "Click here to submit comment")</f>
        <v>Click here to submit comment</v>
      </c>
    </row>
    <row r="1281" spans="1:16" ht="135">
      <c r="A1281" s="6" t="s">
        <v>6788</v>
      </c>
      <c r="B1281" s="6" t="s">
        <v>6824</v>
      </c>
      <c r="C1281" s="6" t="s">
        <v>6825</v>
      </c>
      <c r="D1281" s="6" t="s">
        <v>1915</v>
      </c>
      <c r="E1281" s="6" t="s">
        <v>1916</v>
      </c>
      <c r="F1281" s="6" t="s">
        <v>13</v>
      </c>
      <c r="G1281" s="6" t="s">
        <v>6116</v>
      </c>
      <c r="H1281" s="6" t="s">
        <v>66</v>
      </c>
      <c r="I1281" s="6" t="s">
        <v>1917</v>
      </c>
      <c r="J1281" s="6" t="s">
        <v>1918</v>
      </c>
      <c r="K1281" s="6"/>
      <c r="L1281" s="6" t="s">
        <v>1919</v>
      </c>
      <c r="M1281" s="6"/>
      <c r="N1281" s="6" t="s">
        <v>1920</v>
      </c>
      <c r="O1281" s="6" t="str">
        <f>HYPERLINK("https://ceds.ed.gov/cedselementdetails.aspx?termid=5055")</f>
        <v>https://ceds.ed.gov/cedselementdetails.aspx?termid=5055</v>
      </c>
      <c r="P1281" s="6" t="str">
        <f>HYPERLINK("https://ceds.ed.gov/elementComment.aspx?elementName=Course Identifier &amp;elementID=5055", "Click here to submit comment")</f>
        <v>Click here to submit comment</v>
      </c>
    </row>
    <row r="1282" spans="1:16" ht="285">
      <c r="A1282" s="6" t="s">
        <v>6788</v>
      </c>
      <c r="B1282" s="6" t="s">
        <v>6824</v>
      </c>
      <c r="C1282" s="6" t="s">
        <v>6825</v>
      </c>
      <c r="D1282" s="6" t="s">
        <v>1868</v>
      </c>
      <c r="E1282" s="6" t="s">
        <v>1869</v>
      </c>
      <c r="F1282" s="7" t="s">
        <v>6435</v>
      </c>
      <c r="G1282" s="6" t="s">
        <v>6078</v>
      </c>
      <c r="H1282" s="6"/>
      <c r="I1282" s="6"/>
      <c r="J1282" s="6"/>
      <c r="K1282" s="6"/>
      <c r="L1282" s="6" t="s">
        <v>1870</v>
      </c>
      <c r="M1282" s="6"/>
      <c r="N1282" s="6" t="s">
        <v>1871</v>
      </c>
      <c r="O1282" s="6" t="str">
        <f>HYPERLINK("https://ceds.ed.gov/cedselementdetails.aspx?termid=5056")</f>
        <v>https://ceds.ed.gov/cedselementdetails.aspx?termid=5056</v>
      </c>
      <c r="P1282" s="6" t="str">
        <f>HYPERLINK("https://ceds.ed.gov/elementComment.aspx?elementName=Course Code System &amp;elementID=5056", "Click here to submit comment")</f>
        <v>Click here to submit comment</v>
      </c>
    </row>
    <row r="1283" spans="1:16" ht="225">
      <c r="A1283" s="6" t="s">
        <v>6788</v>
      </c>
      <c r="B1283" s="6" t="s">
        <v>6824</v>
      </c>
      <c r="C1283" s="6" t="s">
        <v>6825</v>
      </c>
      <c r="D1283" s="6" t="s">
        <v>2034</v>
      </c>
      <c r="E1283" s="6" t="s">
        <v>2035</v>
      </c>
      <c r="F1283" s="6" t="s">
        <v>13</v>
      </c>
      <c r="G1283" s="6" t="s">
        <v>6078</v>
      </c>
      <c r="H1283" s="6"/>
      <c r="I1283" s="6" t="s">
        <v>106</v>
      </c>
      <c r="J1283" s="6"/>
      <c r="K1283" s="6"/>
      <c r="L1283" s="6" t="s">
        <v>2036</v>
      </c>
      <c r="M1283" s="6"/>
      <c r="N1283" s="6" t="s">
        <v>2037</v>
      </c>
      <c r="O1283" s="6" t="str">
        <f>HYPERLINK("https://ceds.ed.gov/cedselementdetails.aspx?termid=5067")</f>
        <v>https://ceds.ed.gov/cedselementdetails.aspx?termid=5067</v>
      </c>
      <c r="P1283" s="6" t="str">
        <f>HYPERLINK("https://ceds.ed.gov/elementComment.aspx?elementName=Course Title &amp;elementID=5067", "Click here to submit comment")</f>
        <v>Click here to submit comment</v>
      </c>
    </row>
    <row r="1284" spans="1:16" ht="120">
      <c r="A1284" s="6" t="s">
        <v>6788</v>
      </c>
      <c r="B1284" s="6" t="s">
        <v>6824</v>
      </c>
      <c r="C1284" s="6" t="s">
        <v>6825</v>
      </c>
      <c r="D1284" s="6" t="s">
        <v>5214</v>
      </c>
      <c r="E1284" s="6" t="s">
        <v>5215</v>
      </c>
      <c r="F1284" s="6" t="s">
        <v>13</v>
      </c>
      <c r="G1284" s="6" t="s">
        <v>6078</v>
      </c>
      <c r="H1284" s="6" t="s">
        <v>66</v>
      </c>
      <c r="I1284" s="6" t="s">
        <v>2031</v>
      </c>
      <c r="J1284" s="6" t="s">
        <v>5216</v>
      </c>
      <c r="K1284" s="6" t="s">
        <v>5217</v>
      </c>
      <c r="L1284" s="6" t="s">
        <v>5218</v>
      </c>
      <c r="M1284" s="6" t="s">
        <v>5219</v>
      </c>
      <c r="N1284" s="6" t="s">
        <v>5220</v>
      </c>
      <c r="O1284" s="6" t="str">
        <f>HYPERLINK("https://ceds.ed.gov/cedselementdetails.aspx?termid=5250")</f>
        <v>https://ceds.ed.gov/cedselementdetails.aspx?termid=5250</v>
      </c>
      <c r="P1284" s="6" t="str">
        <f>HYPERLINK("https://ceds.ed.gov/elementComment.aspx?elementName=School Codes for the Exchange of Data Sequence of Course &amp;elementID=5250", "Click here to submit comment")</f>
        <v>Click here to submit comment</v>
      </c>
    </row>
    <row r="1285" spans="1:16" ht="409.5">
      <c r="A1285" s="6" t="s">
        <v>6788</v>
      </c>
      <c r="B1285" s="6" t="s">
        <v>6824</v>
      </c>
      <c r="C1285" s="6" t="s">
        <v>6825</v>
      </c>
      <c r="D1285" s="6" t="s">
        <v>1938</v>
      </c>
      <c r="E1285" s="6" t="s">
        <v>1939</v>
      </c>
      <c r="F1285" s="7" t="s">
        <v>6443</v>
      </c>
      <c r="G1285" s="6" t="s">
        <v>6116</v>
      </c>
      <c r="H1285" s="6"/>
      <c r="I1285" s="6"/>
      <c r="J1285" s="6"/>
      <c r="K1285" s="6"/>
      <c r="L1285" s="6" t="s">
        <v>1940</v>
      </c>
      <c r="M1285" s="6"/>
      <c r="N1285" s="6" t="s">
        <v>1941</v>
      </c>
      <c r="O1285" s="6" t="str">
        <f>HYPERLINK("https://ceds.ed.gov/cedselementdetails.aspx?termid=5061")</f>
        <v>https://ceds.ed.gov/cedselementdetails.aspx?termid=5061</v>
      </c>
      <c r="P1285" s="6" t="str">
        <f>HYPERLINK("https://ceds.ed.gov/elementComment.aspx?elementName=Course Level Characteristic &amp;elementID=5061", "Click here to submit comment")</f>
        <v>Click here to submit comment</v>
      </c>
    </row>
    <row r="1286" spans="1:16" ht="409.5">
      <c r="A1286" s="6" t="s">
        <v>6788</v>
      </c>
      <c r="B1286" s="6" t="s">
        <v>6824</v>
      </c>
      <c r="C1286" s="6" t="s">
        <v>6825</v>
      </c>
      <c r="D1286" s="6" t="s">
        <v>2058</v>
      </c>
      <c r="E1286" s="6" t="s">
        <v>2059</v>
      </c>
      <c r="F1286" s="7" t="s">
        <v>6451</v>
      </c>
      <c r="G1286" s="6" t="s">
        <v>5968</v>
      </c>
      <c r="H1286" s="6"/>
      <c r="I1286" s="6"/>
      <c r="J1286" s="6"/>
      <c r="K1286" s="6"/>
      <c r="L1286" s="6" t="s">
        <v>2060</v>
      </c>
      <c r="M1286" s="6"/>
      <c r="N1286" s="6" t="s">
        <v>2061</v>
      </c>
      <c r="O1286" s="6" t="str">
        <f>HYPERLINK("https://ceds.ed.gov/cedselementdetails.aspx?termid=5072")</f>
        <v>https://ceds.ed.gov/cedselementdetails.aspx?termid=5072</v>
      </c>
      <c r="P1286" s="6" t="str">
        <f>HYPERLINK("https://ceds.ed.gov/elementComment.aspx?elementName=Credit Type Earned &amp;elementID=5072", "Click here to submit comment")</f>
        <v>Click here to submit comment</v>
      </c>
    </row>
    <row r="1287" spans="1:16" ht="120">
      <c r="A1287" s="6" t="s">
        <v>6788</v>
      </c>
      <c r="B1287" s="6" t="s">
        <v>6824</v>
      </c>
      <c r="C1287" s="6" t="s">
        <v>6825</v>
      </c>
      <c r="D1287" s="6" t="s">
        <v>2941</v>
      </c>
      <c r="E1287" s="6" t="s">
        <v>2942</v>
      </c>
      <c r="F1287" s="6" t="s">
        <v>5963</v>
      </c>
      <c r="G1287" s="6" t="s">
        <v>6078</v>
      </c>
      <c r="H1287" s="6"/>
      <c r="I1287" s="6"/>
      <c r="J1287" s="6"/>
      <c r="K1287" s="6"/>
      <c r="L1287" s="6" t="s">
        <v>2943</v>
      </c>
      <c r="M1287" s="6"/>
      <c r="N1287" s="6" t="s">
        <v>2944</v>
      </c>
      <c r="O1287" s="6" t="str">
        <f>HYPERLINK("https://ceds.ed.gov/cedselementdetails.aspx?termid=5137")</f>
        <v>https://ceds.ed.gov/cedselementdetails.aspx?termid=5137</v>
      </c>
      <c r="P1287" s="6" t="str">
        <f>HYPERLINK("https://ceds.ed.gov/elementComment.aspx?elementName=High School Course Requirement &amp;elementID=5137", "Click here to submit comment")</f>
        <v>Click here to submit comment</v>
      </c>
    </row>
    <row r="1288" spans="1:16" ht="150">
      <c r="A1288" s="6" t="s">
        <v>6788</v>
      </c>
      <c r="B1288" s="6" t="s">
        <v>6824</v>
      </c>
      <c r="C1288" s="6" t="s">
        <v>6825</v>
      </c>
      <c r="D1288" s="6" t="s">
        <v>1459</v>
      </c>
      <c r="E1288" s="6" t="s">
        <v>1460</v>
      </c>
      <c r="F1288" s="6" t="s">
        <v>13</v>
      </c>
      <c r="G1288" s="6" t="s">
        <v>6078</v>
      </c>
      <c r="H1288" s="6"/>
      <c r="I1288" s="6" t="s">
        <v>1461</v>
      </c>
      <c r="J1288" s="6"/>
      <c r="K1288" s="6"/>
      <c r="L1288" s="6" t="s">
        <v>1462</v>
      </c>
      <c r="M1288" s="6"/>
      <c r="N1288" s="6" t="s">
        <v>1463</v>
      </c>
      <c r="O1288" s="6" t="str">
        <f>HYPERLINK("https://ceds.ed.gov/cedselementdetails.aspx?termid=5030")</f>
        <v>https://ceds.ed.gov/cedselementdetails.aspx?termid=5030</v>
      </c>
      <c r="P1288" s="6" t="str">
        <f>HYPERLINK("https://ceds.ed.gov/elementComment.aspx?elementName=Available Carnegie Unit Credit &amp;elementID=5030", "Click here to submit comment")</f>
        <v>Click here to submit comment</v>
      </c>
    </row>
    <row r="1289" spans="1:16" ht="120">
      <c r="A1289" s="6" t="s">
        <v>6788</v>
      </c>
      <c r="B1289" s="6" t="s">
        <v>6824</v>
      </c>
      <c r="C1289" s="6" t="s">
        <v>6825</v>
      </c>
      <c r="D1289" s="6" t="s">
        <v>1906</v>
      </c>
      <c r="E1289" s="6" t="s">
        <v>1907</v>
      </c>
      <c r="F1289" s="7" t="s">
        <v>6439</v>
      </c>
      <c r="G1289" s="6" t="s">
        <v>6078</v>
      </c>
      <c r="H1289" s="6" t="s">
        <v>66</v>
      </c>
      <c r="I1289" s="6"/>
      <c r="J1289" s="6" t="s">
        <v>1820</v>
      </c>
      <c r="K1289" s="6"/>
      <c r="L1289" s="6" t="s">
        <v>1908</v>
      </c>
      <c r="M1289" s="6" t="s">
        <v>1909</v>
      </c>
      <c r="N1289" s="6" t="s">
        <v>1910</v>
      </c>
      <c r="O1289" s="6" t="str">
        <f>HYPERLINK("https://ceds.ed.gov/cedselementdetails.aspx?termid=5060")</f>
        <v>https://ceds.ed.gov/cedselementdetails.aspx?termid=5060</v>
      </c>
      <c r="P1289" s="6" t="str">
        <f>HYPERLINK("https://ceds.ed.gov/elementComment.aspx?elementName=Course Grade Point Average Applicability &amp;elementID=5060", "Click here to submit comment")</f>
        <v>Click here to submit comment</v>
      </c>
    </row>
    <row r="1290" spans="1:16" ht="45">
      <c r="A1290" s="6" t="s">
        <v>6788</v>
      </c>
      <c r="B1290" s="6" t="s">
        <v>6824</v>
      </c>
      <c r="C1290" s="6" t="s">
        <v>6825</v>
      </c>
      <c r="D1290" s="6" t="s">
        <v>5021</v>
      </c>
      <c r="E1290" s="6" t="s">
        <v>5022</v>
      </c>
      <c r="F1290" s="6" t="s">
        <v>13</v>
      </c>
      <c r="G1290" s="6"/>
      <c r="H1290" s="6"/>
      <c r="I1290" s="6" t="s">
        <v>106</v>
      </c>
      <c r="J1290" s="6"/>
      <c r="K1290" s="6"/>
      <c r="L1290" s="6" t="s">
        <v>5023</v>
      </c>
      <c r="M1290" s="6"/>
      <c r="N1290" s="6" t="s">
        <v>5024</v>
      </c>
      <c r="O1290" s="6" t="str">
        <f>HYPERLINK("https://ceds.ed.gov/cedselementdetails.aspx?termid=5231")</f>
        <v>https://ceds.ed.gov/cedselementdetails.aspx?termid=5231</v>
      </c>
      <c r="P1290" s="6" t="str">
        <f>HYPERLINK("https://ceds.ed.gov/elementComment.aspx?elementName=Related Learning Standards &amp;elementID=5231", "Click here to submit comment")</f>
        <v>Click here to submit comment</v>
      </c>
    </row>
    <row r="1291" spans="1:16" ht="409.5">
      <c r="A1291" s="6" t="s">
        <v>6788</v>
      </c>
      <c r="B1291" s="6" t="s">
        <v>6824</v>
      </c>
      <c r="C1291" s="6" t="s">
        <v>6825</v>
      </c>
      <c r="D1291" s="6" t="s">
        <v>1966</v>
      </c>
      <c r="E1291" s="6" t="s">
        <v>1967</v>
      </c>
      <c r="F1291" s="7" t="s">
        <v>6398</v>
      </c>
      <c r="G1291" s="6" t="s">
        <v>6121</v>
      </c>
      <c r="H1291" s="6" t="s">
        <v>66</v>
      </c>
      <c r="I1291" s="6"/>
      <c r="J1291" s="6" t="s">
        <v>1968</v>
      </c>
      <c r="K1291" s="6"/>
      <c r="L1291" s="6" t="s">
        <v>1969</v>
      </c>
      <c r="M1291" s="6"/>
      <c r="N1291" s="6" t="s">
        <v>1970</v>
      </c>
      <c r="O1291" s="6" t="str">
        <f>HYPERLINK("https://ceds.ed.gov/cedselementdetails.aspx?termid=5027")</f>
        <v>https://ceds.ed.gov/cedselementdetails.aspx?termid=5027</v>
      </c>
      <c r="P1291" s="6" t="str">
        <f>HYPERLINK("https://ceds.ed.gov/elementComment.aspx?elementName=Course Section Assessment Reporting Method &amp;elementID=5027", "Click here to submit comment")</f>
        <v>Click here to submit comment</v>
      </c>
    </row>
    <row r="1292" spans="1:16" ht="135">
      <c r="A1292" s="6" t="s">
        <v>6788</v>
      </c>
      <c r="B1292" s="6" t="s">
        <v>6824</v>
      </c>
      <c r="C1292" s="6" t="s">
        <v>6805</v>
      </c>
      <c r="D1292" s="6" t="s">
        <v>5614</v>
      </c>
      <c r="E1292" s="6" t="s">
        <v>5615</v>
      </c>
      <c r="F1292" s="6" t="s">
        <v>13</v>
      </c>
      <c r="G1292" s="6" t="s">
        <v>6330</v>
      </c>
      <c r="H1292" s="6"/>
      <c r="I1292" s="6" t="s">
        <v>100</v>
      </c>
      <c r="J1292" s="6"/>
      <c r="K1292" s="6"/>
      <c r="L1292" s="6" t="s">
        <v>5616</v>
      </c>
      <c r="M1292" s="6"/>
      <c r="N1292" s="6" t="s">
        <v>5617</v>
      </c>
      <c r="O1292" s="6" t="str">
        <f>HYPERLINK("https://ceds.ed.gov/cedselementdetails.aspx?termid=5157")</f>
        <v>https://ceds.ed.gov/cedselementdetails.aspx?termid=5157</v>
      </c>
      <c r="P1292" s="6" t="str">
        <f>HYPERLINK("https://ceds.ed.gov/elementComment.aspx?elementName=Student Identifier &amp;elementID=5157", "Click here to submit comment")</f>
        <v>Click here to submit comment</v>
      </c>
    </row>
    <row r="1293" spans="1:16" ht="285">
      <c r="A1293" s="6" t="s">
        <v>6788</v>
      </c>
      <c r="B1293" s="6" t="s">
        <v>6824</v>
      </c>
      <c r="C1293" s="6" t="s">
        <v>6805</v>
      </c>
      <c r="D1293" s="6" t="s">
        <v>5610</v>
      </c>
      <c r="E1293" s="6" t="s">
        <v>5611</v>
      </c>
      <c r="F1293" s="7" t="s">
        <v>6665</v>
      </c>
      <c r="G1293" s="6" t="s">
        <v>6330</v>
      </c>
      <c r="H1293" s="6"/>
      <c r="I1293" s="6"/>
      <c r="J1293" s="6"/>
      <c r="K1293" s="6"/>
      <c r="L1293" s="6" t="s">
        <v>5612</v>
      </c>
      <c r="M1293" s="6"/>
      <c r="N1293" s="6" t="s">
        <v>5613</v>
      </c>
      <c r="O1293" s="6" t="str">
        <f>HYPERLINK("https://ceds.ed.gov/cedselementdetails.aspx?termid=5163")</f>
        <v>https://ceds.ed.gov/cedselementdetails.aspx?termid=5163</v>
      </c>
      <c r="P1293" s="6" t="str">
        <f>HYPERLINK("https://ceds.ed.gov/elementComment.aspx?elementName=Student Identification System &amp;elementID=5163", "Click here to submit comment")</f>
        <v>Click here to submit comment</v>
      </c>
    </row>
    <row r="1294" spans="1:16" ht="165">
      <c r="A1294" s="6" t="s">
        <v>6788</v>
      </c>
      <c r="B1294" s="6" t="s">
        <v>6824</v>
      </c>
      <c r="C1294" s="6" t="s">
        <v>6805</v>
      </c>
      <c r="D1294" s="6" t="s">
        <v>2554</v>
      </c>
      <c r="E1294" s="6" t="s">
        <v>2555</v>
      </c>
      <c r="F1294" s="6" t="s">
        <v>13</v>
      </c>
      <c r="G1294" s="6" t="s">
        <v>6159</v>
      </c>
      <c r="H1294" s="6"/>
      <c r="I1294" s="6" t="s">
        <v>73</v>
      </c>
      <c r="J1294" s="6"/>
      <c r="K1294" s="6"/>
      <c r="L1294" s="6" t="s">
        <v>2556</v>
      </c>
      <c r="M1294" s="6"/>
      <c r="N1294" s="6" t="s">
        <v>2557</v>
      </c>
      <c r="O1294" s="6" t="str">
        <f>HYPERLINK("https://ceds.ed.gov/cedselementdetails.aspx?termid=5097")</f>
        <v>https://ceds.ed.gov/cedselementdetails.aspx?termid=5097</v>
      </c>
      <c r="P1294" s="6" t="str">
        <f>HYPERLINK("https://ceds.ed.gov/elementComment.aspx?elementName=Enrollment Entry Date &amp;elementID=5097", "Click here to submit comment")</f>
        <v>Click here to submit comment</v>
      </c>
    </row>
    <row r="1295" spans="1:16" ht="60">
      <c r="A1295" s="6" t="s">
        <v>6788</v>
      </c>
      <c r="B1295" s="6" t="s">
        <v>6824</v>
      </c>
      <c r="C1295" s="6" t="s">
        <v>6805</v>
      </c>
      <c r="D1295" s="6" t="s">
        <v>1988</v>
      </c>
      <c r="E1295" s="6" t="s">
        <v>1989</v>
      </c>
      <c r="F1295" s="7" t="s">
        <v>6446</v>
      </c>
      <c r="G1295" s="6" t="s">
        <v>1990</v>
      </c>
      <c r="H1295" s="6" t="s">
        <v>66</v>
      </c>
      <c r="I1295" s="6"/>
      <c r="J1295" s="6" t="s">
        <v>1991</v>
      </c>
      <c r="K1295" s="6"/>
      <c r="L1295" s="6" t="s">
        <v>1992</v>
      </c>
      <c r="M1295" s="6"/>
      <c r="N1295" s="6" t="s">
        <v>1993</v>
      </c>
      <c r="O1295" s="6" t="str">
        <f>HYPERLINK("https://ceds.ed.gov/cedselementdetails.aspx?termid=5652")</f>
        <v>https://ceds.ed.gov/cedselementdetails.aspx?termid=5652</v>
      </c>
      <c r="P1295" s="6" t="str">
        <f>HYPERLINK("https://ceds.ed.gov/elementComment.aspx?elementName=Course Section Entry Type &amp;elementID=5652", "Click here to submit comment")</f>
        <v>Click here to submit comment</v>
      </c>
    </row>
    <row r="1296" spans="1:16" ht="285">
      <c r="A1296" s="6" t="s">
        <v>6788</v>
      </c>
      <c r="B1296" s="6" t="s">
        <v>6824</v>
      </c>
      <c r="C1296" s="6" t="s">
        <v>6805</v>
      </c>
      <c r="D1296" s="6" t="s">
        <v>1994</v>
      </c>
      <c r="E1296" s="6" t="s">
        <v>1995</v>
      </c>
      <c r="F1296" s="7" t="s">
        <v>6447</v>
      </c>
      <c r="G1296" s="6" t="s">
        <v>1990</v>
      </c>
      <c r="H1296" s="6" t="s">
        <v>66</v>
      </c>
      <c r="I1296" s="6"/>
      <c r="J1296" s="6" t="s">
        <v>1996</v>
      </c>
      <c r="K1296" s="6"/>
      <c r="L1296" s="6" t="s">
        <v>1997</v>
      </c>
      <c r="M1296" s="6"/>
      <c r="N1296" s="6" t="s">
        <v>1998</v>
      </c>
      <c r="O1296" s="6" t="str">
        <f>HYPERLINK("https://ceds.ed.gov/cedselementdetails.aspx?termid=5654")</f>
        <v>https://ceds.ed.gov/cedselementdetails.aspx?termid=5654</v>
      </c>
      <c r="P1296" s="6" t="str">
        <f>HYPERLINK("https://ceds.ed.gov/elementComment.aspx?elementName=Course Section Exit Type &amp;elementID=5654", "Click here to submit comment")</f>
        <v>Click here to submit comment</v>
      </c>
    </row>
    <row r="1297" spans="1:16" ht="45">
      <c r="A1297" s="6" t="s">
        <v>6788</v>
      </c>
      <c r="B1297" s="6" t="s">
        <v>6824</v>
      </c>
      <c r="C1297" s="6" t="s">
        <v>6805</v>
      </c>
      <c r="D1297" s="6" t="s">
        <v>1999</v>
      </c>
      <c r="E1297" s="6" t="s">
        <v>2000</v>
      </c>
      <c r="F1297" s="6" t="s">
        <v>13</v>
      </c>
      <c r="G1297" s="6" t="s">
        <v>1990</v>
      </c>
      <c r="H1297" s="6" t="s">
        <v>66</v>
      </c>
      <c r="I1297" s="6" t="s">
        <v>73</v>
      </c>
      <c r="J1297" s="6" t="s">
        <v>2001</v>
      </c>
      <c r="K1297" s="6"/>
      <c r="L1297" s="6" t="s">
        <v>2002</v>
      </c>
      <c r="M1297" s="6"/>
      <c r="N1297" s="6" t="s">
        <v>2003</v>
      </c>
      <c r="O1297" s="6" t="str">
        <f>HYPERLINK("https://ceds.ed.gov/cedselementdetails.aspx?termid=5653")</f>
        <v>https://ceds.ed.gov/cedselementdetails.aspx?termid=5653</v>
      </c>
      <c r="P1297" s="6" t="str">
        <f>HYPERLINK("https://ceds.ed.gov/elementComment.aspx?elementName=Course Section Exit Withdrawal Date &amp;elementID=5653", "Click here to submit comment")</f>
        <v>Click here to submit comment</v>
      </c>
    </row>
    <row r="1298" spans="1:16" ht="60">
      <c r="A1298" s="6" t="s">
        <v>6788</v>
      </c>
      <c r="B1298" s="6" t="s">
        <v>6824</v>
      </c>
      <c r="C1298" s="6" t="s">
        <v>6805</v>
      </c>
      <c r="D1298" s="6" t="s">
        <v>2586</v>
      </c>
      <c r="E1298" s="6" t="s">
        <v>2587</v>
      </c>
      <c r="F1298" s="6" t="s">
        <v>6163</v>
      </c>
      <c r="G1298" s="6" t="s">
        <v>1990</v>
      </c>
      <c r="H1298" s="6"/>
      <c r="I1298" s="6"/>
      <c r="J1298" s="6"/>
      <c r="K1298" s="6"/>
      <c r="L1298" s="6" t="s">
        <v>2588</v>
      </c>
      <c r="M1298" s="6"/>
      <c r="N1298" s="6" t="s">
        <v>2589</v>
      </c>
      <c r="O1298" s="6" t="str">
        <f>HYPERLINK("https://ceds.ed.gov/cedselementdetails.aspx?termid=5108")</f>
        <v>https://ceds.ed.gov/cedselementdetails.aspx?termid=5108</v>
      </c>
      <c r="P1298" s="6" t="str">
        <f>HYPERLINK("https://ceds.ed.gov/elementComment.aspx?elementName=Exit or Withdrawal Status &amp;elementID=5108", "Click here to submit comment")</f>
        <v>Click here to submit comment</v>
      </c>
    </row>
    <row r="1299" spans="1:16" ht="345">
      <c r="A1299" s="6" t="s">
        <v>6788</v>
      </c>
      <c r="B1299" s="6" t="s">
        <v>6824</v>
      </c>
      <c r="C1299" s="6" t="s">
        <v>6805</v>
      </c>
      <c r="D1299" s="6" t="s">
        <v>2851</v>
      </c>
      <c r="E1299" s="6" t="s">
        <v>2852</v>
      </c>
      <c r="F1299" s="7" t="s">
        <v>6499</v>
      </c>
      <c r="G1299" s="6" t="s">
        <v>5968</v>
      </c>
      <c r="H1299" s="6"/>
      <c r="I1299" s="6"/>
      <c r="J1299" s="6"/>
      <c r="K1299" s="6"/>
      <c r="L1299" s="6" t="s">
        <v>2853</v>
      </c>
      <c r="M1299" s="6"/>
      <c r="N1299" s="6" t="s">
        <v>2854</v>
      </c>
      <c r="O1299" s="6" t="str">
        <f>HYPERLINK("https://ceds.ed.gov/cedselementdetails.aspx?termid=5125")</f>
        <v>https://ceds.ed.gov/cedselementdetails.aspx?termid=5125</v>
      </c>
      <c r="P1299" s="6" t="str">
        <f>HYPERLINK("https://ceds.ed.gov/elementComment.aspx?elementName=Grade Level When Course Taken &amp;elementID=5125", "Click here to submit comment")</f>
        <v>Click here to submit comment</v>
      </c>
    </row>
    <row r="1300" spans="1:16" ht="120">
      <c r="A1300" s="6" t="s">
        <v>6788</v>
      </c>
      <c r="B1300" s="6" t="s">
        <v>6824</v>
      </c>
      <c r="C1300" s="6" t="s">
        <v>6805</v>
      </c>
      <c r="D1300" s="6" t="s">
        <v>1978</v>
      </c>
      <c r="E1300" s="6" t="s">
        <v>1979</v>
      </c>
      <c r="F1300" s="6" t="s">
        <v>13</v>
      </c>
      <c r="G1300" s="6"/>
      <c r="H1300" s="6"/>
      <c r="I1300" s="6" t="s">
        <v>73</v>
      </c>
      <c r="J1300" s="6" t="s">
        <v>1980</v>
      </c>
      <c r="K1300" s="6" t="s">
        <v>1975</v>
      </c>
      <c r="L1300" s="6" t="s">
        <v>1981</v>
      </c>
      <c r="M1300" s="6"/>
      <c r="N1300" s="6" t="s">
        <v>1982</v>
      </c>
      <c r="O1300" s="6" t="str">
        <f>HYPERLINK("https://ceds.ed.gov/cedselementdetails.aspx?termid=5975")</f>
        <v>https://ceds.ed.gov/cedselementdetails.aspx?termid=5975</v>
      </c>
      <c r="P1300" s="6" t="str">
        <f>HYPERLINK("https://ceds.ed.gov/elementComment.aspx?elementName=Course Section Enrollment Status Start Date &amp;elementID=5975", "Click here to submit comment")</f>
        <v>Click here to submit comment</v>
      </c>
    </row>
    <row r="1301" spans="1:16" ht="120">
      <c r="A1301" s="6" t="s">
        <v>6788</v>
      </c>
      <c r="B1301" s="6" t="s">
        <v>6824</v>
      </c>
      <c r="C1301" s="6" t="s">
        <v>6805</v>
      </c>
      <c r="D1301" s="6" t="s">
        <v>1971</v>
      </c>
      <c r="E1301" s="6" t="s">
        <v>1972</v>
      </c>
      <c r="F1301" s="6" t="s">
        <v>13</v>
      </c>
      <c r="G1301" s="6"/>
      <c r="H1301" s="6" t="s">
        <v>66</v>
      </c>
      <c r="I1301" s="6" t="s">
        <v>73</v>
      </c>
      <c r="J1301" s="6" t="s">
        <v>1974</v>
      </c>
      <c r="K1301" s="6" t="s">
        <v>1975</v>
      </c>
      <c r="L1301" s="6" t="s">
        <v>1976</v>
      </c>
      <c r="M1301" s="6"/>
      <c r="N1301" s="6" t="s">
        <v>1977</v>
      </c>
      <c r="O1301" s="6" t="str">
        <f>HYPERLINK("https://ceds.ed.gov/cedselementdetails.aspx?termid=5976")</f>
        <v>https://ceds.ed.gov/cedselementdetails.aspx?termid=5976</v>
      </c>
      <c r="P1301" s="6" t="str">
        <f>HYPERLINK("https://ceds.ed.gov/elementComment.aspx?elementName=Course Section Enrollment Status End Date &amp;elementID=5976", "Click here to submit comment")</f>
        <v>Click here to submit comment</v>
      </c>
    </row>
    <row r="1302" spans="1:16" ht="120">
      <c r="A1302" s="6" t="s">
        <v>6788</v>
      </c>
      <c r="B1302" s="6" t="s">
        <v>6824</v>
      </c>
      <c r="C1302" s="6" t="s">
        <v>6805</v>
      </c>
      <c r="D1302" s="6" t="s">
        <v>1983</v>
      </c>
      <c r="E1302" s="6" t="s">
        <v>1984</v>
      </c>
      <c r="F1302" s="6" t="s">
        <v>6122</v>
      </c>
      <c r="G1302" s="6"/>
      <c r="H1302" s="6" t="s">
        <v>66</v>
      </c>
      <c r="I1302" s="6"/>
      <c r="J1302" s="6" t="s">
        <v>1985</v>
      </c>
      <c r="K1302" s="6" t="s">
        <v>1975</v>
      </c>
      <c r="L1302" s="6" t="s">
        <v>1986</v>
      </c>
      <c r="M1302" s="6"/>
      <c r="N1302" s="6" t="s">
        <v>1987</v>
      </c>
      <c r="O1302" s="6" t="str">
        <f>HYPERLINK("https://ceds.ed.gov/cedselementdetails.aspx?termid=5977")</f>
        <v>https://ceds.ed.gov/cedselementdetails.aspx?termid=5977</v>
      </c>
      <c r="P1302" s="6" t="str">
        <f>HYPERLINK("https://ceds.ed.gov/elementComment.aspx?elementName=Course Section Enrollment Status Type &amp;elementID=5977", "Click here to submit comment")</f>
        <v>Click here to submit comment</v>
      </c>
    </row>
    <row r="1303" spans="1:16" ht="255">
      <c r="A1303" s="6" t="s">
        <v>6788</v>
      </c>
      <c r="B1303" s="6" t="s">
        <v>6824</v>
      </c>
      <c r="C1303" s="6" t="s">
        <v>6805</v>
      </c>
      <c r="D1303" s="6" t="s">
        <v>4269</v>
      </c>
      <c r="E1303" s="6" t="s">
        <v>4270</v>
      </c>
      <c r="F1303" s="6" t="s">
        <v>13</v>
      </c>
      <c r="G1303" s="6" t="s">
        <v>6263</v>
      </c>
      <c r="H1303" s="6"/>
      <c r="I1303" s="6" t="s">
        <v>1461</v>
      </c>
      <c r="J1303" s="6"/>
      <c r="K1303" s="6" t="s">
        <v>4271</v>
      </c>
      <c r="L1303" s="6" t="s">
        <v>4272</v>
      </c>
      <c r="M1303" s="6"/>
      <c r="N1303" s="6" t="s">
        <v>4273</v>
      </c>
      <c r="O1303" s="6" t="str">
        <f>HYPERLINK("https://ceds.ed.gov/cedselementdetails.aspx?termid=5202")</f>
        <v>https://ceds.ed.gov/cedselementdetails.aspx?termid=5202</v>
      </c>
      <c r="P1303" s="6" t="str">
        <f>HYPERLINK("https://ceds.ed.gov/elementComment.aspx?elementName=Number of Days in Attendance &amp;elementID=5202", "Click here to submit comment")</f>
        <v>Click here to submit comment</v>
      </c>
    </row>
    <row r="1304" spans="1:16" ht="120">
      <c r="A1304" s="6" t="s">
        <v>6788</v>
      </c>
      <c r="B1304" s="6" t="s">
        <v>6824</v>
      </c>
      <c r="C1304" s="6" t="s">
        <v>6805</v>
      </c>
      <c r="D1304" s="6" t="s">
        <v>4261</v>
      </c>
      <c r="E1304" s="6" t="s">
        <v>4262</v>
      </c>
      <c r="F1304" s="6" t="s">
        <v>13</v>
      </c>
      <c r="G1304" s="6" t="s">
        <v>6261</v>
      </c>
      <c r="H1304" s="6"/>
      <c r="I1304" s="6" t="s">
        <v>1461</v>
      </c>
      <c r="J1304" s="6"/>
      <c r="K1304" s="6"/>
      <c r="L1304" s="6" t="s">
        <v>4263</v>
      </c>
      <c r="M1304" s="6"/>
      <c r="N1304" s="6" t="s">
        <v>4264</v>
      </c>
      <c r="O1304" s="6" t="str">
        <f>HYPERLINK("https://ceds.ed.gov/cedselementdetails.aspx?termid=5201")</f>
        <v>https://ceds.ed.gov/cedselementdetails.aspx?termid=5201</v>
      </c>
      <c r="P1304" s="6" t="str">
        <f>HYPERLINK("https://ceds.ed.gov/elementComment.aspx?elementName=Number of Days Absent &amp;elementID=5201", "Click here to submit comment")</f>
        <v>Click here to submit comment</v>
      </c>
    </row>
    <row r="1305" spans="1:16" ht="90">
      <c r="A1305" s="6" t="s">
        <v>6788</v>
      </c>
      <c r="B1305" s="6" t="s">
        <v>6824</v>
      </c>
      <c r="C1305" s="6" t="s">
        <v>6805</v>
      </c>
      <c r="D1305" s="6" t="s">
        <v>4253</v>
      </c>
      <c r="E1305" s="6" t="s">
        <v>4254</v>
      </c>
      <c r="F1305" s="6" t="s">
        <v>13</v>
      </c>
      <c r="G1305" s="6" t="s">
        <v>5968</v>
      </c>
      <c r="H1305" s="6"/>
      <c r="I1305" s="6" t="s">
        <v>1461</v>
      </c>
      <c r="J1305" s="6"/>
      <c r="K1305" s="6"/>
      <c r="L1305" s="6" t="s">
        <v>4255</v>
      </c>
      <c r="M1305" s="6"/>
      <c r="N1305" s="6" t="s">
        <v>4256</v>
      </c>
      <c r="O1305" s="6" t="str">
        <f>HYPERLINK("https://ceds.ed.gov/cedselementdetails.aspx?termid=5199")</f>
        <v>https://ceds.ed.gov/cedselementdetails.aspx?termid=5199</v>
      </c>
      <c r="P1305" s="6" t="str">
        <f>HYPERLINK("https://ceds.ed.gov/elementComment.aspx?elementName=Number of Credits Attempted &amp;elementID=5199", "Click here to submit comment")</f>
        <v>Click here to submit comment</v>
      </c>
    </row>
    <row r="1306" spans="1:16" ht="120">
      <c r="A1306" s="6" t="s">
        <v>6788</v>
      </c>
      <c r="B1306" s="6" t="s">
        <v>6824</v>
      </c>
      <c r="C1306" s="6" t="s">
        <v>6805</v>
      </c>
      <c r="D1306" s="6" t="s">
        <v>4257</v>
      </c>
      <c r="E1306" s="6" t="s">
        <v>4258</v>
      </c>
      <c r="F1306" s="6" t="s">
        <v>13</v>
      </c>
      <c r="G1306" s="6" t="s">
        <v>6252</v>
      </c>
      <c r="H1306" s="6" t="s">
        <v>66</v>
      </c>
      <c r="I1306" s="6" t="s">
        <v>1461</v>
      </c>
      <c r="J1306" s="6" t="s">
        <v>1820</v>
      </c>
      <c r="K1306" s="6"/>
      <c r="L1306" s="6" t="s">
        <v>4259</v>
      </c>
      <c r="M1306" s="6"/>
      <c r="N1306" s="6" t="s">
        <v>4260</v>
      </c>
      <c r="O1306" s="6" t="str">
        <f>HYPERLINK("https://ceds.ed.gov/cedselementdetails.aspx?termid=5200")</f>
        <v>https://ceds.ed.gov/cedselementdetails.aspx?termid=5200</v>
      </c>
      <c r="P1306" s="6" t="str">
        <f>HYPERLINK("https://ceds.ed.gov/elementComment.aspx?elementName=Number of Credits Earned &amp;elementID=5200", "Click here to submit comment")</f>
        <v>Click here to submit comment</v>
      </c>
    </row>
    <row r="1307" spans="1:16" ht="165">
      <c r="A1307" s="6" t="s">
        <v>6788</v>
      </c>
      <c r="B1307" s="6" t="s">
        <v>6824</v>
      </c>
      <c r="C1307" s="6" t="s">
        <v>6805</v>
      </c>
      <c r="D1307" s="6" t="s">
        <v>5049</v>
      </c>
      <c r="E1307" s="6" t="s">
        <v>5050</v>
      </c>
      <c r="F1307" s="7" t="s">
        <v>6641</v>
      </c>
      <c r="G1307" s="6" t="s">
        <v>218</v>
      </c>
      <c r="H1307" s="6" t="s">
        <v>3</v>
      </c>
      <c r="I1307" s="6"/>
      <c r="J1307" s="6"/>
      <c r="K1307" s="6"/>
      <c r="L1307" s="6" t="s">
        <v>5051</v>
      </c>
      <c r="M1307" s="6"/>
      <c r="N1307" s="6" t="s">
        <v>5052</v>
      </c>
      <c r="O1307" s="6" t="str">
        <f>HYPERLINK("https://ceds.ed.gov/cedselementdetails.aspx?termid=5587")</f>
        <v>https://ceds.ed.gov/cedselementdetails.aspx?termid=5587</v>
      </c>
      <c r="P1307" s="6" t="str">
        <f>HYPERLINK("https://ceds.ed.gov/elementComment.aspx?elementName=Responsible District Type &amp;elementID=5587", "Click here to submit comment")</f>
        <v>Click here to submit comment</v>
      </c>
    </row>
    <row r="1308" spans="1:16" ht="165">
      <c r="A1308" s="6" t="s">
        <v>6788</v>
      </c>
      <c r="B1308" s="6" t="s">
        <v>6824</v>
      </c>
      <c r="C1308" s="6" t="s">
        <v>6805</v>
      </c>
      <c r="D1308" s="6" t="s">
        <v>5070</v>
      </c>
      <c r="E1308" s="6" t="s">
        <v>5071</v>
      </c>
      <c r="F1308" s="7" t="s">
        <v>6641</v>
      </c>
      <c r="G1308" s="6" t="s">
        <v>218</v>
      </c>
      <c r="H1308" s="6" t="s">
        <v>66</v>
      </c>
      <c r="I1308" s="6"/>
      <c r="J1308" s="6" t="s">
        <v>94</v>
      </c>
      <c r="K1308" s="6"/>
      <c r="L1308" s="6" t="s">
        <v>5072</v>
      </c>
      <c r="M1308" s="6"/>
      <c r="N1308" s="6" t="s">
        <v>5073</v>
      </c>
      <c r="O1308" s="6" t="str">
        <f>HYPERLINK("https://ceds.ed.gov/cedselementdetails.aspx?termid=5588")</f>
        <v>https://ceds.ed.gov/cedselementdetails.aspx?termid=5588</v>
      </c>
      <c r="P1308" s="6" t="str">
        <f>HYPERLINK("https://ceds.ed.gov/elementComment.aspx?elementName=Responsible School Type &amp;elementID=5588", "Click here to submit comment")</f>
        <v>Click here to submit comment</v>
      </c>
    </row>
    <row r="1309" spans="1:16" ht="90">
      <c r="A1309" s="6" t="s">
        <v>6788</v>
      </c>
      <c r="B1309" s="6" t="s">
        <v>6824</v>
      </c>
      <c r="C1309" s="6" t="s">
        <v>6826</v>
      </c>
      <c r="D1309" s="6" t="s">
        <v>4064</v>
      </c>
      <c r="E1309" s="6" t="s">
        <v>4065</v>
      </c>
      <c r="F1309" s="6" t="s">
        <v>13</v>
      </c>
      <c r="G1309" s="6" t="s">
        <v>5968</v>
      </c>
      <c r="H1309" s="6"/>
      <c r="I1309" s="6" t="s">
        <v>100</v>
      </c>
      <c r="J1309" s="6"/>
      <c r="K1309" s="6"/>
      <c r="L1309" s="6" t="s">
        <v>4067</v>
      </c>
      <c r="M1309" s="6"/>
      <c r="N1309" s="6" t="s">
        <v>4068</v>
      </c>
      <c r="O1309" s="6" t="str">
        <f>HYPERLINK("https://ceds.ed.gov/cedselementdetails.aspx?termid=5182")</f>
        <v>https://ceds.ed.gov/cedselementdetails.aspx?termid=5182</v>
      </c>
      <c r="P1309" s="6" t="str">
        <f>HYPERLINK("https://ceds.ed.gov/elementComment.aspx?elementName=Marking Period Name &amp;elementID=5182", "Click here to submit comment")</f>
        <v>Click here to submit comment</v>
      </c>
    </row>
    <row r="1310" spans="1:16" ht="45">
      <c r="A1310" s="6" t="s">
        <v>6788</v>
      </c>
      <c r="B1310" s="6" t="s">
        <v>6824</v>
      </c>
      <c r="C1310" s="6" t="s">
        <v>6826</v>
      </c>
      <c r="D1310" s="6" t="s">
        <v>5605</v>
      </c>
      <c r="E1310" s="6" t="s">
        <v>5606</v>
      </c>
      <c r="F1310" s="6" t="s">
        <v>5963</v>
      </c>
      <c r="G1310" s="6"/>
      <c r="H1310" s="6" t="s">
        <v>66</v>
      </c>
      <c r="I1310" s="6"/>
      <c r="J1310" s="6" t="s">
        <v>5607</v>
      </c>
      <c r="K1310" s="6"/>
      <c r="L1310" s="6" t="s">
        <v>5608</v>
      </c>
      <c r="M1310" s="6"/>
      <c r="N1310" s="6" t="s">
        <v>5609</v>
      </c>
      <c r="O1310" s="6" t="str">
        <f>HYPERLINK("https://ceds.ed.gov/cedselementdetails.aspx?termid=6191")</f>
        <v>https://ceds.ed.gov/cedselementdetails.aspx?termid=6191</v>
      </c>
      <c r="P1310" s="6" t="str">
        <f>HYPERLINK("https://ceds.ed.gov/elementComment.aspx?elementName=Student Course Section Mark Final Indicator &amp;elementID=6191", "Click here to submit comment")</f>
        <v>Click here to submit comment</v>
      </c>
    </row>
    <row r="1311" spans="1:16" ht="90">
      <c r="A1311" s="6" t="s">
        <v>6788</v>
      </c>
      <c r="B1311" s="6" t="s">
        <v>6824</v>
      </c>
      <c r="C1311" s="6" t="s">
        <v>6826</v>
      </c>
      <c r="D1311" s="6" t="s">
        <v>2842</v>
      </c>
      <c r="E1311" s="6" t="s">
        <v>2843</v>
      </c>
      <c r="F1311" s="6" t="s">
        <v>13</v>
      </c>
      <c r="G1311" s="6" t="s">
        <v>5968</v>
      </c>
      <c r="H1311" s="6"/>
      <c r="I1311" s="6" t="s">
        <v>2844</v>
      </c>
      <c r="J1311" s="6"/>
      <c r="K1311" s="6"/>
      <c r="L1311" s="6" t="s">
        <v>2845</v>
      </c>
      <c r="M1311" s="6"/>
      <c r="N1311" s="6" t="s">
        <v>2846</v>
      </c>
      <c r="O1311" s="6" t="str">
        <f>HYPERLINK("https://ceds.ed.gov/cedselementdetails.aspx?termid=5124")</f>
        <v>https://ceds.ed.gov/cedselementdetails.aspx?termid=5124</v>
      </c>
      <c r="P1311" s="6" t="str">
        <f>HYPERLINK("https://ceds.ed.gov/elementComment.aspx?elementName=Grade Earned &amp;elementID=5124", "Click here to submit comment")</f>
        <v>Click here to submit comment</v>
      </c>
    </row>
    <row r="1312" spans="1:16" ht="90">
      <c r="A1312" s="6" t="s">
        <v>6788</v>
      </c>
      <c r="B1312" s="6" t="s">
        <v>6824</v>
      </c>
      <c r="C1312" s="6" t="s">
        <v>6826</v>
      </c>
      <c r="D1312" s="6" t="s">
        <v>4083</v>
      </c>
      <c r="E1312" s="6" t="s">
        <v>4084</v>
      </c>
      <c r="F1312" s="6" t="s">
        <v>13</v>
      </c>
      <c r="G1312" s="6" t="s">
        <v>5968</v>
      </c>
      <c r="H1312" s="6"/>
      <c r="I1312" s="6" t="s">
        <v>4085</v>
      </c>
      <c r="J1312" s="6"/>
      <c r="K1312" s="6"/>
      <c r="L1312" s="6" t="s">
        <v>4086</v>
      </c>
      <c r="M1312" s="6"/>
      <c r="N1312" s="6" t="s">
        <v>4087</v>
      </c>
      <c r="O1312" s="6" t="str">
        <f>HYPERLINK("https://ceds.ed.gov/cedselementdetails.aspx?termid=5183")</f>
        <v>https://ceds.ed.gov/cedselementdetails.aspx?termid=5183</v>
      </c>
      <c r="P1312" s="6" t="str">
        <f>HYPERLINK("https://ceds.ed.gov/elementComment.aspx?elementName=Mid Term Mark &amp;elementID=5183", "Click here to submit comment")</f>
        <v>Click here to submit comment</v>
      </c>
    </row>
    <row r="1313" spans="1:16" ht="135">
      <c r="A1313" s="6" t="s">
        <v>6788</v>
      </c>
      <c r="B1313" s="6" t="s">
        <v>6824</v>
      </c>
      <c r="C1313" s="6" t="s">
        <v>6826</v>
      </c>
      <c r="D1313" s="6" t="s">
        <v>2886</v>
      </c>
      <c r="E1313" s="6" t="s">
        <v>2887</v>
      </c>
      <c r="F1313" s="6" t="s">
        <v>13</v>
      </c>
      <c r="G1313" s="6"/>
      <c r="H1313" s="6"/>
      <c r="I1313" s="6" t="s">
        <v>745</v>
      </c>
      <c r="J1313" s="6"/>
      <c r="K1313" s="6" t="s">
        <v>2888</v>
      </c>
      <c r="L1313" s="6" t="s">
        <v>2889</v>
      </c>
      <c r="M1313" s="6"/>
      <c r="N1313" s="6" t="s">
        <v>2890</v>
      </c>
      <c r="O1313" s="6" t="str">
        <f>HYPERLINK("https://ceds.ed.gov/cedselementdetails.aspx?termid=5609")</f>
        <v>https://ceds.ed.gov/cedselementdetails.aspx?termid=5609</v>
      </c>
      <c r="P1313" s="6" t="str">
        <f>HYPERLINK("https://ceds.ed.gov/elementComment.aspx?elementName=Grade Value Qualifier &amp;elementID=5609", "Click here to submit comment")</f>
        <v>Click here to submit comment</v>
      </c>
    </row>
    <row r="1314" spans="1:16" ht="135">
      <c r="A1314" s="6" t="s">
        <v>6788</v>
      </c>
      <c r="B1314" s="6" t="s">
        <v>6824</v>
      </c>
      <c r="C1314" s="6" t="s">
        <v>6827</v>
      </c>
      <c r="D1314" s="6" t="s">
        <v>5506</v>
      </c>
      <c r="E1314" s="6" t="s">
        <v>5507</v>
      </c>
      <c r="F1314" s="6" t="s">
        <v>13</v>
      </c>
      <c r="G1314" s="6" t="s">
        <v>6322</v>
      </c>
      <c r="H1314" s="6" t="s">
        <v>3</v>
      </c>
      <c r="I1314" s="6" t="s">
        <v>100</v>
      </c>
      <c r="J1314" s="6"/>
      <c r="K1314" s="6"/>
      <c r="L1314" s="6" t="s">
        <v>5508</v>
      </c>
      <c r="M1314" s="6"/>
      <c r="N1314" s="6" t="s">
        <v>5509</v>
      </c>
      <c r="O1314" s="6" t="str">
        <f>HYPERLINK("https://ceds.ed.gov/cedselementdetails.aspx?termid=5156")</f>
        <v>https://ceds.ed.gov/cedselementdetails.aspx?termid=5156</v>
      </c>
      <c r="P1314" s="6" t="str">
        <f>HYPERLINK("https://ceds.ed.gov/elementComment.aspx?elementName=Staff Member Identifier &amp;elementID=5156", "Click here to submit comment")</f>
        <v>Click here to submit comment</v>
      </c>
    </row>
    <row r="1315" spans="1:16" ht="409.5">
      <c r="A1315" s="6" t="s">
        <v>6788</v>
      </c>
      <c r="B1315" s="6" t="s">
        <v>6824</v>
      </c>
      <c r="C1315" s="6" t="s">
        <v>6827</v>
      </c>
      <c r="D1315" s="6" t="s">
        <v>5502</v>
      </c>
      <c r="E1315" s="6" t="s">
        <v>5503</v>
      </c>
      <c r="F1315" s="7" t="s">
        <v>6662</v>
      </c>
      <c r="G1315" s="6" t="s">
        <v>6321</v>
      </c>
      <c r="H1315" s="6" t="s">
        <v>3</v>
      </c>
      <c r="I1315" s="6"/>
      <c r="J1315" s="6"/>
      <c r="K1315" s="6"/>
      <c r="L1315" s="6" t="s">
        <v>5504</v>
      </c>
      <c r="M1315" s="6"/>
      <c r="N1315" s="6" t="s">
        <v>5505</v>
      </c>
      <c r="O1315" s="6" t="str">
        <f>HYPERLINK("https://ceds.ed.gov/cedselementdetails.aspx?termid=5162")</f>
        <v>https://ceds.ed.gov/cedselementdetails.aspx?termid=5162</v>
      </c>
      <c r="P1315" s="6" t="str">
        <f>HYPERLINK("https://ceds.ed.gov/elementComment.aspx?elementName=Staff Member Identification System &amp;elementID=5162", "Click here to submit comment")</f>
        <v>Click here to submit comment</v>
      </c>
    </row>
    <row r="1316" spans="1:16" ht="30">
      <c r="A1316" s="6" t="s">
        <v>6788</v>
      </c>
      <c r="B1316" s="6" t="s">
        <v>6824</v>
      </c>
      <c r="C1316" s="6" t="s">
        <v>6827</v>
      </c>
      <c r="D1316" s="6" t="s">
        <v>1403</v>
      </c>
      <c r="E1316" s="6" t="s">
        <v>1404</v>
      </c>
      <c r="F1316" s="6" t="s">
        <v>13</v>
      </c>
      <c r="G1316" s="6"/>
      <c r="H1316" s="6"/>
      <c r="I1316" s="6" t="s">
        <v>73</v>
      </c>
      <c r="J1316" s="6"/>
      <c r="K1316" s="6"/>
      <c r="L1316" s="6" t="s">
        <v>1405</v>
      </c>
      <c r="M1316" s="6"/>
      <c r="N1316" s="6" t="s">
        <v>1406</v>
      </c>
      <c r="O1316" s="6" t="str">
        <f>HYPERLINK("https://ceds.ed.gov/cedselementdetails.aspx?termid=5517")</f>
        <v>https://ceds.ed.gov/cedselementdetails.aspx?termid=5517</v>
      </c>
      <c r="P1316" s="6" t="str">
        <f>HYPERLINK("https://ceds.ed.gov/elementComment.aspx?elementName=Assignment Start Date &amp;elementID=5517", "Click here to submit comment")</f>
        <v>Click here to submit comment</v>
      </c>
    </row>
    <row r="1317" spans="1:16" ht="30">
      <c r="A1317" s="6" t="s">
        <v>6788</v>
      </c>
      <c r="B1317" s="6" t="s">
        <v>6824</v>
      </c>
      <c r="C1317" s="6" t="s">
        <v>6827</v>
      </c>
      <c r="D1317" s="6" t="s">
        <v>1399</v>
      </c>
      <c r="E1317" s="6" t="s">
        <v>1400</v>
      </c>
      <c r="F1317" s="6" t="s">
        <v>13</v>
      </c>
      <c r="G1317" s="6"/>
      <c r="H1317" s="6"/>
      <c r="I1317" s="6" t="s">
        <v>73</v>
      </c>
      <c r="J1317" s="6"/>
      <c r="K1317" s="6"/>
      <c r="L1317" s="6" t="s">
        <v>1401</v>
      </c>
      <c r="M1317" s="6"/>
      <c r="N1317" s="6" t="s">
        <v>1402</v>
      </c>
      <c r="O1317" s="6" t="str">
        <f>HYPERLINK("https://ceds.ed.gov/cedselementdetails.aspx?termid=5518")</f>
        <v>https://ceds.ed.gov/cedselementdetails.aspx?termid=5518</v>
      </c>
      <c r="P1317" s="6" t="str">
        <f>HYPERLINK("https://ceds.ed.gov/elementComment.aspx?elementName=Assignment End Date &amp;elementID=5518", "Click here to submit comment")</f>
        <v>Click here to submit comment</v>
      </c>
    </row>
    <row r="1318" spans="1:16" ht="60">
      <c r="A1318" s="6" t="s">
        <v>6788</v>
      </c>
      <c r="B1318" s="6" t="s">
        <v>6824</v>
      </c>
      <c r="C1318" s="6" t="s">
        <v>6827</v>
      </c>
      <c r="D1318" s="6" t="s">
        <v>5662</v>
      </c>
      <c r="E1318" s="6" t="s">
        <v>5663</v>
      </c>
      <c r="F1318" s="6" t="s">
        <v>5963</v>
      </c>
      <c r="G1318" s="6" t="s">
        <v>5665</v>
      </c>
      <c r="H1318" s="6"/>
      <c r="I1318" s="6"/>
      <c r="J1318" s="6"/>
      <c r="K1318" s="6" t="s">
        <v>5666</v>
      </c>
      <c r="L1318" s="6" t="s">
        <v>5667</v>
      </c>
      <c r="M1318" s="6"/>
      <c r="N1318" s="6" t="s">
        <v>5668</v>
      </c>
      <c r="O1318" s="6" t="str">
        <f>HYPERLINK("https://ceds.ed.gov/cedselementdetails.aspx?termid=5649")</f>
        <v>https://ceds.ed.gov/cedselementdetails.aspx?termid=5649</v>
      </c>
      <c r="P1318" s="6" t="str">
        <f>HYPERLINK("https://ceds.ed.gov/elementComment.aspx?elementName=Teacher of Record &amp;elementID=5649", "Click here to submit comment")</f>
        <v>Click here to submit comment</v>
      </c>
    </row>
    <row r="1319" spans="1:16" ht="105">
      <c r="A1319" s="6" t="s">
        <v>6788</v>
      </c>
      <c r="B1319" s="6" t="s">
        <v>6824</v>
      </c>
      <c r="C1319" s="6" t="s">
        <v>6827</v>
      </c>
      <c r="D1319" s="6" t="s">
        <v>5691</v>
      </c>
      <c r="E1319" s="6" t="s">
        <v>5692</v>
      </c>
      <c r="F1319" s="7" t="s">
        <v>6670</v>
      </c>
      <c r="G1319" s="6" t="s">
        <v>5665</v>
      </c>
      <c r="H1319" s="6"/>
      <c r="I1319" s="6"/>
      <c r="J1319" s="6"/>
      <c r="K1319" s="6"/>
      <c r="L1319" s="6" t="s">
        <v>5693</v>
      </c>
      <c r="M1319" s="6"/>
      <c r="N1319" s="6" t="s">
        <v>5694</v>
      </c>
      <c r="O1319" s="6" t="str">
        <f>HYPERLINK("https://ceds.ed.gov/cedselementdetails.aspx?termid=5650")</f>
        <v>https://ceds.ed.gov/cedselementdetails.aspx?termid=5650</v>
      </c>
      <c r="P1319" s="6" t="str">
        <f>HYPERLINK("https://ceds.ed.gov/elementComment.aspx?elementName=Teaching Assignment Role &amp;elementID=5650", "Click here to submit comment")</f>
        <v>Click here to submit comment</v>
      </c>
    </row>
    <row r="1320" spans="1:16" ht="90">
      <c r="A1320" s="6" t="s">
        <v>6788</v>
      </c>
      <c r="B1320" s="6" t="s">
        <v>6824</v>
      </c>
      <c r="C1320" s="6" t="s">
        <v>6827</v>
      </c>
      <c r="D1320" s="6" t="s">
        <v>5683</v>
      </c>
      <c r="E1320" s="6" t="s">
        <v>5684</v>
      </c>
      <c r="F1320" s="6" t="s">
        <v>13</v>
      </c>
      <c r="G1320" s="6" t="s">
        <v>5665</v>
      </c>
      <c r="H1320" s="6"/>
      <c r="I1320" s="6" t="s">
        <v>740</v>
      </c>
      <c r="J1320" s="6"/>
      <c r="K1320" s="6"/>
      <c r="L1320" s="6" t="s">
        <v>5685</v>
      </c>
      <c r="M1320" s="6"/>
      <c r="N1320" s="6" t="s">
        <v>5686</v>
      </c>
      <c r="O1320" s="6" t="str">
        <f>HYPERLINK("https://ceds.ed.gov/cedselementdetails.aspx?termid=5651")</f>
        <v>https://ceds.ed.gov/cedselementdetails.aspx?termid=5651</v>
      </c>
      <c r="P1320" s="6" t="str">
        <f>HYPERLINK("https://ceds.ed.gov/elementComment.aspx?elementName=Teaching Assignment Contribution Percentage &amp;elementID=5651", "Click here to submit comment")</f>
        <v>Click here to submit comment</v>
      </c>
    </row>
    <row r="1321" spans="1:16" ht="135">
      <c r="A1321" s="6" t="s">
        <v>6788</v>
      </c>
      <c r="B1321" s="6" t="s">
        <v>6824</v>
      </c>
      <c r="C1321" s="6" t="s">
        <v>6807</v>
      </c>
      <c r="D1321" s="6" t="s">
        <v>1411</v>
      </c>
      <c r="E1321" s="6" t="s">
        <v>1412</v>
      </c>
      <c r="F1321" s="7" t="s">
        <v>6408</v>
      </c>
      <c r="G1321" s="6"/>
      <c r="H1321" s="6" t="s">
        <v>66</v>
      </c>
      <c r="I1321" s="6"/>
      <c r="J1321" s="6" t="s">
        <v>1413</v>
      </c>
      <c r="K1321" s="6"/>
      <c r="L1321" s="6" t="s">
        <v>1414</v>
      </c>
      <c r="M1321" s="6"/>
      <c r="N1321" s="6" t="s">
        <v>1415</v>
      </c>
      <c r="O1321" s="6" t="str">
        <f>HYPERLINK("https://ceds.ed.gov/cedselementdetails.aspx?termid=5076")</f>
        <v>https://ceds.ed.gov/cedselementdetails.aspx?termid=5076</v>
      </c>
      <c r="P1321" s="6" t="str">
        <f>HYPERLINK("https://ceds.ed.gov/elementComment.aspx?elementName=Attendance Status &amp;elementID=5076", "Click here to submit comment")</f>
        <v>Click here to submit comment</v>
      </c>
    </row>
    <row r="1322" spans="1:16" ht="105">
      <c r="A1322" s="6" t="s">
        <v>6788</v>
      </c>
      <c r="B1322" s="6" t="s">
        <v>6828</v>
      </c>
      <c r="C1322" s="6"/>
      <c r="D1322" s="6" t="s">
        <v>5677</v>
      </c>
      <c r="E1322" s="6" t="s">
        <v>5678</v>
      </c>
      <c r="F1322" s="6" t="s">
        <v>5963</v>
      </c>
      <c r="G1322" s="6"/>
      <c r="H1322" s="6"/>
      <c r="I1322" s="6"/>
      <c r="J1322" s="6"/>
      <c r="K1322" s="6" t="s">
        <v>5680</v>
      </c>
      <c r="L1322" s="6" t="s">
        <v>5681</v>
      </c>
      <c r="M1322" s="6"/>
      <c r="N1322" s="6" t="s">
        <v>5682</v>
      </c>
      <c r="O1322" s="6" t="str">
        <f>HYPERLINK("https://ceds.ed.gov/cedselementdetails.aspx?termid=5973")</f>
        <v>https://ceds.ed.gov/cedselementdetails.aspx?termid=5973</v>
      </c>
      <c r="P1322" s="6" t="str">
        <f>HYPERLINK("https://ceds.ed.gov/elementComment.aspx?elementName=Teacher Student Data Link Exclusion Flag &amp;elementID=5973", "Click here to submit comment")</f>
        <v>Click here to submit comment</v>
      </c>
    </row>
    <row r="1323" spans="1:16" ht="75">
      <c r="A1323" s="6" t="s">
        <v>6788</v>
      </c>
      <c r="B1323" s="6" t="s">
        <v>6829</v>
      </c>
      <c r="C1323" s="6"/>
      <c r="D1323" s="6" t="s">
        <v>5053</v>
      </c>
      <c r="E1323" s="6" t="s">
        <v>5054</v>
      </c>
      <c r="F1323" s="6" t="s">
        <v>13</v>
      </c>
      <c r="G1323" s="6"/>
      <c r="H1323" s="6" t="s">
        <v>54</v>
      </c>
      <c r="I1323" s="6" t="s">
        <v>100</v>
      </c>
      <c r="J1323" s="6"/>
      <c r="K1323" s="6" t="s">
        <v>5056</v>
      </c>
      <c r="L1323" s="6" t="s">
        <v>5057</v>
      </c>
      <c r="M1323" s="6"/>
      <c r="N1323" s="6" t="s">
        <v>5058</v>
      </c>
      <c r="O1323" s="6" t="str">
        <f>HYPERLINK("https://ceds.ed.gov/cedselementdetails.aspx?termid=6438")</f>
        <v>https://ceds.ed.gov/cedselementdetails.aspx?termid=6438</v>
      </c>
      <c r="P1323" s="6" t="str">
        <f>HYPERLINK("https://ceds.ed.gov/elementComment.aspx?elementName=Responsible Organization Identifier &amp;elementID=6438", "Click here to submit comment")</f>
        <v>Click here to submit comment</v>
      </c>
    </row>
    <row r="1324" spans="1:16" ht="165">
      <c r="A1324" s="6" t="s">
        <v>6788</v>
      </c>
      <c r="B1324" s="6" t="s">
        <v>6829</v>
      </c>
      <c r="C1324" s="6"/>
      <c r="D1324" s="6" t="s">
        <v>5063</v>
      </c>
      <c r="E1324" s="6" t="s">
        <v>5050</v>
      </c>
      <c r="F1324" s="7" t="s">
        <v>6641</v>
      </c>
      <c r="G1324" s="6"/>
      <c r="H1324" s="6" t="s">
        <v>54</v>
      </c>
      <c r="I1324" s="6"/>
      <c r="J1324" s="6"/>
      <c r="K1324" s="6" t="s">
        <v>5056</v>
      </c>
      <c r="L1324" s="6" t="s">
        <v>5064</v>
      </c>
      <c r="M1324" s="6"/>
      <c r="N1324" s="6" t="s">
        <v>5065</v>
      </c>
      <c r="O1324" s="6" t="str">
        <f>HYPERLINK("https://ceds.ed.gov/cedselementdetails.aspx?termid=6439")</f>
        <v>https://ceds.ed.gov/cedselementdetails.aspx?termid=6439</v>
      </c>
      <c r="P1324" s="6" t="str">
        <f>HYPERLINK("https://ceds.ed.gov/elementComment.aspx?elementName=Responsible Organization Type &amp;elementID=6439", "Click here to submit comment")</f>
        <v>Click here to submit comment</v>
      </c>
    </row>
    <row r="1325" spans="1:16" ht="60">
      <c r="A1325" s="6" t="s">
        <v>6788</v>
      </c>
      <c r="B1325" s="6" t="s">
        <v>6829</v>
      </c>
      <c r="C1325" s="6"/>
      <c r="D1325" s="6" t="s">
        <v>5059</v>
      </c>
      <c r="E1325" s="6" t="s">
        <v>5060</v>
      </c>
      <c r="F1325" s="6" t="s">
        <v>13</v>
      </c>
      <c r="G1325" s="6" t="s">
        <v>6104</v>
      </c>
      <c r="H1325" s="6" t="s">
        <v>3</v>
      </c>
      <c r="I1325" s="6" t="s">
        <v>106</v>
      </c>
      <c r="J1325" s="6"/>
      <c r="K1325" s="6"/>
      <c r="L1325" s="6" t="s">
        <v>5061</v>
      </c>
      <c r="M1325" s="6"/>
      <c r="N1325" s="6" t="s">
        <v>5062</v>
      </c>
      <c r="O1325" s="6" t="str">
        <f>HYPERLINK("https://ceds.ed.gov/cedselementdetails.aspx?termid=5624")</f>
        <v>https://ceds.ed.gov/cedselementdetails.aspx?termid=5624</v>
      </c>
      <c r="P1325" s="6" t="str">
        <f>HYPERLINK("https://ceds.ed.gov/elementComment.aspx?elementName=Responsible Organization Name &amp;elementID=5624", "Click here to submit comment")</f>
        <v>Click here to submit comment</v>
      </c>
    </row>
    <row r="1326" spans="1:16" ht="315">
      <c r="A1326" s="6" t="s">
        <v>6788</v>
      </c>
      <c r="B1326" s="6" t="s">
        <v>6829</v>
      </c>
      <c r="C1326" s="6"/>
      <c r="D1326" s="6" t="s">
        <v>4337</v>
      </c>
      <c r="E1326" s="6" t="s">
        <v>4338</v>
      </c>
      <c r="F1326" s="7" t="s">
        <v>6364</v>
      </c>
      <c r="G1326" s="6" t="s">
        <v>65</v>
      </c>
      <c r="H1326" s="6" t="s">
        <v>66</v>
      </c>
      <c r="I1326" s="6"/>
      <c r="J1326" s="6" t="s">
        <v>2309</v>
      </c>
      <c r="K1326" s="6"/>
      <c r="L1326" s="6" t="s">
        <v>4339</v>
      </c>
      <c r="M1326" s="6"/>
      <c r="N1326" s="6" t="s">
        <v>4340</v>
      </c>
      <c r="O1326" s="6" t="str">
        <f>HYPERLINK("https://ceds.ed.gov/cedselementdetails.aspx?termid=5827")</f>
        <v>https://ceds.ed.gov/cedselementdetails.aspx?termid=5827</v>
      </c>
      <c r="P1326" s="6" t="str">
        <f>HYPERLINK("https://ceds.ed.gov/elementComment.aspx?elementName=Organization Identification System &amp;elementID=5827", "Click here to submit comment")</f>
        <v>Click here to submit comment</v>
      </c>
    </row>
    <row r="1327" spans="1:16" ht="60">
      <c r="A1327" s="6" t="s">
        <v>6788</v>
      </c>
      <c r="B1327" s="6" t="s">
        <v>6829</v>
      </c>
      <c r="C1327" s="6"/>
      <c r="D1327" s="6" t="s">
        <v>4341</v>
      </c>
      <c r="E1327" s="6" t="s">
        <v>4342</v>
      </c>
      <c r="F1327" s="6" t="s">
        <v>13</v>
      </c>
      <c r="G1327" s="6" t="s">
        <v>65</v>
      </c>
      <c r="H1327" s="6" t="s">
        <v>3</v>
      </c>
      <c r="I1327" s="6" t="s">
        <v>100</v>
      </c>
      <c r="J1327" s="6"/>
      <c r="K1327" s="6"/>
      <c r="L1327" s="6" t="s">
        <v>4343</v>
      </c>
      <c r="M1327" s="6"/>
      <c r="N1327" s="6" t="s">
        <v>4344</v>
      </c>
      <c r="O1327" s="6" t="str">
        <f>HYPERLINK("https://ceds.ed.gov/cedselementdetails.aspx?termid=5825")</f>
        <v>https://ceds.ed.gov/cedselementdetails.aspx?termid=5825</v>
      </c>
      <c r="P1327" s="6" t="str">
        <f>HYPERLINK("https://ceds.ed.gov/elementComment.aspx?elementName=Organization Identifier &amp;elementID=5825", "Click here to submit comment")</f>
        <v>Click here to submit comment</v>
      </c>
    </row>
    <row r="1328" spans="1:16" ht="45">
      <c r="A1328" s="6" t="s">
        <v>6788</v>
      </c>
      <c r="B1328" s="6" t="s">
        <v>6829</v>
      </c>
      <c r="C1328" s="6"/>
      <c r="D1328" s="6" t="s">
        <v>4349</v>
      </c>
      <c r="E1328" s="6" t="s">
        <v>4350</v>
      </c>
      <c r="F1328" s="6" t="s">
        <v>13</v>
      </c>
      <c r="G1328" s="6" t="s">
        <v>202</v>
      </c>
      <c r="H1328" s="6" t="s">
        <v>3</v>
      </c>
      <c r="I1328" s="6" t="s">
        <v>106</v>
      </c>
      <c r="J1328" s="6"/>
      <c r="K1328" s="6"/>
      <c r="L1328" s="6" t="s">
        <v>4351</v>
      </c>
      <c r="M1328" s="6"/>
      <c r="N1328" s="6" t="s">
        <v>4352</v>
      </c>
      <c r="O1328" s="6" t="str">
        <f>HYPERLINK("https://ceds.ed.gov/cedselementdetails.aspx?termid=5204")</f>
        <v>https://ceds.ed.gov/cedselementdetails.aspx?termid=5204</v>
      </c>
      <c r="P1328" s="6" t="str">
        <f>HYPERLINK("https://ceds.ed.gov/elementComment.aspx?elementName=Organization Name &amp;elementID=5204", "Click here to submit comment")</f>
        <v>Click here to submit comment</v>
      </c>
    </row>
    <row r="1329" spans="1:16" ht="60">
      <c r="A1329" s="6" t="s">
        <v>6788</v>
      </c>
      <c r="B1329" s="6" t="s">
        <v>6829</v>
      </c>
      <c r="C1329" s="6"/>
      <c r="D1329" s="6" t="s">
        <v>4353</v>
      </c>
      <c r="E1329" s="6" t="s">
        <v>4354</v>
      </c>
      <c r="F1329" s="6" t="s">
        <v>6267</v>
      </c>
      <c r="G1329" s="6"/>
      <c r="H1329" s="6" t="s">
        <v>54</v>
      </c>
      <c r="I1329" s="6"/>
      <c r="J1329" s="6"/>
      <c r="K1329" s="6"/>
      <c r="L1329" s="6" t="s">
        <v>4355</v>
      </c>
      <c r="M1329" s="6"/>
      <c r="N1329" s="6" t="s">
        <v>4356</v>
      </c>
      <c r="O1329" s="6" t="str">
        <f>HYPERLINK("https://ceds.ed.gov/cedselementdetails.aspx?termid=6387")</f>
        <v>https://ceds.ed.gov/cedselementdetails.aspx?termid=6387</v>
      </c>
      <c r="P1329" s="6" t="str">
        <f>HYPERLINK("https://ceds.ed.gov/elementComment.aspx?elementName=Organization Operational Status &amp;elementID=6387", "Click here to submit comment")</f>
        <v>Click here to submit comment</v>
      </c>
    </row>
    <row r="1330" spans="1:16" ht="240">
      <c r="A1330" s="6" t="s">
        <v>6788</v>
      </c>
      <c r="B1330" s="6" t="s">
        <v>6784</v>
      </c>
      <c r="C1330" s="6" t="s">
        <v>6830</v>
      </c>
      <c r="D1330" s="6" t="s">
        <v>586</v>
      </c>
      <c r="E1330" s="6" t="s">
        <v>587</v>
      </c>
      <c r="F1330" s="7" t="s">
        <v>6382</v>
      </c>
      <c r="G1330" s="6" t="s">
        <v>6013</v>
      </c>
      <c r="H1330" s="6"/>
      <c r="I1330" s="6"/>
      <c r="J1330" s="6"/>
      <c r="K1330" s="6"/>
      <c r="L1330" s="6" t="s">
        <v>588</v>
      </c>
      <c r="M1330" s="6"/>
      <c r="N1330" s="6" t="s">
        <v>589</v>
      </c>
      <c r="O1330" s="6" t="str">
        <f>HYPERLINK("https://ceds.ed.gov/cedselementdetails.aspx?termid=5158")</f>
        <v>https://ceds.ed.gov/cedselementdetails.aspx?termid=5158</v>
      </c>
      <c r="P1330" s="6" t="str">
        <f>HYPERLINK("https://ceds.ed.gov/elementComment.aspx?elementName=Assessment Identification System &amp;elementID=5158", "Click here to submit comment")</f>
        <v>Click here to submit comment</v>
      </c>
    </row>
    <row r="1331" spans="1:16" ht="90">
      <c r="A1331" s="6" t="s">
        <v>6788</v>
      </c>
      <c r="B1331" s="6" t="s">
        <v>6829</v>
      </c>
      <c r="C1331" s="6" t="s">
        <v>6749</v>
      </c>
      <c r="D1331" s="6" t="s">
        <v>196</v>
      </c>
      <c r="E1331" s="6" t="s">
        <v>197</v>
      </c>
      <c r="F1331" s="7" t="s">
        <v>6354</v>
      </c>
      <c r="G1331" s="6" t="s">
        <v>5968</v>
      </c>
      <c r="H1331" s="6" t="s">
        <v>3</v>
      </c>
      <c r="I1331" s="6" t="s">
        <v>100</v>
      </c>
      <c r="J1331" s="6"/>
      <c r="K1331" s="6"/>
      <c r="L1331" s="6" t="s">
        <v>198</v>
      </c>
      <c r="M1331" s="6"/>
      <c r="N1331" s="6" t="s">
        <v>199</v>
      </c>
      <c r="O1331" s="6" t="str">
        <f>HYPERLINK("https://ceds.ed.gov/cedselementdetails.aspx?termid=5644")</f>
        <v>https://ceds.ed.gov/cedselementdetails.aspx?termid=5644</v>
      </c>
      <c r="P1331" s="6" t="str">
        <f>HYPERLINK("https://ceds.ed.gov/elementComment.aspx?elementName=Address Type for Organization &amp;elementID=5644", "Click here to submit comment")</f>
        <v>Click here to submit comment</v>
      </c>
    </row>
    <row r="1332" spans="1:16" ht="165">
      <c r="A1332" s="6" t="s">
        <v>6788</v>
      </c>
      <c r="B1332" s="6" t="s">
        <v>6784</v>
      </c>
      <c r="C1332" s="6" t="s">
        <v>6830</v>
      </c>
      <c r="D1332" s="6" t="s">
        <v>590</v>
      </c>
      <c r="E1332" s="6" t="s">
        <v>591</v>
      </c>
      <c r="F1332" s="6" t="s">
        <v>13</v>
      </c>
      <c r="G1332" s="6" t="s">
        <v>6015</v>
      </c>
      <c r="H1332" s="6"/>
      <c r="I1332" s="6" t="s">
        <v>100</v>
      </c>
      <c r="J1332" s="6"/>
      <c r="K1332" s="6"/>
      <c r="L1332" s="6" t="s">
        <v>592</v>
      </c>
      <c r="M1332" s="6"/>
      <c r="N1332" s="6" t="s">
        <v>593</v>
      </c>
      <c r="O1332" s="6" t="str">
        <f>HYPERLINK("https://ceds.ed.gov/cedselementdetails.aspx?termid=5152")</f>
        <v>https://ceds.ed.gov/cedselementdetails.aspx?termid=5152</v>
      </c>
      <c r="P1332" s="6" t="str">
        <f>HYPERLINK("https://ceds.ed.gov/elementComment.aspx?elementName=Assessment Identifier &amp;elementID=5152", "Click here to submit comment")</f>
        <v>Click here to submit comment</v>
      </c>
    </row>
    <row r="1333" spans="1:16" ht="225">
      <c r="A1333" s="6" t="s">
        <v>6788</v>
      </c>
      <c r="B1333" s="6" t="s">
        <v>6829</v>
      </c>
      <c r="C1333" s="6" t="s">
        <v>6749</v>
      </c>
      <c r="D1333" s="6" t="s">
        <v>187</v>
      </c>
      <c r="E1333" s="6" t="s">
        <v>188</v>
      </c>
      <c r="F1333" s="6" t="s">
        <v>13</v>
      </c>
      <c r="G1333" s="6" t="s">
        <v>5973</v>
      </c>
      <c r="H1333" s="6" t="s">
        <v>3</v>
      </c>
      <c r="I1333" s="6" t="s">
        <v>149</v>
      </c>
      <c r="J1333" s="6"/>
      <c r="K1333" s="6"/>
      <c r="L1333" s="6" t="s">
        <v>189</v>
      </c>
      <c r="M1333" s="6"/>
      <c r="N1333" s="6" t="s">
        <v>190</v>
      </c>
      <c r="O1333" s="6" t="str">
        <f>HYPERLINK("https://ceds.ed.gov/cedselementdetails.aspx?termid=5269")</f>
        <v>https://ceds.ed.gov/cedselementdetails.aspx?termid=5269</v>
      </c>
      <c r="P1333" s="6" t="str">
        <f>HYPERLINK("https://ceds.ed.gov/elementComment.aspx?elementName=Address Street Number and Name &amp;elementID=5269", "Click here to submit comment")</f>
        <v>Click here to submit comment</v>
      </c>
    </row>
    <row r="1334" spans="1:16" ht="75">
      <c r="A1334" s="6" t="s">
        <v>6788</v>
      </c>
      <c r="B1334" s="6" t="s">
        <v>6784</v>
      </c>
      <c r="C1334" s="6" t="s">
        <v>6830</v>
      </c>
      <c r="D1334" s="6" t="s">
        <v>582</v>
      </c>
      <c r="E1334" s="6" t="s">
        <v>583</v>
      </c>
      <c r="F1334" s="6" t="s">
        <v>13</v>
      </c>
      <c r="G1334" s="6"/>
      <c r="H1334" s="6"/>
      <c r="I1334" s="6" t="s">
        <v>528</v>
      </c>
      <c r="J1334" s="6"/>
      <c r="K1334" s="6"/>
      <c r="L1334" s="6" t="s">
        <v>584</v>
      </c>
      <c r="M1334" s="6"/>
      <c r="N1334" s="6" t="s">
        <v>585</v>
      </c>
      <c r="O1334" s="6" t="str">
        <f>HYPERLINK("https://ceds.ed.gov/cedselementdetails.aspx?termid=5982")</f>
        <v>https://ceds.ed.gov/cedselementdetails.aspx?termid=5982</v>
      </c>
      <c r="P1334" s="6" t="str">
        <f>HYPERLINK("https://ceds.ed.gov/elementComment.aspx?elementName=Assessment GUID &amp;elementID=5982", "Click here to submit comment")</f>
        <v>Click here to submit comment</v>
      </c>
    </row>
    <row r="1335" spans="1:16" ht="225">
      <c r="A1335" s="6" t="s">
        <v>6788</v>
      </c>
      <c r="B1335" s="6" t="s">
        <v>6829</v>
      </c>
      <c r="C1335" s="6" t="s">
        <v>6749</v>
      </c>
      <c r="D1335" s="6" t="s">
        <v>170</v>
      </c>
      <c r="E1335" s="6" t="s">
        <v>171</v>
      </c>
      <c r="F1335" s="6" t="s">
        <v>13</v>
      </c>
      <c r="G1335" s="6" t="s">
        <v>5973</v>
      </c>
      <c r="H1335" s="6" t="s">
        <v>3</v>
      </c>
      <c r="I1335" s="6" t="s">
        <v>100</v>
      </c>
      <c r="J1335" s="6"/>
      <c r="K1335" s="6"/>
      <c r="L1335" s="6" t="s">
        <v>172</v>
      </c>
      <c r="M1335" s="6"/>
      <c r="N1335" s="6" t="s">
        <v>173</v>
      </c>
      <c r="O1335" s="6" t="str">
        <f>HYPERLINK("https://ceds.ed.gov/cedselementdetails.aspx?termid=5019")</f>
        <v>https://ceds.ed.gov/cedselementdetails.aspx?termid=5019</v>
      </c>
      <c r="P1335" s="6" t="str">
        <f>HYPERLINK("https://ceds.ed.gov/elementComment.aspx?elementName=Address Apartment Room or Suite Number &amp;elementID=5019", "Click here to submit comment")</f>
        <v>Click here to submit comment</v>
      </c>
    </row>
    <row r="1336" spans="1:16" ht="165">
      <c r="A1336" s="6" t="s">
        <v>6788</v>
      </c>
      <c r="B1336" s="6" t="s">
        <v>6784</v>
      </c>
      <c r="C1336" s="6" t="s">
        <v>6830</v>
      </c>
      <c r="D1336" s="6" t="s">
        <v>1387</v>
      </c>
      <c r="E1336" s="6" t="s">
        <v>1388</v>
      </c>
      <c r="F1336" s="6" t="s">
        <v>13</v>
      </c>
      <c r="G1336" s="6" t="s">
        <v>6073</v>
      </c>
      <c r="H1336" s="6"/>
      <c r="I1336" s="6" t="s">
        <v>106</v>
      </c>
      <c r="J1336" s="6"/>
      <c r="K1336" s="6"/>
      <c r="L1336" s="6" t="s">
        <v>1389</v>
      </c>
      <c r="M1336" s="6"/>
      <c r="N1336" s="6" t="s">
        <v>1390</v>
      </c>
      <c r="O1336" s="6" t="str">
        <f>HYPERLINK("https://ceds.ed.gov/cedselementdetails.aspx?termid=5028")</f>
        <v>https://ceds.ed.gov/cedselementdetails.aspx?termid=5028</v>
      </c>
      <c r="P1336" s="6" t="str">
        <f>HYPERLINK("https://ceds.ed.gov/elementComment.aspx?elementName=Assessment Title &amp;elementID=5028", "Click here to submit comment")</f>
        <v>Click here to submit comment</v>
      </c>
    </row>
    <row r="1337" spans="1:16" ht="409.5">
      <c r="A1337" s="6" t="s">
        <v>6788</v>
      </c>
      <c r="B1337" s="6" t="s">
        <v>6784</v>
      </c>
      <c r="C1337" s="6" t="s">
        <v>6830</v>
      </c>
      <c r="D1337" s="6" t="s">
        <v>1391</v>
      </c>
      <c r="E1337" s="6" t="s">
        <v>1392</v>
      </c>
      <c r="F1337" s="7" t="s">
        <v>6405</v>
      </c>
      <c r="G1337" s="6" t="s">
        <v>6000</v>
      </c>
      <c r="H1337" s="6"/>
      <c r="I1337" s="6"/>
      <c r="J1337" s="6"/>
      <c r="K1337" s="6"/>
      <c r="L1337" s="6" t="s">
        <v>1393</v>
      </c>
      <c r="M1337" s="6"/>
      <c r="N1337" s="6" t="s">
        <v>1394</v>
      </c>
      <c r="O1337" s="6" t="str">
        <f>HYPERLINK("https://ceds.ed.gov/cedselementdetails.aspx?termid=5029")</f>
        <v>https://ceds.ed.gov/cedselementdetails.aspx?termid=5029</v>
      </c>
      <c r="P1337" s="6" t="str">
        <f>HYPERLINK("https://ceds.ed.gov/elementComment.aspx?elementName=Assessment Type &amp;elementID=5029", "Click here to submit comment")</f>
        <v>Click here to submit comment</v>
      </c>
    </row>
    <row r="1338" spans="1:16" ht="225">
      <c r="A1338" s="6" t="s">
        <v>6788</v>
      </c>
      <c r="B1338" s="6" t="s">
        <v>6829</v>
      </c>
      <c r="C1338" s="6" t="s">
        <v>6749</v>
      </c>
      <c r="D1338" s="6" t="s">
        <v>174</v>
      </c>
      <c r="E1338" s="6" t="s">
        <v>175</v>
      </c>
      <c r="F1338" s="6" t="s">
        <v>13</v>
      </c>
      <c r="G1338" s="6" t="s">
        <v>5973</v>
      </c>
      <c r="H1338" s="6" t="s">
        <v>3</v>
      </c>
      <c r="I1338" s="6" t="s">
        <v>100</v>
      </c>
      <c r="J1338" s="6"/>
      <c r="K1338" s="6"/>
      <c r="L1338" s="6" t="s">
        <v>176</v>
      </c>
      <c r="M1338" s="6"/>
      <c r="N1338" s="6" t="s">
        <v>177</v>
      </c>
      <c r="O1338" s="6" t="str">
        <f>HYPERLINK("https://ceds.ed.gov/cedselementdetails.aspx?termid=5040")</f>
        <v>https://ceds.ed.gov/cedselementdetails.aspx?termid=5040</v>
      </c>
      <c r="P1338" s="6" t="str">
        <f>HYPERLINK("https://ceds.ed.gov/elementComment.aspx?elementName=Address City &amp;elementID=5040", "Click here to submit comment")</f>
        <v>Click here to submit comment</v>
      </c>
    </row>
    <row r="1339" spans="1:16" ht="30">
      <c r="A1339" s="6" t="s">
        <v>6788</v>
      </c>
      <c r="B1339" s="6" t="s">
        <v>6784</v>
      </c>
      <c r="C1339" s="6" t="s">
        <v>6830</v>
      </c>
      <c r="D1339" s="6" t="s">
        <v>1290</v>
      </c>
      <c r="E1339" s="6" t="s">
        <v>1291</v>
      </c>
      <c r="F1339" s="6" t="s">
        <v>13</v>
      </c>
      <c r="G1339" s="6"/>
      <c r="H1339" s="6"/>
      <c r="I1339" s="6" t="s">
        <v>100</v>
      </c>
      <c r="J1339" s="6"/>
      <c r="K1339" s="6"/>
      <c r="L1339" s="6" t="s">
        <v>1292</v>
      </c>
      <c r="M1339" s="6"/>
      <c r="N1339" s="6" t="s">
        <v>1293</v>
      </c>
      <c r="O1339" s="6" t="str">
        <f>HYPERLINK("https://ceds.ed.gov/cedselementdetails.aspx?termid=5932")</f>
        <v>https://ceds.ed.gov/cedselementdetails.aspx?termid=5932</v>
      </c>
      <c r="P1339" s="6" t="str">
        <f>HYPERLINK("https://ceds.ed.gov/elementComment.aspx?elementName=Assessment Short Name &amp;elementID=5932", "Click here to submit comment")</f>
        <v>Click here to submit comment</v>
      </c>
    </row>
    <row r="1340" spans="1:16" ht="409.5">
      <c r="A1340" s="6" t="s">
        <v>6788</v>
      </c>
      <c r="B1340" s="6" t="s">
        <v>6829</v>
      </c>
      <c r="C1340" s="6" t="s">
        <v>6749</v>
      </c>
      <c r="D1340" s="6" t="s">
        <v>5533</v>
      </c>
      <c r="E1340" s="6" t="s">
        <v>5534</v>
      </c>
      <c r="F1340" s="7" t="s">
        <v>6633</v>
      </c>
      <c r="G1340" s="6" t="s">
        <v>6324</v>
      </c>
      <c r="H1340" s="6" t="s">
        <v>3</v>
      </c>
      <c r="I1340" s="6"/>
      <c r="J1340" s="6"/>
      <c r="K1340" s="6"/>
      <c r="L1340" s="6" t="s">
        <v>5535</v>
      </c>
      <c r="M1340" s="6"/>
      <c r="N1340" s="6" t="s">
        <v>5536</v>
      </c>
      <c r="O1340" s="6" t="str">
        <f>HYPERLINK("https://ceds.ed.gov/cedselementdetails.aspx?termid=5267")</f>
        <v>https://ceds.ed.gov/cedselementdetails.aspx?termid=5267</v>
      </c>
      <c r="P1340" s="6" t="str">
        <f>HYPERLINK("https://ceds.ed.gov/elementComment.aspx?elementName=State Abbreviation &amp;elementID=5267", "Click here to submit comment")</f>
        <v>Click here to submit comment</v>
      </c>
    </row>
    <row r="1341" spans="1:16" ht="405">
      <c r="A1341" s="6" t="s">
        <v>6788</v>
      </c>
      <c r="B1341" s="6" t="s">
        <v>6784</v>
      </c>
      <c r="C1341" s="6" t="s">
        <v>6830</v>
      </c>
      <c r="D1341" s="6" t="s">
        <v>395</v>
      </c>
      <c r="E1341" s="6" t="s">
        <v>396</v>
      </c>
      <c r="F1341" s="7" t="s">
        <v>6375</v>
      </c>
      <c r="G1341" s="6" t="s">
        <v>5990</v>
      </c>
      <c r="H1341" s="6"/>
      <c r="I1341" s="6"/>
      <c r="J1341" s="6"/>
      <c r="K1341" s="6"/>
      <c r="L1341" s="6" t="s">
        <v>397</v>
      </c>
      <c r="M1341" s="6"/>
      <c r="N1341" s="6" t="s">
        <v>398</v>
      </c>
      <c r="O1341" s="6" t="str">
        <f>HYPERLINK("https://ceds.ed.gov/cedselementdetails.aspx?termid=5021")</f>
        <v>https://ceds.ed.gov/cedselementdetails.aspx?termid=5021</v>
      </c>
      <c r="P1341" s="6" t="str">
        <f>HYPERLINK("https://ceds.ed.gov/elementComment.aspx?elementName=Assessment Academic Subject &amp;elementID=5021", "Click here to submit comment")</f>
        <v>Click here to submit comment</v>
      </c>
    </row>
    <row r="1342" spans="1:16" ht="375">
      <c r="A1342" s="6" t="s">
        <v>6788</v>
      </c>
      <c r="B1342" s="6" t="s">
        <v>6784</v>
      </c>
      <c r="C1342" s="6" t="s">
        <v>6830</v>
      </c>
      <c r="D1342" s="6" t="s">
        <v>942</v>
      </c>
      <c r="E1342" s="6" t="s">
        <v>943</v>
      </c>
      <c r="F1342" s="7" t="s">
        <v>6390</v>
      </c>
      <c r="G1342" s="6" t="s">
        <v>6030</v>
      </c>
      <c r="H1342" s="6"/>
      <c r="I1342" s="6"/>
      <c r="J1342" s="6"/>
      <c r="K1342" s="6"/>
      <c r="L1342" s="6" t="s">
        <v>944</v>
      </c>
      <c r="M1342" s="6"/>
      <c r="N1342" s="6" t="s">
        <v>945</v>
      </c>
      <c r="O1342" s="6" t="str">
        <f>HYPERLINK("https://ceds.ed.gov/cedselementdetails.aspx?termid=5177")</f>
        <v>https://ceds.ed.gov/cedselementdetails.aspx?termid=5177</v>
      </c>
      <c r="P1342" s="6" t="str">
        <f>HYPERLINK("https://ceds.ed.gov/elementComment.aspx?elementName=Assessment Level for Which Designed &amp;elementID=5177", "Click here to submit comment")</f>
        <v>Click here to submit comment</v>
      </c>
    </row>
    <row r="1343" spans="1:16" ht="30">
      <c r="A1343" s="6" t="s">
        <v>6788</v>
      </c>
      <c r="B1343" s="6" t="s">
        <v>6784</v>
      </c>
      <c r="C1343" s="6" t="s">
        <v>6830</v>
      </c>
      <c r="D1343" s="6" t="s">
        <v>1086</v>
      </c>
      <c r="E1343" s="6" t="s">
        <v>1087</v>
      </c>
      <c r="F1343" s="6" t="s">
        <v>13</v>
      </c>
      <c r="G1343" s="6" t="s">
        <v>6018</v>
      </c>
      <c r="H1343" s="6"/>
      <c r="I1343" s="6" t="s">
        <v>745</v>
      </c>
      <c r="J1343" s="6"/>
      <c r="K1343" s="6"/>
      <c r="L1343" s="6" t="s">
        <v>1088</v>
      </c>
      <c r="M1343" s="6"/>
      <c r="N1343" s="6" t="s">
        <v>1089</v>
      </c>
      <c r="O1343" s="6" t="str">
        <f>HYPERLINK("https://ceds.ed.gov/cedselementdetails.aspx?termid=5373")</f>
        <v>https://ceds.ed.gov/cedselementdetails.aspx?termid=5373</v>
      </c>
      <c r="P1343" s="6" t="str">
        <f>HYPERLINK("https://ceds.ed.gov/elementComment.aspx?elementName=Assessment Objective &amp;elementID=5373", "Click here to submit comment")</f>
        <v>Click here to submit comment</v>
      </c>
    </row>
    <row r="1344" spans="1:16" ht="409.5">
      <c r="A1344" s="6" t="s">
        <v>6788</v>
      </c>
      <c r="B1344" s="6" t="s">
        <v>6784</v>
      </c>
      <c r="C1344" s="6" t="s">
        <v>6830</v>
      </c>
      <c r="D1344" s="6" t="s">
        <v>1156</v>
      </c>
      <c r="E1344" s="6" t="s">
        <v>1157</v>
      </c>
      <c r="F1344" s="7" t="s">
        <v>6399</v>
      </c>
      <c r="G1344" s="6" t="s">
        <v>6000</v>
      </c>
      <c r="H1344" s="6"/>
      <c r="I1344" s="6"/>
      <c r="J1344" s="6"/>
      <c r="K1344" s="6" t="s">
        <v>1158</v>
      </c>
      <c r="L1344" s="6" t="s">
        <v>1159</v>
      </c>
      <c r="M1344" s="6"/>
      <c r="N1344" s="6" t="s">
        <v>1160</v>
      </c>
      <c r="O1344" s="6" t="str">
        <f>HYPERLINK("https://ceds.ed.gov/cedselementdetails.aspx?termid=5026")</f>
        <v>https://ceds.ed.gov/cedselementdetails.aspx?termid=5026</v>
      </c>
      <c r="P1344" s="6" t="str">
        <f>HYPERLINK("https://ceds.ed.gov/elementComment.aspx?elementName=Assessment Purpose &amp;elementID=5026", "Click here to submit comment")</f>
        <v>Click here to submit comment</v>
      </c>
    </row>
    <row r="1345" spans="1:16" ht="409.5">
      <c r="A1345" s="6" t="s">
        <v>6788</v>
      </c>
      <c r="B1345" s="6" t="s">
        <v>6784</v>
      </c>
      <c r="C1345" s="6" t="s">
        <v>6830</v>
      </c>
      <c r="D1345" s="6" t="s">
        <v>1395</v>
      </c>
      <c r="E1345" s="6" t="s">
        <v>1396</v>
      </c>
      <c r="F1345" s="7" t="s">
        <v>6406</v>
      </c>
      <c r="G1345" s="6" t="s">
        <v>6052</v>
      </c>
      <c r="H1345" s="6"/>
      <c r="I1345" s="6"/>
      <c r="J1345" s="6"/>
      <c r="K1345" s="6"/>
      <c r="L1345" s="6" t="s">
        <v>1397</v>
      </c>
      <c r="M1345" s="6"/>
      <c r="N1345" s="6" t="s">
        <v>1398</v>
      </c>
      <c r="O1345" s="6" t="str">
        <f>HYPERLINK("https://ceds.ed.gov/cedselementdetails.aspx?termid=5405")</f>
        <v>https://ceds.ed.gov/cedselementdetails.aspx?termid=5405</v>
      </c>
      <c r="P1345" s="6" t="str">
        <f>HYPERLINK("https://ceds.ed.gov/elementComment.aspx?elementName=Assessment Type Administered to Children With Disabilities &amp;elementID=5405", "Click here to submit comment")</f>
        <v>Click here to submit comment</v>
      </c>
    </row>
    <row r="1346" spans="1:16" ht="225">
      <c r="A1346" s="6" t="s">
        <v>6788</v>
      </c>
      <c r="B1346" s="6" t="s">
        <v>6829</v>
      </c>
      <c r="C1346" s="6" t="s">
        <v>6749</v>
      </c>
      <c r="D1346" s="6" t="s">
        <v>182</v>
      </c>
      <c r="E1346" s="6" t="s">
        <v>183</v>
      </c>
      <c r="F1346" s="6" t="s">
        <v>13</v>
      </c>
      <c r="G1346" s="6" t="s">
        <v>5973</v>
      </c>
      <c r="H1346" s="6" t="s">
        <v>3</v>
      </c>
      <c r="I1346" s="6" t="s">
        <v>184</v>
      </c>
      <c r="J1346" s="6"/>
      <c r="K1346" s="6"/>
      <c r="L1346" s="6" t="s">
        <v>185</v>
      </c>
      <c r="M1346" s="6"/>
      <c r="N1346" s="6" t="s">
        <v>186</v>
      </c>
      <c r="O1346" s="6" t="str">
        <f>HYPERLINK("https://ceds.ed.gov/cedselementdetails.aspx?termid=5214")</f>
        <v>https://ceds.ed.gov/cedselementdetails.aspx?termid=5214</v>
      </c>
      <c r="P1346" s="6" t="str">
        <f>HYPERLINK("https://ceds.ed.gov/elementComment.aspx?elementName=Address Postal Code &amp;elementID=5214", "Click here to submit comment")</f>
        <v>Click here to submit comment</v>
      </c>
    </row>
    <row r="1347" spans="1:16" ht="225">
      <c r="A1347" s="6" t="s">
        <v>6788</v>
      </c>
      <c r="B1347" s="6" t="s">
        <v>6829</v>
      </c>
      <c r="C1347" s="6" t="s">
        <v>6749</v>
      </c>
      <c r="D1347" s="6" t="s">
        <v>178</v>
      </c>
      <c r="E1347" s="6" t="s">
        <v>179</v>
      </c>
      <c r="F1347" s="6" t="s">
        <v>13</v>
      </c>
      <c r="G1347" s="6" t="s">
        <v>5973</v>
      </c>
      <c r="H1347" s="6" t="s">
        <v>3</v>
      </c>
      <c r="I1347" s="6" t="s">
        <v>100</v>
      </c>
      <c r="J1347" s="6"/>
      <c r="K1347" s="6"/>
      <c r="L1347" s="6" t="s">
        <v>180</v>
      </c>
      <c r="M1347" s="6"/>
      <c r="N1347" s="6" t="s">
        <v>181</v>
      </c>
      <c r="O1347" s="6" t="str">
        <f>HYPERLINK("https://ceds.ed.gov/cedselementdetails.aspx?termid=5190")</f>
        <v>https://ceds.ed.gov/cedselementdetails.aspx?termid=5190</v>
      </c>
      <c r="P1347" s="6" t="str">
        <f>HYPERLINK("https://ceds.ed.gov/elementComment.aspx?elementName=Address County Name &amp;elementID=5190", "Click here to submit comment")</f>
        <v>Click here to submit comment</v>
      </c>
    </row>
    <row r="1348" spans="1:16" ht="225">
      <c r="A1348" s="6" t="s">
        <v>6788</v>
      </c>
      <c r="B1348" s="6" t="s">
        <v>6784</v>
      </c>
      <c r="C1348" s="6" t="s">
        <v>6830</v>
      </c>
      <c r="D1348" s="6" t="s">
        <v>491</v>
      </c>
      <c r="E1348" s="6" t="s">
        <v>492</v>
      </c>
      <c r="F1348" s="7" t="s">
        <v>6381</v>
      </c>
      <c r="G1348" s="6" t="s">
        <v>493</v>
      </c>
      <c r="H1348" s="6"/>
      <c r="I1348" s="6"/>
      <c r="J1348" s="6"/>
      <c r="K1348" s="6"/>
      <c r="L1348" s="6" t="s">
        <v>494</v>
      </c>
      <c r="M1348" s="6"/>
      <c r="N1348" s="6" t="s">
        <v>495</v>
      </c>
      <c r="O1348" s="6" t="str">
        <f>HYPERLINK("https://ceds.ed.gov/cedselementdetails.aspx?termid=6003")</f>
        <v>https://ceds.ed.gov/cedselementdetails.aspx?termid=6003</v>
      </c>
      <c r="P1348" s="6" t="str">
        <f>HYPERLINK("https://ceds.ed.gov/elementComment.aspx?elementName=Assessment Early Learning Developmental Domain &amp;elementID=6003", "Click here to submit comment")</f>
        <v>Click here to submit comment</v>
      </c>
    </row>
    <row r="1349" spans="1:16" ht="30">
      <c r="A1349" s="6" t="s">
        <v>6788</v>
      </c>
      <c r="B1349" s="6" t="s">
        <v>6784</v>
      </c>
      <c r="C1349" s="6" t="s">
        <v>6830</v>
      </c>
      <c r="D1349" s="6" t="s">
        <v>1151</v>
      </c>
      <c r="E1349" s="6" t="s">
        <v>1152</v>
      </c>
      <c r="F1349" s="6" t="s">
        <v>13</v>
      </c>
      <c r="G1349" s="6"/>
      <c r="H1349" s="6"/>
      <c r="I1349" s="6" t="s">
        <v>100</v>
      </c>
      <c r="J1349" s="6"/>
      <c r="K1349" s="6" t="s">
        <v>1153</v>
      </c>
      <c r="L1349" s="6" t="s">
        <v>1154</v>
      </c>
      <c r="M1349" s="6"/>
      <c r="N1349" s="6" t="s">
        <v>1155</v>
      </c>
      <c r="O1349" s="6" t="str">
        <f>HYPERLINK("https://ceds.ed.gov/cedselementdetails.aspx?termid=6009")</f>
        <v>https://ceds.ed.gov/cedselementdetails.aspx?termid=6009</v>
      </c>
      <c r="P1349" s="6" t="str">
        <f>HYPERLINK("https://ceds.ed.gov/elementComment.aspx?elementName=Assessment Provider &amp;elementID=6009", "Click here to submit comment")</f>
        <v>Click here to submit comment</v>
      </c>
    </row>
    <row r="1350" spans="1:16" ht="409.5">
      <c r="A1350" s="6" t="s">
        <v>6788</v>
      </c>
      <c r="B1350" s="6" t="s">
        <v>6784</v>
      </c>
      <c r="C1350" s="6" t="s">
        <v>6830</v>
      </c>
      <c r="D1350" s="6" t="s">
        <v>1375</v>
      </c>
      <c r="E1350" s="6" t="s">
        <v>1376</v>
      </c>
      <c r="F1350" s="7" t="s">
        <v>6398</v>
      </c>
      <c r="G1350" s="6" t="s">
        <v>6064</v>
      </c>
      <c r="H1350" s="6"/>
      <c r="I1350" s="6"/>
      <c r="J1350" s="6"/>
      <c r="K1350" s="6"/>
      <c r="L1350" s="6" t="s">
        <v>1377</v>
      </c>
      <c r="M1350" s="6"/>
      <c r="N1350" s="6" t="s">
        <v>1378</v>
      </c>
      <c r="O1350" s="6" t="str">
        <f>HYPERLINK("https://ceds.ed.gov/cedselementdetails.aspx?termid=5368")</f>
        <v>https://ceds.ed.gov/cedselementdetails.aspx?termid=5368</v>
      </c>
      <c r="P1350" s="6" t="str">
        <f>HYPERLINK("https://ceds.ed.gov/elementComment.aspx?elementName=Assessment Subtest Score Metric Type &amp;elementID=5368", "Click here to submit comment")</f>
        <v>Click here to submit comment</v>
      </c>
    </row>
    <row r="1351" spans="1:16" ht="90">
      <c r="A1351" s="6" t="s">
        <v>6788</v>
      </c>
      <c r="B1351" s="6" t="s">
        <v>6784</v>
      </c>
      <c r="C1351" s="6" t="s">
        <v>6830</v>
      </c>
      <c r="D1351" s="6" t="s">
        <v>3406</v>
      </c>
      <c r="E1351" s="6" t="s">
        <v>3407</v>
      </c>
      <c r="F1351" s="5" t="s">
        <v>939</v>
      </c>
      <c r="G1351" s="6" t="s">
        <v>6214</v>
      </c>
      <c r="H1351" s="6" t="s">
        <v>66</v>
      </c>
      <c r="I1351" s="6"/>
      <c r="J1351" s="6" t="s">
        <v>2645</v>
      </c>
      <c r="K1351" s="6" t="s">
        <v>3408</v>
      </c>
      <c r="L1351" s="6" t="s">
        <v>3409</v>
      </c>
      <c r="M1351" s="6"/>
      <c r="N1351" s="6" t="s">
        <v>3410</v>
      </c>
      <c r="O1351" s="6" t="str">
        <f>HYPERLINK("https://ceds.ed.gov/cedselementdetails.aspx?termid=5317")</f>
        <v>https://ceds.ed.gov/cedselementdetails.aspx?termid=5317</v>
      </c>
      <c r="P1351" s="6" t="str">
        <f>HYPERLINK("https://ceds.ed.gov/elementComment.aspx?elementName=Language Code &amp;elementID=5317", "Click here to submit comment")</f>
        <v>Click here to submit comment</v>
      </c>
    </row>
    <row r="1352" spans="1:16" ht="60">
      <c r="A1352" s="6" t="s">
        <v>6788</v>
      </c>
      <c r="B1352" s="6" t="s">
        <v>6784</v>
      </c>
      <c r="C1352" s="6" t="s">
        <v>6831</v>
      </c>
      <c r="D1352" s="6" t="s">
        <v>496</v>
      </c>
      <c r="E1352" s="6" t="s">
        <v>497</v>
      </c>
      <c r="F1352" s="6" t="s">
        <v>13</v>
      </c>
      <c r="G1352" s="6"/>
      <c r="H1352" s="6"/>
      <c r="I1352" s="6" t="s">
        <v>100</v>
      </c>
      <c r="J1352" s="6"/>
      <c r="K1352" s="6" t="s">
        <v>498</v>
      </c>
      <c r="L1352" s="6" t="s">
        <v>499</v>
      </c>
      <c r="M1352" s="6"/>
      <c r="N1352" s="6" t="s">
        <v>500</v>
      </c>
      <c r="O1352" s="6" t="str">
        <f>HYPERLINK("https://ceds.ed.gov/cedselementdetails.aspx?termid=5934")</f>
        <v>https://ceds.ed.gov/cedselementdetails.aspx?termid=5934</v>
      </c>
      <c r="P1352" s="6" t="str">
        <f>HYPERLINK("https://ceds.ed.gov/elementComment.aspx?elementName=Assessment Family Short Name &amp;elementID=5934", "Click here to submit comment")</f>
        <v>Click here to submit comment</v>
      </c>
    </row>
    <row r="1353" spans="1:16" ht="90">
      <c r="A1353" s="6" t="s">
        <v>6788</v>
      </c>
      <c r="B1353" s="6" t="s">
        <v>6784</v>
      </c>
      <c r="C1353" s="6" t="s">
        <v>6831</v>
      </c>
      <c r="D1353" s="6" t="s">
        <v>501</v>
      </c>
      <c r="E1353" s="6" t="s">
        <v>502</v>
      </c>
      <c r="F1353" s="6" t="s">
        <v>13</v>
      </c>
      <c r="G1353" s="6"/>
      <c r="H1353" s="6"/>
      <c r="I1353" s="6" t="s">
        <v>106</v>
      </c>
      <c r="J1353" s="6"/>
      <c r="K1353" s="6"/>
      <c r="L1353" s="6" t="s">
        <v>503</v>
      </c>
      <c r="M1353" s="6"/>
      <c r="N1353" s="6" t="s">
        <v>504</v>
      </c>
      <c r="O1353" s="6" t="str">
        <f>HYPERLINK("https://ceds.ed.gov/cedselementdetails.aspx?termid=5933")</f>
        <v>https://ceds.ed.gov/cedselementdetails.aspx?termid=5933</v>
      </c>
      <c r="P1353" s="6" t="str">
        <f>HYPERLINK("https://ceds.ed.gov/elementComment.aspx?elementName=Assessment Family Title &amp;elementID=5933", "Click here to submit comment")</f>
        <v>Click here to submit comment</v>
      </c>
    </row>
    <row r="1354" spans="1:16" ht="150">
      <c r="A1354" s="6" t="s">
        <v>6788</v>
      </c>
      <c r="B1354" s="6" t="s">
        <v>6784</v>
      </c>
      <c r="C1354" s="6" t="s">
        <v>6832</v>
      </c>
      <c r="D1354" s="6" t="s">
        <v>514</v>
      </c>
      <c r="E1354" s="6" t="s">
        <v>515</v>
      </c>
      <c r="F1354" s="6" t="s">
        <v>13</v>
      </c>
      <c r="G1354" s="6" t="s">
        <v>6006</v>
      </c>
      <c r="H1354" s="6"/>
      <c r="I1354" s="6" t="s">
        <v>149</v>
      </c>
      <c r="J1354" s="6"/>
      <c r="K1354" s="6"/>
      <c r="L1354" s="6" t="s">
        <v>516</v>
      </c>
      <c r="M1354" s="6"/>
      <c r="N1354" s="6" t="s">
        <v>517</v>
      </c>
      <c r="O1354" s="6" t="str">
        <f>HYPERLINK("https://ceds.ed.gov/cedselementdetails.aspx?termid=5024")</f>
        <v>https://ceds.ed.gov/cedselementdetails.aspx?termid=5024</v>
      </c>
      <c r="P1354" s="6" t="str">
        <f>HYPERLINK("https://ceds.ed.gov/elementComment.aspx?elementName=Assessment Form Name &amp;elementID=5024", "Click here to submit comment")</f>
        <v>Click here to submit comment</v>
      </c>
    </row>
    <row r="1355" spans="1:16" ht="45">
      <c r="A1355" s="6" t="s">
        <v>6788</v>
      </c>
      <c r="B1355" s="6" t="s">
        <v>6784</v>
      </c>
      <c r="C1355" s="6" t="s">
        <v>6832</v>
      </c>
      <c r="D1355" s="6" t="s">
        <v>518</v>
      </c>
      <c r="E1355" s="6" t="s">
        <v>519</v>
      </c>
      <c r="F1355" s="6" t="s">
        <v>13</v>
      </c>
      <c r="G1355" s="6" t="s">
        <v>5992</v>
      </c>
      <c r="H1355" s="6"/>
      <c r="I1355" s="6" t="s">
        <v>100</v>
      </c>
      <c r="J1355" s="6"/>
      <c r="K1355" s="6"/>
      <c r="L1355" s="6" t="s">
        <v>520</v>
      </c>
      <c r="M1355" s="6"/>
      <c r="N1355" s="6" t="s">
        <v>521</v>
      </c>
      <c r="O1355" s="6" t="str">
        <f>HYPERLINK("https://ceds.ed.gov/cedselementdetails.aspx?termid=5365")</f>
        <v>https://ceds.ed.gov/cedselementdetails.aspx?termid=5365</v>
      </c>
      <c r="P1355" s="6" t="str">
        <f>HYPERLINK("https://ceds.ed.gov/elementComment.aspx?elementName=Assessment Form Number &amp;elementID=5365", "Click here to submit comment")</f>
        <v>Click here to submit comment</v>
      </c>
    </row>
    <row r="1356" spans="1:16" ht="405">
      <c r="A1356" s="6" t="s">
        <v>6788</v>
      </c>
      <c r="B1356" s="6" t="s">
        <v>6784</v>
      </c>
      <c r="C1356" s="6" t="s">
        <v>6832</v>
      </c>
      <c r="D1356" s="6" t="s">
        <v>395</v>
      </c>
      <c r="E1356" s="6" t="s">
        <v>396</v>
      </c>
      <c r="F1356" s="7" t="s">
        <v>6375</v>
      </c>
      <c r="G1356" s="6" t="s">
        <v>5990</v>
      </c>
      <c r="H1356" s="6"/>
      <c r="I1356" s="6"/>
      <c r="J1356" s="6"/>
      <c r="K1356" s="6"/>
      <c r="L1356" s="6" t="s">
        <v>397</v>
      </c>
      <c r="M1356" s="6"/>
      <c r="N1356" s="6" t="s">
        <v>398</v>
      </c>
      <c r="O1356" s="6" t="str">
        <f>HYPERLINK("https://ceds.ed.gov/cedselementdetails.aspx?termid=5021")</f>
        <v>https://ceds.ed.gov/cedselementdetails.aspx?termid=5021</v>
      </c>
      <c r="P1356" s="6" t="str">
        <f>HYPERLINK("https://ceds.ed.gov/elementComment.aspx?elementName=Assessment Academic Subject &amp;elementID=5021", "Click here to submit comment")</f>
        <v>Click here to submit comment</v>
      </c>
    </row>
    <row r="1357" spans="1:16" ht="75">
      <c r="A1357" s="6" t="s">
        <v>6788</v>
      </c>
      <c r="B1357" s="6" t="s">
        <v>6784</v>
      </c>
      <c r="C1357" s="6" t="s">
        <v>6832</v>
      </c>
      <c r="D1357" s="6" t="s">
        <v>505</v>
      </c>
      <c r="E1357" s="6" t="s">
        <v>506</v>
      </c>
      <c r="F1357" s="6" t="s">
        <v>13</v>
      </c>
      <c r="G1357" s="6"/>
      <c r="H1357" s="6"/>
      <c r="I1357" s="6" t="s">
        <v>319</v>
      </c>
      <c r="J1357" s="6"/>
      <c r="K1357" s="6"/>
      <c r="L1357" s="6" t="s">
        <v>507</v>
      </c>
      <c r="M1357" s="6"/>
      <c r="N1357" s="6" t="s">
        <v>508</v>
      </c>
      <c r="O1357" s="6" t="str">
        <f>HYPERLINK("https://ceds.ed.gov/cedselementdetails.aspx?termid=6136")</f>
        <v>https://ceds.ed.gov/cedselementdetails.aspx?termid=6136</v>
      </c>
      <c r="P1357" s="6" t="str">
        <f>HYPERLINK("https://ceds.ed.gov/elementComment.aspx?elementName=Assessment Form Accommodation List &amp;elementID=6136", "Click here to submit comment")</f>
        <v>Click here to submit comment</v>
      </c>
    </row>
    <row r="1358" spans="1:16" ht="75">
      <c r="A1358" s="6" t="s">
        <v>6788</v>
      </c>
      <c r="B1358" s="6" t="s">
        <v>6784</v>
      </c>
      <c r="C1358" s="6" t="s">
        <v>6832</v>
      </c>
      <c r="D1358" s="6" t="s">
        <v>509</v>
      </c>
      <c r="E1358" s="6" t="s">
        <v>510</v>
      </c>
      <c r="F1358" s="6" t="s">
        <v>13</v>
      </c>
      <c r="G1358" s="6"/>
      <c r="H1358" s="6" t="s">
        <v>66</v>
      </c>
      <c r="I1358" s="6" t="s">
        <v>73</v>
      </c>
      <c r="J1358" s="6" t="s">
        <v>511</v>
      </c>
      <c r="K1358" s="6"/>
      <c r="L1358" s="6" t="s">
        <v>512</v>
      </c>
      <c r="M1358" s="6"/>
      <c r="N1358" s="6" t="s">
        <v>513</v>
      </c>
      <c r="O1358" s="6" t="str">
        <f>HYPERLINK("https://ceds.ed.gov/cedselementdetails.aspx?termid=6138")</f>
        <v>https://ceds.ed.gov/cedselementdetails.aspx?termid=6138</v>
      </c>
      <c r="P1358" s="6" t="str">
        <f>HYPERLINK("https://ceds.ed.gov/elementComment.aspx?elementName=Assessment Form Intended Administration End Date &amp;elementID=6138", "Click here to submit comment")</f>
        <v>Click here to submit comment</v>
      </c>
    </row>
    <row r="1359" spans="1:16" ht="45">
      <c r="A1359" s="6" t="s">
        <v>6788</v>
      </c>
      <c r="B1359" s="6" t="s">
        <v>6784</v>
      </c>
      <c r="C1359" s="6" t="s">
        <v>6832</v>
      </c>
      <c r="D1359" s="6" t="s">
        <v>522</v>
      </c>
      <c r="E1359" s="6" t="s">
        <v>523</v>
      </c>
      <c r="F1359" s="6" t="s">
        <v>13</v>
      </c>
      <c r="G1359" s="6"/>
      <c r="H1359" s="6"/>
      <c r="I1359" s="6" t="s">
        <v>319</v>
      </c>
      <c r="J1359" s="6"/>
      <c r="K1359" s="6"/>
      <c r="L1359" s="6" t="s">
        <v>524</v>
      </c>
      <c r="M1359" s="6"/>
      <c r="N1359" s="6" t="s">
        <v>525</v>
      </c>
      <c r="O1359" s="6" t="str">
        <f>HYPERLINK("https://ceds.ed.gov/cedselementdetails.aspx?termid=6139")</f>
        <v>https://ceds.ed.gov/cedselementdetails.aspx?termid=6139</v>
      </c>
      <c r="P1359" s="6" t="str">
        <f>HYPERLINK("https://ceds.ed.gov/elementComment.aspx?elementName=Assessment Form Platforms Supported &amp;elementID=6139", "Click here to submit comment")</f>
        <v>Click here to submit comment</v>
      </c>
    </row>
    <row r="1360" spans="1:16" ht="30">
      <c r="A1360" s="6" t="s">
        <v>6788</v>
      </c>
      <c r="B1360" s="6" t="s">
        <v>6784</v>
      </c>
      <c r="C1360" s="6" t="s">
        <v>6832</v>
      </c>
      <c r="D1360" s="6" t="s">
        <v>578</v>
      </c>
      <c r="E1360" s="6" t="s">
        <v>579</v>
      </c>
      <c r="F1360" s="6" t="s">
        <v>13</v>
      </c>
      <c r="G1360" s="6"/>
      <c r="H1360" s="6"/>
      <c r="I1360" s="6" t="s">
        <v>100</v>
      </c>
      <c r="J1360" s="6"/>
      <c r="K1360" s="6"/>
      <c r="L1360" s="6" t="s">
        <v>580</v>
      </c>
      <c r="M1360" s="6"/>
      <c r="N1360" s="6" t="s">
        <v>581</v>
      </c>
      <c r="O1360" s="6" t="str">
        <f>HYPERLINK("https://ceds.ed.gov/cedselementdetails.aspx?termid=6134")</f>
        <v>https://ceds.ed.gov/cedselementdetails.aspx?termid=6134</v>
      </c>
      <c r="P1360" s="6" t="str">
        <f>HYPERLINK("https://ceds.ed.gov/elementComment.aspx?elementName=Assessment Form Version &amp;elementID=6134", "Click here to submit comment")</f>
        <v>Click here to submit comment</v>
      </c>
    </row>
    <row r="1361" spans="1:16" ht="45">
      <c r="A1361" s="6" t="s">
        <v>6788</v>
      </c>
      <c r="B1361" s="6" t="s">
        <v>6784</v>
      </c>
      <c r="C1361" s="6" t="s">
        <v>6832</v>
      </c>
      <c r="D1361" s="6" t="s">
        <v>937</v>
      </c>
      <c r="E1361" s="6" t="s">
        <v>938</v>
      </c>
      <c r="F1361" s="5" t="s">
        <v>939</v>
      </c>
      <c r="G1361" s="6"/>
      <c r="H1361" s="6"/>
      <c r="I1361" s="6"/>
      <c r="J1361" s="6"/>
      <c r="K1361" s="6"/>
      <c r="L1361" s="6" t="s">
        <v>940</v>
      </c>
      <c r="M1361" s="6"/>
      <c r="N1361" s="6" t="s">
        <v>941</v>
      </c>
      <c r="O1361" s="6" t="str">
        <f>HYPERLINK("https://ceds.ed.gov/cedselementdetails.aspx?termid=6073")</f>
        <v>https://ceds.ed.gov/cedselementdetails.aspx?termid=6073</v>
      </c>
      <c r="P1361" s="6" t="str">
        <f>HYPERLINK("https://ceds.ed.gov/elementComment.aspx?elementName=Assessment Language &amp;elementID=6073", "Click here to submit comment")</f>
        <v>Click here to submit comment</v>
      </c>
    </row>
    <row r="1362" spans="1:16" ht="45">
      <c r="A1362" s="6" t="s">
        <v>6788</v>
      </c>
      <c r="B1362" s="6" t="s">
        <v>6784</v>
      </c>
      <c r="C1362" s="6" t="s">
        <v>6832</v>
      </c>
      <c r="D1362" s="6" t="s">
        <v>3347</v>
      </c>
      <c r="E1362" s="6" t="s">
        <v>3348</v>
      </c>
      <c r="F1362" s="6" t="s">
        <v>13</v>
      </c>
      <c r="G1362" s="6"/>
      <c r="H1362" s="6"/>
      <c r="I1362" s="6" t="s">
        <v>73</v>
      </c>
      <c r="J1362" s="6"/>
      <c r="K1362" s="6"/>
      <c r="L1362" s="6" t="s">
        <v>3349</v>
      </c>
      <c r="M1362" s="6"/>
      <c r="N1362" s="6" t="s">
        <v>3350</v>
      </c>
      <c r="O1362" s="6" t="str">
        <f>HYPERLINK("https://ceds.ed.gov/cedselementdetails.aspx?termid=6137")</f>
        <v>https://ceds.ed.gov/cedselementdetails.aspx?termid=6137</v>
      </c>
      <c r="P1362" s="6" t="str">
        <f>HYPERLINK("https://ceds.ed.gov/elementComment.aspx?elementName=Intended Administration Start Date &amp;elementID=6137", "Click here to submit comment")</f>
        <v>Click here to submit comment</v>
      </c>
    </row>
    <row r="1363" spans="1:16" ht="60">
      <c r="A1363" s="6" t="s">
        <v>6788</v>
      </c>
      <c r="B1363" s="6" t="s">
        <v>6784</v>
      </c>
      <c r="C1363" s="6" t="s">
        <v>6832</v>
      </c>
      <c r="D1363" s="6" t="s">
        <v>3665</v>
      </c>
      <c r="E1363" s="6" t="s">
        <v>3666</v>
      </c>
      <c r="F1363" s="6" t="s">
        <v>13</v>
      </c>
      <c r="G1363" s="6"/>
      <c r="H1363" s="6"/>
      <c r="I1363" s="6" t="s">
        <v>73</v>
      </c>
      <c r="J1363" s="6"/>
      <c r="K1363" s="6"/>
      <c r="L1363" s="6" t="s">
        <v>3667</v>
      </c>
      <c r="M1363" s="6"/>
      <c r="N1363" s="6" t="s">
        <v>3668</v>
      </c>
      <c r="O1363" s="6" t="str">
        <f>HYPERLINK("https://ceds.ed.gov/cedselementdetails.aspx?termid=6135")</f>
        <v>https://ceds.ed.gov/cedselementdetails.aspx?termid=6135</v>
      </c>
      <c r="P1363" s="6" t="str">
        <f>HYPERLINK("https://ceds.ed.gov/elementComment.aspx?elementName=Learning Resource Published Date &amp;elementID=6135", "Click here to submit comment")</f>
        <v>Click here to submit comment</v>
      </c>
    </row>
    <row r="1364" spans="1:16" ht="75">
      <c r="A1364" s="6" t="s">
        <v>6788</v>
      </c>
      <c r="B1364" s="6" t="s">
        <v>6784</v>
      </c>
      <c r="C1364" s="6" t="s">
        <v>6833</v>
      </c>
      <c r="D1364" s="6" t="s">
        <v>526</v>
      </c>
      <c r="E1364" s="6" t="s">
        <v>527</v>
      </c>
      <c r="F1364" s="6" t="s">
        <v>13</v>
      </c>
      <c r="G1364" s="6"/>
      <c r="H1364" s="6"/>
      <c r="I1364" s="6" t="s">
        <v>528</v>
      </c>
      <c r="J1364" s="6"/>
      <c r="K1364" s="6"/>
      <c r="L1364" s="6" t="s">
        <v>529</v>
      </c>
      <c r="M1364" s="6"/>
      <c r="N1364" s="6" t="s">
        <v>530</v>
      </c>
      <c r="O1364" s="6" t="str">
        <f>HYPERLINK("https://ceds.ed.gov/cedselementdetails.aspx?termid=5981")</f>
        <v>https://ceds.ed.gov/cedselementdetails.aspx?termid=5981</v>
      </c>
      <c r="P1364" s="6" t="str">
        <f>HYPERLINK("https://ceds.ed.gov/elementComment.aspx?elementName=Assessment Form Section GUID &amp;elementID=5981", "Click here to submit comment")</f>
        <v>Click here to submit comment</v>
      </c>
    </row>
    <row r="1365" spans="1:16" ht="75">
      <c r="A1365" s="6" t="s">
        <v>6788</v>
      </c>
      <c r="B1365" s="6" t="s">
        <v>6784</v>
      </c>
      <c r="C1365" s="6" t="s">
        <v>6833</v>
      </c>
      <c r="D1365" s="6" t="s">
        <v>531</v>
      </c>
      <c r="E1365" s="6" t="s">
        <v>532</v>
      </c>
      <c r="F1365" s="6" t="s">
        <v>13</v>
      </c>
      <c r="G1365" s="6"/>
      <c r="H1365" s="6"/>
      <c r="I1365" s="6" t="s">
        <v>100</v>
      </c>
      <c r="J1365" s="6"/>
      <c r="K1365" s="6"/>
      <c r="L1365" s="6" t="s">
        <v>533</v>
      </c>
      <c r="M1365" s="6"/>
      <c r="N1365" s="6" t="s">
        <v>534</v>
      </c>
      <c r="O1365" s="6" t="str">
        <f>HYPERLINK("https://ceds.ed.gov/cedselementdetails.aspx?termid=6142")</f>
        <v>https://ceds.ed.gov/cedselementdetails.aspx?termid=6142</v>
      </c>
      <c r="P1365" s="6" t="str">
        <f>HYPERLINK("https://ceds.ed.gov/elementComment.aspx?elementName=Assessment Form Section Identifier &amp;elementID=6142", "Click here to submit comment")</f>
        <v>Click here to submit comment</v>
      </c>
    </row>
    <row r="1366" spans="1:16" ht="405">
      <c r="A1366" s="6" t="s">
        <v>6788</v>
      </c>
      <c r="B1366" s="6" t="s">
        <v>6784</v>
      </c>
      <c r="C1366" s="6" t="s">
        <v>6833</v>
      </c>
      <c r="D1366" s="6" t="s">
        <v>395</v>
      </c>
      <c r="E1366" s="6" t="s">
        <v>396</v>
      </c>
      <c r="F1366" s="7" t="s">
        <v>6375</v>
      </c>
      <c r="G1366" s="6" t="s">
        <v>5990</v>
      </c>
      <c r="H1366" s="6"/>
      <c r="I1366" s="6"/>
      <c r="J1366" s="6"/>
      <c r="K1366" s="6"/>
      <c r="L1366" s="6" t="s">
        <v>397</v>
      </c>
      <c r="M1366" s="6"/>
      <c r="N1366" s="6" t="s">
        <v>398</v>
      </c>
      <c r="O1366" s="6" t="str">
        <f>HYPERLINK("https://ceds.ed.gov/cedselementdetails.aspx?termid=5021")</f>
        <v>https://ceds.ed.gov/cedselementdetails.aspx?termid=5021</v>
      </c>
      <c r="P1366" s="6" t="str">
        <f>HYPERLINK("https://ceds.ed.gov/elementComment.aspx?elementName=Assessment Academic Subject &amp;elementID=5021", "Click here to submit comment")</f>
        <v>Click here to submit comment</v>
      </c>
    </row>
    <row r="1367" spans="1:16" ht="45">
      <c r="A1367" s="6" t="s">
        <v>6788</v>
      </c>
      <c r="B1367" s="6" t="s">
        <v>6784</v>
      </c>
      <c r="C1367" s="6" t="s">
        <v>6833</v>
      </c>
      <c r="D1367" s="6" t="s">
        <v>543</v>
      </c>
      <c r="E1367" s="6" t="s">
        <v>544</v>
      </c>
      <c r="F1367" s="6" t="s">
        <v>13</v>
      </c>
      <c r="G1367" s="6"/>
      <c r="H1367" s="6"/>
      <c r="I1367" s="6" t="s">
        <v>545</v>
      </c>
      <c r="J1367" s="6"/>
      <c r="K1367" s="6"/>
      <c r="L1367" s="6" t="s">
        <v>546</v>
      </c>
      <c r="M1367" s="6"/>
      <c r="N1367" s="6" t="s">
        <v>547</v>
      </c>
      <c r="O1367" s="6" t="str">
        <f>HYPERLINK("https://ceds.ed.gov/cedselementdetails.aspx?termid=5980")</f>
        <v>https://ceds.ed.gov/cedselementdetails.aspx?termid=5980</v>
      </c>
      <c r="P1367" s="6" t="str">
        <f>HYPERLINK("https://ceds.ed.gov/elementComment.aspx?elementName=Assessment Form Section Sequence Number &amp;elementID=5980", "Click here to submit comment")</f>
        <v>Click here to submit comment</v>
      </c>
    </row>
    <row r="1368" spans="1:16" ht="45">
      <c r="A1368" s="6" t="s">
        <v>6788</v>
      </c>
      <c r="B1368" s="6" t="s">
        <v>6784</v>
      </c>
      <c r="C1368" s="6" t="s">
        <v>6833</v>
      </c>
      <c r="D1368" s="6" t="s">
        <v>552</v>
      </c>
      <c r="E1368" s="6" t="s">
        <v>553</v>
      </c>
      <c r="F1368" s="6" t="s">
        <v>13</v>
      </c>
      <c r="G1368" s="6"/>
      <c r="H1368" s="6"/>
      <c r="I1368" s="6" t="s">
        <v>100</v>
      </c>
      <c r="J1368" s="6"/>
      <c r="K1368" s="6"/>
      <c r="L1368" s="6" t="s">
        <v>554</v>
      </c>
      <c r="M1368" s="6"/>
      <c r="N1368" s="6" t="s">
        <v>555</v>
      </c>
      <c r="O1368" s="6" t="str">
        <f>HYPERLINK("https://ceds.ed.gov/cedselementdetails.aspx?termid=6140")</f>
        <v>https://ceds.ed.gov/cedselementdetails.aspx?termid=6140</v>
      </c>
      <c r="P1368" s="6" t="str">
        <f>HYPERLINK("https://ceds.ed.gov/elementComment.aspx?elementName=Assessment Form Section Version &amp;elementID=6140", "Click here to submit comment")</f>
        <v>Click here to submit comment</v>
      </c>
    </row>
    <row r="1369" spans="1:16" ht="75">
      <c r="A1369" s="6" t="s">
        <v>6788</v>
      </c>
      <c r="B1369" s="6" t="s">
        <v>6784</v>
      </c>
      <c r="C1369" s="6" t="s">
        <v>6833</v>
      </c>
      <c r="D1369" s="6" t="s">
        <v>3080</v>
      </c>
      <c r="E1369" s="6" t="s">
        <v>3081</v>
      </c>
      <c r="F1369" s="6" t="s">
        <v>6065</v>
      </c>
      <c r="G1369" s="6"/>
      <c r="H1369" s="6"/>
      <c r="I1369" s="6"/>
      <c r="J1369" s="6"/>
      <c r="K1369" s="6"/>
      <c r="L1369" s="6" t="s">
        <v>3082</v>
      </c>
      <c r="M1369" s="6"/>
      <c r="N1369" s="6" t="s">
        <v>3083</v>
      </c>
      <c r="O1369" s="6" t="str">
        <f>HYPERLINK("https://ceds.ed.gov/cedselementdetails.aspx?termid=6141")</f>
        <v>https://ceds.ed.gov/cedselementdetails.aspx?termid=6141</v>
      </c>
      <c r="P1369" s="6" t="str">
        <f>HYPERLINK("https://ceds.ed.gov/elementComment.aspx?elementName=Identification System for Assessment Form Section &amp;elementID=6141", "Click here to submit comment")</f>
        <v>Click here to submit comment</v>
      </c>
    </row>
    <row r="1370" spans="1:16" ht="60">
      <c r="A1370" s="6" t="s">
        <v>6788</v>
      </c>
      <c r="B1370" s="6" t="s">
        <v>6784</v>
      </c>
      <c r="C1370" s="6" t="s">
        <v>6833</v>
      </c>
      <c r="D1370" s="6" t="s">
        <v>548</v>
      </c>
      <c r="E1370" s="6" t="s">
        <v>549</v>
      </c>
      <c r="F1370" s="6" t="s">
        <v>13</v>
      </c>
      <c r="G1370" s="6"/>
      <c r="H1370" s="6"/>
      <c r="I1370" s="6" t="s">
        <v>426</v>
      </c>
      <c r="J1370" s="6"/>
      <c r="K1370" s="6"/>
      <c r="L1370" s="6" t="s">
        <v>550</v>
      </c>
      <c r="M1370" s="6"/>
      <c r="N1370" s="6" t="s">
        <v>551</v>
      </c>
      <c r="O1370" s="6" t="str">
        <f>HYPERLINK("https://ceds.ed.gov/cedselementdetails.aspx?termid=6143")</f>
        <v>https://ceds.ed.gov/cedselementdetails.aspx?termid=6143</v>
      </c>
      <c r="P1370" s="6" t="str">
        <f>HYPERLINK("https://ceds.ed.gov/elementComment.aspx?elementName=Assessment Form Section Time Limit &amp;elementID=6143", "Click here to submit comment")</f>
        <v>Click here to submit comment</v>
      </c>
    </row>
    <row r="1371" spans="1:16" ht="60">
      <c r="A1371" s="6" t="s">
        <v>6788</v>
      </c>
      <c r="B1371" s="6" t="s">
        <v>6784</v>
      </c>
      <c r="C1371" s="6" t="s">
        <v>6833</v>
      </c>
      <c r="D1371" s="6" t="s">
        <v>539</v>
      </c>
      <c r="E1371" s="6" t="s">
        <v>540</v>
      </c>
      <c r="F1371" s="6" t="s">
        <v>5963</v>
      </c>
      <c r="G1371" s="6"/>
      <c r="H1371" s="6"/>
      <c r="I1371" s="6"/>
      <c r="J1371" s="6"/>
      <c r="K1371" s="6"/>
      <c r="L1371" s="6" t="s">
        <v>541</v>
      </c>
      <c r="M1371" s="6"/>
      <c r="N1371" s="6" t="s">
        <v>542</v>
      </c>
      <c r="O1371" s="6" t="str">
        <f>HYPERLINK("https://ceds.ed.gov/cedselementdetails.aspx?termid=6144")</f>
        <v>https://ceds.ed.gov/cedselementdetails.aspx?termid=6144</v>
      </c>
      <c r="P1371" s="6" t="str">
        <f>HYPERLINK("https://ceds.ed.gov/elementComment.aspx?elementName=Assessment Form Section Sealed &amp;elementID=6144", "Click here to submit comment")</f>
        <v>Click here to submit comment</v>
      </c>
    </row>
    <row r="1372" spans="1:16" ht="150">
      <c r="A1372" s="6" t="s">
        <v>6788</v>
      </c>
      <c r="B1372" s="6" t="s">
        <v>6784</v>
      </c>
      <c r="C1372" s="6" t="s">
        <v>6833</v>
      </c>
      <c r="D1372" s="6" t="s">
        <v>535</v>
      </c>
      <c r="E1372" s="6" t="s">
        <v>536</v>
      </c>
      <c r="F1372" s="6" t="s">
        <v>5963</v>
      </c>
      <c r="G1372" s="6"/>
      <c r="H1372" s="6"/>
      <c r="I1372" s="6"/>
      <c r="J1372" s="6"/>
      <c r="K1372" s="6"/>
      <c r="L1372" s="6" t="s">
        <v>537</v>
      </c>
      <c r="M1372" s="6"/>
      <c r="N1372" s="6" t="s">
        <v>538</v>
      </c>
      <c r="O1372" s="6" t="str">
        <f>HYPERLINK("https://ceds.ed.gov/cedselementdetails.aspx?termid=6145")</f>
        <v>https://ceds.ed.gov/cedselementdetails.aspx?termid=6145</v>
      </c>
      <c r="P1372" s="6" t="str">
        <f>HYPERLINK("https://ceds.ed.gov/elementComment.aspx?elementName=Assessment Form Section Reentry &amp;elementID=6145", "Click here to submit comment")</f>
        <v>Click here to submit comment</v>
      </c>
    </row>
    <row r="1373" spans="1:16" ht="60">
      <c r="A1373" s="6" t="s">
        <v>6788</v>
      </c>
      <c r="B1373" s="6" t="s">
        <v>6784</v>
      </c>
      <c r="C1373" s="6" t="s">
        <v>6833</v>
      </c>
      <c r="D1373" s="6" t="s">
        <v>3665</v>
      </c>
      <c r="E1373" s="6" t="s">
        <v>3666</v>
      </c>
      <c r="F1373" s="6" t="s">
        <v>13</v>
      </c>
      <c r="G1373" s="6"/>
      <c r="H1373" s="6"/>
      <c r="I1373" s="6" t="s">
        <v>73</v>
      </c>
      <c r="J1373" s="6"/>
      <c r="K1373" s="6"/>
      <c r="L1373" s="6" t="s">
        <v>3667</v>
      </c>
      <c r="M1373" s="6"/>
      <c r="N1373" s="6" t="s">
        <v>3668</v>
      </c>
      <c r="O1373" s="6" t="str">
        <f>HYPERLINK("https://ceds.ed.gov/cedselementdetails.aspx?termid=6135")</f>
        <v>https://ceds.ed.gov/cedselementdetails.aspx?termid=6135</v>
      </c>
      <c r="P1373" s="6" t="str">
        <f>HYPERLINK("https://ceds.ed.gov/elementComment.aspx?elementName=Learning Resource Published Date &amp;elementID=6135", "Click here to submit comment")</f>
        <v>Click here to submit comment</v>
      </c>
    </row>
    <row r="1374" spans="1:16" ht="150">
      <c r="A1374" s="6" t="s">
        <v>6788</v>
      </c>
      <c r="B1374" s="6" t="s">
        <v>6784</v>
      </c>
      <c r="C1374" s="6" t="s">
        <v>6834</v>
      </c>
      <c r="D1374" s="6" t="s">
        <v>561</v>
      </c>
      <c r="E1374" s="6" t="s">
        <v>562</v>
      </c>
      <c r="F1374" s="6" t="s">
        <v>13</v>
      </c>
      <c r="G1374" s="6"/>
      <c r="H1374" s="6"/>
      <c r="I1374" s="6" t="s">
        <v>545</v>
      </c>
      <c r="J1374" s="6"/>
      <c r="K1374" s="6"/>
      <c r="L1374" s="6" t="s">
        <v>563</v>
      </c>
      <c r="M1374" s="6"/>
      <c r="N1374" s="6" t="s">
        <v>564</v>
      </c>
      <c r="O1374" s="6" t="str">
        <f>HYPERLINK("https://ceds.ed.gov/cedselementdetails.aspx?termid=6013")</f>
        <v>https://ceds.ed.gov/cedselementdetails.aspx?termid=6013</v>
      </c>
      <c r="P1374" s="6" t="str">
        <f>HYPERLINK("https://ceds.ed.gov/elementComment.aspx?elementName=Assessment Form Subtest Item Weight Correct &amp;elementID=6013", "Click here to submit comment")</f>
        <v>Click here to submit comment</v>
      </c>
    </row>
    <row r="1375" spans="1:16" ht="90">
      <c r="A1375" s="6" t="s">
        <v>6788</v>
      </c>
      <c r="B1375" s="6" t="s">
        <v>6784</v>
      </c>
      <c r="C1375" s="6" t="s">
        <v>6834</v>
      </c>
      <c r="D1375" s="6" t="s">
        <v>565</v>
      </c>
      <c r="E1375" s="6" t="s">
        <v>566</v>
      </c>
      <c r="F1375" s="6" t="s">
        <v>13</v>
      </c>
      <c r="G1375" s="6"/>
      <c r="H1375" s="6"/>
      <c r="I1375" s="6" t="s">
        <v>545</v>
      </c>
      <c r="J1375" s="6"/>
      <c r="K1375" s="6"/>
      <c r="L1375" s="6" t="s">
        <v>567</v>
      </c>
      <c r="M1375" s="6"/>
      <c r="N1375" s="6" t="s">
        <v>568</v>
      </c>
      <c r="O1375" s="6" t="str">
        <f>HYPERLINK("https://ceds.ed.gov/cedselementdetails.aspx?termid=6014")</f>
        <v>https://ceds.ed.gov/cedselementdetails.aspx?termid=6014</v>
      </c>
      <c r="P1375" s="6" t="str">
        <f>HYPERLINK("https://ceds.ed.gov/elementComment.aspx?elementName=Assessment Form Subtest Item Weight Incorrect &amp;elementID=6014", "Click here to submit comment")</f>
        <v>Click here to submit comment</v>
      </c>
    </row>
    <row r="1376" spans="1:16" ht="105">
      <c r="A1376" s="6" t="s">
        <v>6788</v>
      </c>
      <c r="B1376" s="6" t="s">
        <v>6784</v>
      </c>
      <c r="C1376" s="6" t="s">
        <v>6834</v>
      </c>
      <c r="D1376" s="6" t="s">
        <v>569</v>
      </c>
      <c r="E1376" s="6" t="s">
        <v>570</v>
      </c>
      <c r="F1376" s="6" t="s">
        <v>13</v>
      </c>
      <c r="G1376" s="6"/>
      <c r="H1376" s="6"/>
      <c r="I1376" s="6" t="s">
        <v>545</v>
      </c>
      <c r="J1376" s="6"/>
      <c r="K1376" s="6"/>
      <c r="L1376" s="6" t="s">
        <v>571</v>
      </c>
      <c r="M1376" s="6"/>
      <c r="N1376" s="6" t="s">
        <v>572</v>
      </c>
      <c r="O1376" s="6" t="str">
        <f>HYPERLINK("https://ceds.ed.gov/cedselementdetails.aspx?termid=6015")</f>
        <v>https://ceds.ed.gov/cedselementdetails.aspx?termid=6015</v>
      </c>
      <c r="P1376" s="6" t="str">
        <f>HYPERLINK("https://ceds.ed.gov/elementComment.aspx?elementName=Assessment Form Subtest Item Weight Not Attempted &amp;elementID=6015", "Click here to submit comment")</f>
        <v>Click here to submit comment</v>
      </c>
    </row>
    <row r="1377" spans="1:16" ht="45">
      <c r="A1377" s="6" t="s">
        <v>6788</v>
      </c>
      <c r="B1377" s="6" t="s">
        <v>6784</v>
      </c>
      <c r="C1377" s="6" t="s">
        <v>6835</v>
      </c>
      <c r="D1377" s="6" t="s">
        <v>1281</v>
      </c>
      <c r="E1377" s="6" t="s">
        <v>1282</v>
      </c>
      <c r="F1377" s="6" t="s">
        <v>6062</v>
      </c>
      <c r="G1377" s="6"/>
      <c r="H1377" s="6"/>
      <c r="I1377" s="6"/>
      <c r="J1377" s="6"/>
      <c r="K1377" s="6"/>
      <c r="L1377" s="6" t="s">
        <v>1283</v>
      </c>
      <c r="M1377" s="6"/>
      <c r="N1377" s="6" t="s">
        <v>1284</v>
      </c>
      <c r="O1377" s="6" t="str">
        <f>HYPERLINK("https://ceds.ed.gov/cedselementdetails.aspx?termid=6020")</f>
        <v>https://ceds.ed.gov/cedselementdetails.aspx?termid=6020</v>
      </c>
      <c r="P1377" s="6" t="str">
        <f>HYPERLINK("https://ceds.ed.gov/elementComment.aspx?elementName=Assessment Session Type &amp;elementID=6020", "Click here to submit comment")</f>
        <v>Click here to submit comment</v>
      </c>
    </row>
    <row r="1378" spans="1:16" ht="45">
      <c r="A1378" s="6" t="s">
        <v>6788</v>
      </c>
      <c r="B1378" s="6" t="s">
        <v>6784</v>
      </c>
      <c r="C1378" s="6" t="s">
        <v>6835</v>
      </c>
      <c r="D1378" s="6" t="s">
        <v>1247</v>
      </c>
      <c r="E1378" s="6" t="s">
        <v>1248</v>
      </c>
      <c r="F1378" s="6" t="s">
        <v>13</v>
      </c>
      <c r="G1378" s="6" t="s">
        <v>5992</v>
      </c>
      <c r="H1378" s="6"/>
      <c r="I1378" s="6" t="s">
        <v>1249</v>
      </c>
      <c r="J1378" s="6"/>
      <c r="K1378" s="6"/>
      <c r="L1378" s="6" t="s">
        <v>1250</v>
      </c>
      <c r="M1378" s="6"/>
      <c r="N1378" s="6" t="s">
        <v>1251</v>
      </c>
      <c r="O1378" s="6" t="str">
        <f>HYPERLINK("https://ceds.ed.gov/cedselementdetails.aspx?termid=5590")</f>
        <v>https://ceds.ed.gov/cedselementdetails.aspx?termid=5590</v>
      </c>
      <c r="P1378" s="6" t="str">
        <f>HYPERLINK("https://ceds.ed.gov/elementComment.aspx?elementName=Assessment Session Location &amp;elementID=5590", "Click here to submit comment")</f>
        <v>Click here to submit comment</v>
      </c>
    </row>
    <row r="1379" spans="1:16" ht="45">
      <c r="A1379" s="6" t="s">
        <v>6788</v>
      </c>
      <c r="B1379" s="6" t="s">
        <v>6784</v>
      </c>
      <c r="C1379" s="6" t="s">
        <v>6835</v>
      </c>
      <c r="D1379" s="6" t="s">
        <v>1261</v>
      </c>
      <c r="E1379" s="6" t="s">
        <v>1262</v>
      </c>
      <c r="F1379" s="6" t="s">
        <v>13</v>
      </c>
      <c r="G1379" s="6"/>
      <c r="H1379" s="6"/>
      <c r="I1379" s="6" t="s">
        <v>1168</v>
      </c>
      <c r="J1379" s="6"/>
      <c r="K1379" s="6"/>
      <c r="L1379" s="6" t="s">
        <v>1263</v>
      </c>
      <c r="M1379" s="6"/>
      <c r="N1379" s="6" t="s">
        <v>1264</v>
      </c>
      <c r="O1379" s="6" t="str">
        <f>HYPERLINK("https://ceds.ed.gov/cedselementdetails.aspx?termid=6021")</f>
        <v>https://ceds.ed.gov/cedselementdetails.aspx?termid=6021</v>
      </c>
      <c r="P1379" s="6" t="str">
        <f>HYPERLINK("https://ceds.ed.gov/elementComment.aspx?elementName=Assessment Session Scheduled Start Date Time &amp;elementID=6021", "Click here to submit comment")</f>
        <v>Click here to submit comment</v>
      </c>
    </row>
    <row r="1380" spans="1:16" ht="45">
      <c r="A1380" s="6" t="s">
        <v>6788</v>
      </c>
      <c r="B1380" s="6" t="s">
        <v>6784</v>
      </c>
      <c r="C1380" s="6" t="s">
        <v>6835</v>
      </c>
      <c r="D1380" s="6" t="s">
        <v>1257</v>
      </c>
      <c r="E1380" s="6" t="s">
        <v>1258</v>
      </c>
      <c r="F1380" s="6" t="s">
        <v>13</v>
      </c>
      <c r="G1380" s="6"/>
      <c r="H1380" s="6"/>
      <c r="I1380" s="6" t="s">
        <v>1168</v>
      </c>
      <c r="J1380" s="6"/>
      <c r="K1380" s="6"/>
      <c r="L1380" s="6" t="s">
        <v>1259</v>
      </c>
      <c r="M1380" s="6"/>
      <c r="N1380" s="6" t="s">
        <v>1260</v>
      </c>
      <c r="O1380" s="6" t="str">
        <f>HYPERLINK("https://ceds.ed.gov/cedselementdetails.aspx?termid=6022")</f>
        <v>https://ceds.ed.gov/cedselementdetails.aspx?termid=6022</v>
      </c>
      <c r="P1380" s="6" t="str">
        <f>HYPERLINK("https://ceds.ed.gov/elementComment.aspx?elementName=Assessment Session Scheduled End Date Time &amp;elementID=6022", "Click here to submit comment")</f>
        <v>Click here to submit comment</v>
      </c>
    </row>
    <row r="1381" spans="1:16" ht="90">
      <c r="A1381" s="6" t="s">
        <v>6788</v>
      </c>
      <c r="B1381" s="6" t="s">
        <v>6784</v>
      </c>
      <c r="C1381" s="6" t="s">
        <v>6835</v>
      </c>
      <c r="D1381" s="6" t="s">
        <v>1233</v>
      </c>
      <c r="E1381" s="6" t="s">
        <v>1234</v>
      </c>
      <c r="F1381" s="6" t="s">
        <v>13</v>
      </c>
      <c r="G1381" s="6"/>
      <c r="H1381" s="6"/>
      <c r="I1381" s="6" t="s">
        <v>1168</v>
      </c>
      <c r="J1381" s="6"/>
      <c r="K1381" s="6" t="s">
        <v>1235</v>
      </c>
      <c r="L1381" s="6" t="s">
        <v>1236</v>
      </c>
      <c r="M1381" s="6"/>
      <c r="N1381" s="6" t="s">
        <v>1237</v>
      </c>
      <c r="O1381" s="6" t="str">
        <f>HYPERLINK("https://ceds.ed.gov/cedselementdetails.aspx?termid=6023")</f>
        <v>https://ceds.ed.gov/cedselementdetails.aspx?termid=6023</v>
      </c>
      <c r="P1381" s="6" t="str">
        <f>HYPERLINK("https://ceds.ed.gov/elementComment.aspx?elementName=Assessment Session Actual Start Date Time &amp;elementID=6023", "Click here to submit comment")</f>
        <v>Click here to submit comment</v>
      </c>
    </row>
    <row r="1382" spans="1:16" ht="90">
      <c r="A1382" s="6" t="s">
        <v>6788</v>
      </c>
      <c r="B1382" s="6" t="s">
        <v>6784</v>
      </c>
      <c r="C1382" s="6" t="s">
        <v>6835</v>
      </c>
      <c r="D1382" s="6" t="s">
        <v>1228</v>
      </c>
      <c r="E1382" s="6" t="s">
        <v>1229</v>
      </c>
      <c r="F1382" s="6" t="s">
        <v>13</v>
      </c>
      <c r="G1382" s="6"/>
      <c r="H1382" s="6"/>
      <c r="I1382" s="6" t="s">
        <v>1168</v>
      </c>
      <c r="J1382" s="6"/>
      <c r="K1382" s="6" t="s">
        <v>1230</v>
      </c>
      <c r="L1382" s="6" t="s">
        <v>1231</v>
      </c>
      <c r="M1382" s="6"/>
      <c r="N1382" s="6" t="s">
        <v>1232</v>
      </c>
      <c r="O1382" s="6" t="str">
        <f>HYPERLINK("https://ceds.ed.gov/cedselementdetails.aspx?termid=6024")</f>
        <v>https://ceds.ed.gov/cedselementdetails.aspx?termid=6024</v>
      </c>
      <c r="P1382" s="6" t="str">
        <f>HYPERLINK("https://ceds.ed.gov/elementComment.aspx?elementName=Assessment Session Actual End Date Time &amp;elementID=6024", "Click here to submit comment")</f>
        <v>Click here to submit comment</v>
      </c>
    </row>
    <row r="1383" spans="1:16" ht="75">
      <c r="A1383" s="6" t="s">
        <v>6788</v>
      </c>
      <c r="B1383" s="6" t="s">
        <v>6784</v>
      </c>
      <c r="C1383" s="6" t="s">
        <v>6835</v>
      </c>
      <c r="D1383" s="6" t="s">
        <v>1238</v>
      </c>
      <c r="E1383" s="6" t="s">
        <v>1239</v>
      </c>
      <c r="F1383" s="6" t="s">
        <v>13</v>
      </c>
      <c r="G1383" s="6" t="s">
        <v>5992</v>
      </c>
      <c r="H1383" s="6"/>
      <c r="I1383" s="6" t="s">
        <v>1240</v>
      </c>
      <c r="J1383" s="6"/>
      <c r="K1383" s="6"/>
      <c r="L1383" s="6" t="s">
        <v>1241</v>
      </c>
      <c r="M1383" s="6"/>
      <c r="N1383" s="6" t="s">
        <v>1242</v>
      </c>
      <c r="O1383" s="6" t="str">
        <f>HYPERLINK("https://ceds.ed.gov/cedselementdetails.aspx?termid=5400")</f>
        <v>https://ceds.ed.gov/cedselementdetails.aspx?termid=5400</v>
      </c>
      <c r="P1383" s="6" t="str">
        <f>HYPERLINK("https://ceds.ed.gov/elementComment.aspx?elementName=Assessment Session Administrator Identifier &amp;elementID=5400", "Click here to submit comment")</f>
        <v>Click here to submit comment</v>
      </c>
    </row>
    <row r="1384" spans="1:16" ht="45">
      <c r="A1384" s="6" t="s">
        <v>6788</v>
      </c>
      <c r="B1384" s="6" t="s">
        <v>6784</v>
      </c>
      <c r="C1384" s="6" t="s">
        <v>6835</v>
      </c>
      <c r="D1384" s="6" t="s">
        <v>1252</v>
      </c>
      <c r="E1384" s="6" t="s">
        <v>1253</v>
      </c>
      <c r="F1384" s="6" t="s">
        <v>13</v>
      </c>
      <c r="G1384" s="6" t="s">
        <v>5992</v>
      </c>
      <c r="H1384" s="6"/>
      <c r="I1384" s="6" t="s">
        <v>1240</v>
      </c>
      <c r="J1384" s="6"/>
      <c r="K1384" s="6" t="s">
        <v>1254</v>
      </c>
      <c r="L1384" s="6" t="s">
        <v>1255</v>
      </c>
      <c r="M1384" s="6"/>
      <c r="N1384" s="6" t="s">
        <v>1256</v>
      </c>
      <c r="O1384" s="6" t="str">
        <f>HYPERLINK("https://ceds.ed.gov/cedselementdetails.aspx?termid=5401")</f>
        <v>https://ceds.ed.gov/cedselementdetails.aspx?termid=5401</v>
      </c>
      <c r="P1384" s="6" t="str">
        <f>HYPERLINK("https://ceds.ed.gov/elementComment.aspx?elementName=Assessment Session Proctor Identifier &amp;elementID=5401", "Click here to submit comment")</f>
        <v>Click here to submit comment</v>
      </c>
    </row>
    <row r="1385" spans="1:16" ht="120">
      <c r="A1385" s="6" t="s">
        <v>6788</v>
      </c>
      <c r="B1385" s="6" t="s">
        <v>6784</v>
      </c>
      <c r="C1385" s="6" t="s">
        <v>6835</v>
      </c>
      <c r="D1385" s="6" t="s">
        <v>1277</v>
      </c>
      <c r="E1385" s="6" t="s">
        <v>1278</v>
      </c>
      <c r="F1385" s="6" t="s">
        <v>6061</v>
      </c>
      <c r="G1385" s="6"/>
      <c r="H1385" s="6"/>
      <c r="I1385" s="6"/>
      <c r="J1385" s="6"/>
      <c r="K1385" s="6"/>
      <c r="L1385" s="6" t="s">
        <v>1279</v>
      </c>
      <c r="M1385" s="6"/>
      <c r="N1385" s="6" t="s">
        <v>1280</v>
      </c>
      <c r="O1385" s="6" t="str">
        <f>HYPERLINK("https://ceds.ed.gov/cedselementdetails.aspx?termid=6179")</f>
        <v>https://ceds.ed.gov/cedselementdetails.aspx?termid=6179</v>
      </c>
      <c r="P1385" s="6" t="str">
        <f>HYPERLINK("https://ceds.ed.gov/elementComment.aspx?elementName=Assessment Session Staff Role Type &amp;elementID=6179", "Click here to submit comment")</f>
        <v>Click here to submit comment</v>
      </c>
    </row>
    <row r="1386" spans="1:16" ht="285">
      <c r="A1386" s="6" t="s">
        <v>6788</v>
      </c>
      <c r="B1386" s="6" t="s">
        <v>6784</v>
      </c>
      <c r="C1386" s="6" t="s">
        <v>6835</v>
      </c>
      <c r="D1386" s="6" t="s">
        <v>4017</v>
      </c>
      <c r="E1386" s="6" t="s">
        <v>4018</v>
      </c>
      <c r="F1386" s="7" t="s">
        <v>6577</v>
      </c>
      <c r="G1386" s="6" t="s">
        <v>6252</v>
      </c>
      <c r="H1386" s="6"/>
      <c r="I1386" s="6"/>
      <c r="J1386" s="6"/>
      <c r="K1386" s="6"/>
      <c r="L1386" s="6" t="s">
        <v>4019</v>
      </c>
      <c r="M1386" s="6" t="s">
        <v>4020</v>
      </c>
      <c r="N1386" s="6" t="s">
        <v>4021</v>
      </c>
      <c r="O1386" s="6" t="str">
        <f>HYPERLINK("https://ceds.ed.gov/cedselementdetails.aspx?termid=5159")</f>
        <v>https://ceds.ed.gov/cedselementdetails.aspx?termid=5159</v>
      </c>
      <c r="P1386" s="6" t="str">
        <f>HYPERLINK("https://ceds.ed.gov/elementComment.aspx?elementName=Local Education Agency Identification System &amp;elementID=5159", "Click here to submit comment")</f>
        <v>Click here to submit comment</v>
      </c>
    </row>
    <row r="1387" spans="1:16" ht="120">
      <c r="A1387" s="6" t="s">
        <v>6788</v>
      </c>
      <c r="B1387" s="6" t="s">
        <v>6784</v>
      </c>
      <c r="C1387" s="6" t="s">
        <v>6835</v>
      </c>
      <c r="D1387" s="6" t="s">
        <v>4022</v>
      </c>
      <c r="E1387" s="6" t="s">
        <v>4023</v>
      </c>
      <c r="F1387" s="6" t="s">
        <v>13</v>
      </c>
      <c r="G1387" s="6" t="s">
        <v>6252</v>
      </c>
      <c r="H1387" s="6"/>
      <c r="I1387" s="6" t="s">
        <v>100</v>
      </c>
      <c r="J1387" s="6"/>
      <c r="K1387" s="6"/>
      <c r="L1387" s="6" t="s">
        <v>4024</v>
      </c>
      <c r="M1387" s="6" t="s">
        <v>4025</v>
      </c>
      <c r="N1387" s="6" t="s">
        <v>4026</v>
      </c>
      <c r="O1387" s="6" t="str">
        <f>HYPERLINK("https://ceds.ed.gov/cedselementdetails.aspx?termid=5153")</f>
        <v>https://ceds.ed.gov/cedselementdetails.aspx?termid=5153</v>
      </c>
      <c r="P1387" s="6" t="str">
        <f>HYPERLINK("https://ceds.ed.gov/elementComment.aspx?elementName=Local Education Agency Identifier &amp;elementID=5153", "Click here to submit comment")</f>
        <v>Click here to submit comment</v>
      </c>
    </row>
    <row r="1388" spans="1:16" ht="360">
      <c r="A1388" s="6" t="s">
        <v>6788</v>
      </c>
      <c r="B1388" s="6" t="s">
        <v>6784</v>
      </c>
      <c r="C1388" s="6" t="s">
        <v>6835</v>
      </c>
      <c r="D1388" s="6" t="s">
        <v>5221</v>
      </c>
      <c r="E1388" s="6" t="s">
        <v>265</v>
      </c>
      <c r="F1388" s="7" t="s">
        <v>6645</v>
      </c>
      <c r="G1388" s="6" t="s">
        <v>6308</v>
      </c>
      <c r="H1388" s="6"/>
      <c r="I1388" s="6"/>
      <c r="J1388" s="6"/>
      <c r="K1388" s="6"/>
      <c r="L1388" s="6" t="s">
        <v>5222</v>
      </c>
      <c r="M1388" s="6"/>
      <c r="N1388" s="6" t="s">
        <v>5223</v>
      </c>
      <c r="O1388" s="6" t="str">
        <f>HYPERLINK("https://ceds.ed.gov/cedselementdetails.aspx?termid=5161")</f>
        <v>https://ceds.ed.gov/cedselementdetails.aspx?termid=5161</v>
      </c>
      <c r="P1388" s="6" t="str">
        <f>HYPERLINK("https://ceds.ed.gov/elementComment.aspx?elementName=School Identification System &amp;elementID=5161", "Click here to submit comment")</f>
        <v>Click here to submit comment</v>
      </c>
    </row>
    <row r="1389" spans="1:16" ht="165">
      <c r="A1389" s="6" t="s">
        <v>6788</v>
      </c>
      <c r="B1389" s="6" t="s">
        <v>6784</v>
      </c>
      <c r="C1389" s="6" t="s">
        <v>6835</v>
      </c>
      <c r="D1389" s="6" t="s">
        <v>5224</v>
      </c>
      <c r="E1389" s="6" t="s">
        <v>269</v>
      </c>
      <c r="F1389" s="6" t="s">
        <v>13</v>
      </c>
      <c r="G1389" s="6" t="s">
        <v>6308</v>
      </c>
      <c r="H1389" s="6"/>
      <c r="I1389" s="6" t="s">
        <v>100</v>
      </c>
      <c r="J1389" s="6"/>
      <c r="K1389" s="6"/>
      <c r="L1389" s="6" t="s">
        <v>5225</v>
      </c>
      <c r="M1389" s="6"/>
      <c r="N1389" s="6" t="s">
        <v>5226</v>
      </c>
      <c r="O1389" s="6" t="str">
        <f>HYPERLINK("https://ceds.ed.gov/cedselementdetails.aspx?termid=5155")</f>
        <v>https://ceds.ed.gov/cedselementdetails.aspx?termid=5155</v>
      </c>
      <c r="P1389" s="6" t="str">
        <f>HYPERLINK("https://ceds.ed.gov/elementComment.aspx?elementName=School Identifier &amp;elementID=5155", "Click here to submit comment")</f>
        <v>Click here to submit comment</v>
      </c>
    </row>
    <row r="1390" spans="1:16" ht="45">
      <c r="A1390" s="6" t="s">
        <v>6788</v>
      </c>
      <c r="B1390" s="6" t="s">
        <v>6784</v>
      </c>
      <c r="C1390" s="6" t="s">
        <v>6835</v>
      </c>
      <c r="D1390" s="6" t="s">
        <v>1243</v>
      </c>
      <c r="E1390" s="6" t="s">
        <v>1244</v>
      </c>
      <c r="F1390" s="6" t="s">
        <v>13</v>
      </c>
      <c r="G1390" s="6" t="s">
        <v>5992</v>
      </c>
      <c r="H1390" s="6"/>
      <c r="I1390" s="6" t="s">
        <v>808</v>
      </c>
      <c r="J1390" s="6"/>
      <c r="K1390" s="6"/>
      <c r="L1390" s="6" t="s">
        <v>1245</v>
      </c>
      <c r="M1390" s="6"/>
      <c r="N1390" s="6" t="s">
        <v>1246</v>
      </c>
      <c r="O1390" s="6" t="str">
        <f>HYPERLINK("https://ceds.ed.gov/cedselementdetails.aspx?termid=5399")</f>
        <v>https://ceds.ed.gov/cedselementdetails.aspx?termid=5399</v>
      </c>
      <c r="P1390" s="6" t="str">
        <f>HYPERLINK("https://ceds.ed.gov/elementComment.aspx?elementName=Assessment Session Allotted Time &amp;elementID=5399", "Click here to submit comment")</f>
        <v>Click here to submit comment</v>
      </c>
    </row>
    <row r="1391" spans="1:16" ht="150">
      <c r="A1391" s="6" t="s">
        <v>6788</v>
      </c>
      <c r="B1391" s="6" t="s">
        <v>6784</v>
      </c>
      <c r="C1391" s="6" t="s">
        <v>6835</v>
      </c>
      <c r="D1391" s="6" t="s">
        <v>1265</v>
      </c>
      <c r="E1391" s="6" t="s">
        <v>1266</v>
      </c>
      <c r="F1391" s="6" t="s">
        <v>13</v>
      </c>
      <c r="G1391" s="6"/>
      <c r="H1391" s="6"/>
      <c r="I1391" s="6" t="s">
        <v>93</v>
      </c>
      <c r="J1391" s="6"/>
      <c r="K1391" s="6" t="s">
        <v>835</v>
      </c>
      <c r="L1391" s="6" t="s">
        <v>1267</v>
      </c>
      <c r="M1391" s="6"/>
      <c r="N1391" s="6" t="s">
        <v>1268</v>
      </c>
      <c r="O1391" s="6" t="str">
        <f>HYPERLINK("https://ceds.ed.gov/cedselementdetails.aspx?termid=5969")</f>
        <v>https://ceds.ed.gov/cedselementdetails.aspx?termid=5969</v>
      </c>
      <c r="P1391" s="6" t="str">
        <f>HYPERLINK("https://ceds.ed.gov/elementComment.aspx?elementName=Assessment Session Security Issue &amp;elementID=5969", "Click here to submit comment")</f>
        <v>Click here to submit comment</v>
      </c>
    </row>
    <row r="1392" spans="1:16" ht="409.5">
      <c r="A1392" s="6" t="s">
        <v>6788</v>
      </c>
      <c r="B1392" s="6" t="s">
        <v>6784</v>
      </c>
      <c r="C1392" s="6" t="s">
        <v>6835</v>
      </c>
      <c r="D1392" s="6" t="s">
        <v>1269</v>
      </c>
      <c r="E1392" s="6" t="s">
        <v>1270</v>
      </c>
      <c r="F1392" s="7" t="s">
        <v>6403</v>
      </c>
      <c r="G1392" s="6" t="s">
        <v>5992</v>
      </c>
      <c r="H1392" s="6"/>
      <c r="I1392" s="6"/>
      <c r="J1392" s="6"/>
      <c r="K1392" s="6"/>
      <c r="L1392" s="6" t="s">
        <v>1271</v>
      </c>
      <c r="M1392" s="6"/>
      <c r="N1392" s="6" t="s">
        <v>1272</v>
      </c>
      <c r="O1392" s="6" t="str">
        <f>HYPERLINK("https://ceds.ed.gov/cedselementdetails.aspx?termid=5380")</f>
        <v>https://ceds.ed.gov/cedselementdetails.aspx?termid=5380</v>
      </c>
      <c r="P1392" s="6" t="str">
        <f>HYPERLINK("https://ceds.ed.gov/elementComment.aspx?elementName=Assessment Session Special Circumstance Type &amp;elementID=5380", "Click here to submit comment")</f>
        <v>Click here to submit comment</v>
      </c>
    </row>
    <row r="1393" spans="1:16" ht="90">
      <c r="A1393" s="6" t="s">
        <v>6788</v>
      </c>
      <c r="B1393" s="6" t="s">
        <v>6784</v>
      </c>
      <c r="C1393" s="6" t="s">
        <v>6835</v>
      </c>
      <c r="D1393" s="6" t="s">
        <v>1273</v>
      </c>
      <c r="E1393" s="6" t="s">
        <v>1274</v>
      </c>
      <c r="F1393" s="6" t="s">
        <v>13</v>
      </c>
      <c r="G1393" s="6"/>
      <c r="H1393" s="6"/>
      <c r="I1393" s="6" t="s">
        <v>106</v>
      </c>
      <c r="J1393" s="6"/>
      <c r="K1393" s="6"/>
      <c r="L1393" s="6" t="s">
        <v>1275</v>
      </c>
      <c r="M1393" s="6"/>
      <c r="N1393" s="6" t="s">
        <v>1276</v>
      </c>
      <c r="O1393" s="6" t="str">
        <f>HYPERLINK("https://ceds.ed.gov/cedselementdetails.aspx?termid=6077")</f>
        <v>https://ceds.ed.gov/cedselementdetails.aspx?termid=6077</v>
      </c>
      <c r="P1393" s="6" t="str">
        <f>HYPERLINK("https://ceds.ed.gov/elementComment.aspx?elementName=Assessment Session Special Event Description &amp;elementID=6077", "Click here to submit comment")</f>
        <v>Click here to submit comment</v>
      </c>
    </row>
    <row r="1394" spans="1:16" ht="30">
      <c r="A1394" s="6" t="s">
        <v>6788</v>
      </c>
      <c r="B1394" s="6" t="s">
        <v>6784</v>
      </c>
      <c r="C1394" s="6" t="s">
        <v>6836</v>
      </c>
      <c r="D1394" s="6" t="s">
        <v>748</v>
      </c>
      <c r="E1394" s="6" t="s">
        <v>749</v>
      </c>
      <c r="F1394" s="6" t="s">
        <v>13</v>
      </c>
      <c r="G1394" s="6" t="s">
        <v>6018</v>
      </c>
      <c r="H1394" s="6"/>
      <c r="I1394" s="6" t="s">
        <v>100</v>
      </c>
      <c r="J1394" s="6"/>
      <c r="K1394" s="6"/>
      <c r="L1394" s="6" t="s">
        <v>750</v>
      </c>
      <c r="M1394" s="6"/>
      <c r="N1394" s="6" t="s">
        <v>751</v>
      </c>
      <c r="O1394" s="6" t="str">
        <f>HYPERLINK("https://ceds.ed.gov/cedselementdetails.aspx?termid=5623")</f>
        <v>https://ceds.ed.gov/cedselementdetails.aspx?termid=5623</v>
      </c>
      <c r="P1394" s="6" t="str">
        <f>HYPERLINK("https://ceds.ed.gov/elementComment.aspx?elementName=Assessment Item Identifier &amp;elementID=5623", "Click here to submit comment")</f>
        <v>Click here to submit comment</v>
      </c>
    </row>
    <row r="1395" spans="1:16" ht="409.5">
      <c r="A1395" s="6" t="s">
        <v>6788</v>
      </c>
      <c r="B1395" s="6" t="s">
        <v>6784</v>
      </c>
      <c r="C1395" s="6" t="s">
        <v>6836</v>
      </c>
      <c r="D1395" s="6" t="s">
        <v>933</v>
      </c>
      <c r="E1395" s="6" t="s">
        <v>934</v>
      </c>
      <c r="F1395" s="7" t="s">
        <v>6389</v>
      </c>
      <c r="G1395" s="6" t="s">
        <v>6018</v>
      </c>
      <c r="H1395" s="6"/>
      <c r="I1395" s="6"/>
      <c r="J1395" s="6"/>
      <c r="K1395" s="6"/>
      <c r="L1395" s="6" t="s">
        <v>935</v>
      </c>
      <c r="M1395" s="6"/>
      <c r="N1395" s="6" t="s">
        <v>936</v>
      </c>
      <c r="O1395" s="6" t="str">
        <f>HYPERLINK("https://ceds.ed.gov/cedselementdetails.aspx?termid=5382")</f>
        <v>https://ceds.ed.gov/cedselementdetails.aspx?termid=5382</v>
      </c>
      <c r="P1395" s="6" t="str">
        <f>HYPERLINK("https://ceds.ed.gov/elementComment.aspx?elementName=Assessment Item Type &amp;elementID=5382", "Click here to submit comment")</f>
        <v>Click here to submit comment</v>
      </c>
    </row>
    <row r="1396" spans="1:16" ht="405">
      <c r="A1396" s="6" t="s">
        <v>6788</v>
      </c>
      <c r="B1396" s="6" t="s">
        <v>6784</v>
      </c>
      <c r="C1396" s="6" t="s">
        <v>6836</v>
      </c>
      <c r="D1396" s="6" t="s">
        <v>395</v>
      </c>
      <c r="E1396" s="6" t="s">
        <v>396</v>
      </c>
      <c r="F1396" s="7" t="s">
        <v>6375</v>
      </c>
      <c r="G1396" s="6" t="s">
        <v>5990</v>
      </c>
      <c r="H1396" s="6"/>
      <c r="I1396" s="6"/>
      <c r="J1396" s="6"/>
      <c r="K1396" s="6"/>
      <c r="L1396" s="6" t="s">
        <v>397</v>
      </c>
      <c r="M1396" s="6"/>
      <c r="N1396" s="6" t="s">
        <v>398</v>
      </c>
      <c r="O1396" s="6" t="str">
        <f>HYPERLINK("https://ceds.ed.gov/cedselementdetails.aspx?termid=5021")</f>
        <v>https://ceds.ed.gov/cedselementdetails.aspx?termid=5021</v>
      </c>
      <c r="P1396" s="6" t="str">
        <f>HYPERLINK("https://ceds.ed.gov/elementComment.aspx?elementName=Assessment Academic Subject &amp;elementID=5021", "Click here to submit comment")</f>
        <v>Click here to submit comment</v>
      </c>
    </row>
    <row r="1397" spans="1:16" ht="60">
      <c r="A1397" s="6" t="s">
        <v>6788</v>
      </c>
      <c r="B1397" s="6" t="s">
        <v>6784</v>
      </c>
      <c r="C1397" s="6" t="s">
        <v>6836</v>
      </c>
      <c r="D1397" s="6" t="s">
        <v>718</v>
      </c>
      <c r="E1397" s="6" t="s">
        <v>719</v>
      </c>
      <c r="F1397" s="6" t="s">
        <v>13</v>
      </c>
      <c r="G1397" s="6"/>
      <c r="H1397" s="6"/>
      <c r="I1397" s="6" t="s">
        <v>319</v>
      </c>
      <c r="J1397" s="6"/>
      <c r="K1397" s="6"/>
      <c r="L1397" s="6" t="s">
        <v>720</v>
      </c>
      <c r="M1397" s="6"/>
      <c r="N1397" s="6" t="s">
        <v>721</v>
      </c>
      <c r="O1397" s="6" t="str">
        <f>HYPERLINK("https://ceds.ed.gov/cedselementdetails.aspx?termid=6233")</f>
        <v>https://ceds.ed.gov/cedselementdetails.aspx?termid=6233</v>
      </c>
      <c r="P1397" s="6" t="str">
        <f>HYPERLINK("https://ceds.ed.gov/elementComment.aspx?elementName=Assessment Item Body Text &amp;elementID=6233", "Click here to submit comment")</f>
        <v>Click here to submit comment</v>
      </c>
    </row>
    <row r="1398" spans="1:16" ht="90">
      <c r="A1398" s="6" t="s">
        <v>6788</v>
      </c>
      <c r="B1398" s="6" t="s">
        <v>6784</v>
      </c>
      <c r="C1398" s="6" t="s">
        <v>6836</v>
      </c>
      <c r="D1398" s="6" t="s">
        <v>921</v>
      </c>
      <c r="E1398" s="6" t="s">
        <v>922</v>
      </c>
      <c r="F1398" s="6" t="s">
        <v>13</v>
      </c>
      <c r="G1398" s="6"/>
      <c r="H1398" s="6"/>
      <c r="I1398" s="6" t="s">
        <v>319</v>
      </c>
      <c r="J1398" s="6"/>
      <c r="K1398" s="6"/>
      <c r="L1398" s="6" t="s">
        <v>923</v>
      </c>
      <c r="M1398" s="6"/>
      <c r="N1398" s="6" t="s">
        <v>924</v>
      </c>
      <c r="O1398" s="6" t="str">
        <f>HYPERLINK("https://ceds.ed.gov/cedselementdetails.aspx?termid=6234")</f>
        <v>https://ceds.ed.gov/cedselementdetails.aspx?termid=6234</v>
      </c>
      <c r="P1398" s="6" t="str">
        <f>HYPERLINK("https://ceds.ed.gov/elementComment.aspx?elementName=Assessment Item Stimulus &amp;elementID=6234", "Click here to submit comment")</f>
        <v>Click here to submit comment</v>
      </c>
    </row>
    <row r="1399" spans="1:16" ht="45">
      <c r="A1399" s="6" t="s">
        <v>6788</v>
      </c>
      <c r="B1399" s="6" t="s">
        <v>6784</v>
      </c>
      <c r="C1399" s="6" t="s">
        <v>6836</v>
      </c>
      <c r="D1399" s="6" t="s">
        <v>738</v>
      </c>
      <c r="E1399" s="6" t="s">
        <v>739</v>
      </c>
      <c r="F1399" s="6" t="s">
        <v>13</v>
      </c>
      <c r="G1399" s="6" t="s">
        <v>6018</v>
      </c>
      <c r="H1399" s="6"/>
      <c r="I1399" s="6" t="s">
        <v>740</v>
      </c>
      <c r="J1399" s="6"/>
      <c r="K1399" s="6"/>
      <c r="L1399" s="6" t="s">
        <v>741</v>
      </c>
      <c r="M1399" s="6"/>
      <c r="N1399" s="6" t="s">
        <v>742</v>
      </c>
      <c r="O1399" s="6" t="str">
        <f>HYPERLINK("https://ceds.ed.gov/cedselementdetails.aspx?termid=5383")</f>
        <v>https://ceds.ed.gov/cedselementdetails.aspx?termid=5383</v>
      </c>
      <c r="P1399" s="6" t="str">
        <f>HYPERLINK("https://ceds.ed.gov/elementComment.aspx?elementName=Assessment Item Difficulty &amp;elementID=5383", "Click here to submit comment")</f>
        <v>Click here to submit comment</v>
      </c>
    </row>
    <row r="1400" spans="1:16" ht="30">
      <c r="A1400" s="6" t="s">
        <v>6788</v>
      </c>
      <c r="B1400" s="6" t="s">
        <v>6784</v>
      </c>
      <c r="C1400" s="6" t="s">
        <v>6836</v>
      </c>
      <c r="D1400" s="6" t="s">
        <v>743</v>
      </c>
      <c r="E1400" s="6" t="s">
        <v>744</v>
      </c>
      <c r="F1400" s="6" t="s">
        <v>13</v>
      </c>
      <c r="G1400" s="6" t="s">
        <v>6018</v>
      </c>
      <c r="H1400" s="6"/>
      <c r="I1400" s="6" t="s">
        <v>745</v>
      </c>
      <c r="J1400" s="6"/>
      <c r="K1400" s="6"/>
      <c r="L1400" s="6" t="s">
        <v>746</v>
      </c>
      <c r="M1400" s="6"/>
      <c r="N1400" s="6" t="s">
        <v>747</v>
      </c>
      <c r="O1400" s="6" t="str">
        <f>HYPERLINK("https://ceds.ed.gov/cedselementdetails.aspx?termid=5390")</f>
        <v>https://ceds.ed.gov/cedselementdetails.aspx?termid=5390</v>
      </c>
      <c r="P1400" s="6" t="str">
        <f>HYPERLINK("https://ceds.ed.gov/elementComment.aspx?elementName=Assessment Item Distractor Analysis &amp;elementID=5390", "Click here to submit comment")</f>
        <v>Click here to submit comment</v>
      </c>
    </row>
    <row r="1401" spans="1:16" ht="45">
      <c r="A1401" s="6" t="s">
        <v>6788</v>
      </c>
      <c r="B1401" s="6" t="s">
        <v>6784</v>
      </c>
      <c r="C1401" s="6" t="s">
        <v>6836</v>
      </c>
      <c r="D1401" s="6" t="s">
        <v>917</v>
      </c>
      <c r="E1401" s="6" t="s">
        <v>918</v>
      </c>
      <c r="F1401" s="6" t="s">
        <v>13</v>
      </c>
      <c r="G1401" s="6" t="s">
        <v>6018</v>
      </c>
      <c r="H1401" s="6"/>
      <c r="I1401" s="6" t="s">
        <v>319</v>
      </c>
      <c r="J1401" s="6"/>
      <c r="K1401" s="6"/>
      <c r="L1401" s="6" t="s">
        <v>919</v>
      </c>
      <c r="M1401" s="6"/>
      <c r="N1401" s="6" t="s">
        <v>920</v>
      </c>
      <c r="O1401" s="6" t="str">
        <f>HYPERLINK("https://ceds.ed.gov/cedselementdetails.aspx?termid=5392")</f>
        <v>https://ceds.ed.gov/cedselementdetails.aspx?termid=5392</v>
      </c>
      <c r="P1401" s="6" t="str">
        <f>HYPERLINK("https://ceds.ed.gov/elementComment.aspx?elementName=Assessment Item Stem &amp;elementID=5392", "Click here to submit comment")</f>
        <v>Click here to submit comment</v>
      </c>
    </row>
    <row r="1402" spans="1:16" ht="30">
      <c r="A1402" s="6" t="s">
        <v>6788</v>
      </c>
      <c r="B1402" s="6" t="s">
        <v>6784</v>
      </c>
      <c r="C1402" s="6" t="s">
        <v>6836</v>
      </c>
      <c r="D1402" s="6" t="s">
        <v>598</v>
      </c>
      <c r="E1402" s="6" t="s">
        <v>599</v>
      </c>
      <c r="F1402" s="6" t="s">
        <v>13</v>
      </c>
      <c r="G1402" s="6" t="s">
        <v>6018</v>
      </c>
      <c r="H1402" s="6"/>
      <c r="I1402" s="6" t="s">
        <v>426</v>
      </c>
      <c r="J1402" s="6"/>
      <c r="K1402" s="6"/>
      <c r="L1402" s="6" t="s">
        <v>600</v>
      </c>
      <c r="M1402" s="6"/>
      <c r="N1402" s="6" t="s">
        <v>601</v>
      </c>
      <c r="O1402" s="6" t="str">
        <f>HYPERLINK("https://ceds.ed.gov/cedselementdetails.aspx?termid=5395")</f>
        <v>https://ceds.ed.gov/cedselementdetails.aspx?termid=5395</v>
      </c>
      <c r="P1402" s="6" t="str">
        <f>HYPERLINK("https://ceds.ed.gov/elementComment.aspx?elementName=Assessment Item Allotted Time &amp;elementID=5395", "Click here to submit comment")</f>
        <v>Click here to submit comment</v>
      </c>
    </row>
    <row r="1403" spans="1:16" ht="30">
      <c r="A1403" s="6" t="s">
        <v>6788</v>
      </c>
      <c r="B1403" s="6" t="s">
        <v>6784</v>
      </c>
      <c r="C1403" s="6" t="s">
        <v>6836</v>
      </c>
      <c r="D1403" s="6" t="s">
        <v>764</v>
      </c>
      <c r="E1403" s="6" t="s">
        <v>765</v>
      </c>
      <c r="F1403" s="6" t="s">
        <v>13</v>
      </c>
      <c r="G1403" s="6"/>
      <c r="H1403" s="6"/>
      <c r="I1403" s="6" t="s">
        <v>93</v>
      </c>
      <c r="J1403" s="6"/>
      <c r="K1403" s="6"/>
      <c r="L1403" s="6" t="s">
        <v>766</v>
      </c>
      <c r="M1403" s="6"/>
      <c r="N1403" s="6" t="s">
        <v>767</v>
      </c>
      <c r="O1403" s="6" t="str">
        <f>HYPERLINK("https://ceds.ed.gov/cedselementdetails.aspx?termid=5684")</f>
        <v>https://ceds.ed.gov/cedselementdetails.aspx?termid=5684</v>
      </c>
      <c r="P1403" s="6" t="str">
        <f>HYPERLINK("https://ceds.ed.gov/elementComment.aspx?elementName=Assessment Item Minimum Score &amp;elementID=5684", "Click here to submit comment")</f>
        <v>Click here to submit comment</v>
      </c>
    </row>
    <row r="1404" spans="1:16" ht="30">
      <c r="A1404" s="6" t="s">
        <v>6788</v>
      </c>
      <c r="B1404" s="6" t="s">
        <v>6784</v>
      </c>
      <c r="C1404" s="6" t="s">
        <v>6836</v>
      </c>
      <c r="D1404" s="6" t="s">
        <v>760</v>
      </c>
      <c r="E1404" s="6" t="s">
        <v>761</v>
      </c>
      <c r="F1404" s="6" t="s">
        <v>13</v>
      </c>
      <c r="G1404" s="6"/>
      <c r="H1404" s="6"/>
      <c r="I1404" s="6" t="s">
        <v>93</v>
      </c>
      <c r="J1404" s="6"/>
      <c r="K1404" s="6"/>
      <c r="L1404" s="6" t="s">
        <v>762</v>
      </c>
      <c r="M1404" s="6"/>
      <c r="N1404" s="6" t="s">
        <v>763</v>
      </c>
      <c r="O1404" s="6" t="str">
        <f>HYPERLINK("https://ceds.ed.gov/cedselementdetails.aspx?termid=5683")</f>
        <v>https://ceds.ed.gov/cedselementdetails.aspx?termid=5683</v>
      </c>
      <c r="P1404" s="6" t="str">
        <f>HYPERLINK("https://ceds.ed.gov/elementComment.aspx?elementName=Assessment Item Maximum Score &amp;elementID=5683", "Click here to submit comment")</f>
        <v>Click here to submit comment</v>
      </c>
    </row>
    <row r="1405" spans="1:16" ht="75">
      <c r="A1405" s="6" t="s">
        <v>6788</v>
      </c>
      <c r="B1405" s="6" t="s">
        <v>6784</v>
      </c>
      <c r="C1405" s="6" t="s">
        <v>6836</v>
      </c>
      <c r="D1405" s="6" t="s">
        <v>929</v>
      </c>
      <c r="E1405" s="6" t="s">
        <v>930</v>
      </c>
      <c r="F1405" s="6" t="s">
        <v>13</v>
      </c>
      <c r="G1405" s="6"/>
      <c r="H1405" s="6"/>
      <c r="I1405" s="6" t="s">
        <v>100</v>
      </c>
      <c r="J1405" s="6"/>
      <c r="K1405" s="6"/>
      <c r="L1405" s="6" t="s">
        <v>931</v>
      </c>
      <c r="M1405" s="6"/>
      <c r="N1405" s="6" t="s">
        <v>932</v>
      </c>
      <c r="O1405" s="6" t="str">
        <f>HYPERLINK("https://ceds.ed.gov/cedselementdetails.aspx?termid=5906")</f>
        <v>https://ceds.ed.gov/cedselementdetails.aspx?termid=5906</v>
      </c>
      <c r="P1405" s="6" t="str">
        <f>HYPERLINK("https://ceds.ed.gov/elementComment.aspx?elementName=Assessment Item Text Complexity Value &amp;elementID=5906", "Click here to submit comment")</f>
        <v>Click here to submit comment</v>
      </c>
    </row>
    <row r="1406" spans="1:16" ht="409.5">
      <c r="A1406" s="6" t="s">
        <v>6788</v>
      </c>
      <c r="B1406" s="6" t="s">
        <v>6784</v>
      </c>
      <c r="C1406" s="6" t="s">
        <v>6836</v>
      </c>
      <c r="D1406" s="6" t="s">
        <v>925</v>
      </c>
      <c r="E1406" s="6" t="s">
        <v>926</v>
      </c>
      <c r="F1406" s="7" t="s">
        <v>6388</v>
      </c>
      <c r="G1406" s="6"/>
      <c r="H1406" s="6"/>
      <c r="I1406" s="6"/>
      <c r="J1406" s="6"/>
      <c r="K1406" s="6"/>
      <c r="L1406" s="6" t="s">
        <v>927</v>
      </c>
      <c r="M1406" s="6"/>
      <c r="N1406" s="6" t="s">
        <v>928</v>
      </c>
      <c r="O1406" s="6" t="str">
        <f>HYPERLINK("https://ceds.ed.gov/cedselementdetails.aspx?termid=5907")</f>
        <v>https://ceds.ed.gov/cedselementdetails.aspx?termid=5907</v>
      </c>
      <c r="P1406" s="6" t="str">
        <f>HYPERLINK("https://ceds.ed.gov/elementComment.aspx?elementName=Assessment Item Text Complexity System &amp;elementID=5907", "Click here to submit comment")</f>
        <v>Click here to submit comment</v>
      </c>
    </row>
    <row r="1407" spans="1:16" ht="150">
      <c r="A1407" s="6" t="s">
        <v>6788</v>
      </c>
      <c r="B1407" s="6" t="s">
        <v>6784</v>
      </c>
      <c r="C1407" s="6" t="s">
        <v>6836</v>
      </c>
      <c r="D1407" s="6" t="s">
        <v>833</v>
      </c>
      <c r="E1407" s="6" t="s">
        <v>834</v>
      </c>
      <c r="F1407" s="6" t="s">
        <v>13</v>
      </c>
      <c r="G1407" s="6"/>
      <c r="H1407" s="6"/>
      <c r="I1407" s="6" t="s">
        <v>93</v>
      </c>
      <c r="J1407" s="6"/>
      <c r="K1407" s="6" t="s">
        <v>835</v>
      </c>
      <c r="L1407" s="6" t="s">
        <v>836</v>
      </c>
      <c r="M1407" s="6"/>
      <c r="N1407" s="6" t="s">
        <v>837</v>
      </c>
      <c r="O1407" s="6" t="str">
        <f>HYPERLINK("https://ceds.ed.gov/cedselementdetails.aspx?termid=5970")</f>
        <v>https://ceds.ed.gov/cedselementdetails.aspx?termid=5970</v>
      </c>
      <c r="P1407" s="6" t="str">
        <f>HYPERLINK("https://ceds.ed.gov/elementComment.aspx?elementName=Assessment Item Response Security Issue &amp;elementID=5970", "Click here to submit comment")</f>
        <v>Click here to submit comment</v>
      </c>
    </row>
    <row r="1408" spans="1:16" ht="60">
      <c r="A1408" s="6" t="s">
        <v>6788</v>
      </c>
      <c r="B1408" s="6" t="s">
        <v>6784</v>
      </c>
      <c r="C1408" s="6" t="s">
        <v>6836</v>
      </c>
      <c r="D1408" s="6" t="s">
        <v>634</v>
      </c>
      <c r="E1408" s="6" t="s">
        <v>635</v>
      </c>
      <c r="F1408" s="6" t="s">
        <v>13</v>
      </c>
      <c r="G1408" s="6"/>
      <c r="H1408" s="6"/>
      <c r="I1408" s="6" t="s">
        <v>100</v>
      </c>
      <c r="J1408" s="6"/>
      <c r="K1408" s="6"/>
      <c r="L1408" s="6" t="s">
        <v>636</v>
      </c>
      <c r="M1408" s="6"/>
      <c r="N1408" s="6" t="s">
        <v>637</v>
      </c>
      <c r="O1408" s="6" t="str">
        <f>HYPERLINK("https://ceds.ed.gov/cedselementdetails.aspx?termid=6132")</f>
        <v>https://ceds.ed.gov/cedselementdetails.aspx?termid=6132</v>
      </c>
      <c r="P1408" s="6" t="str">
        <f>HYPERLINK("https://ceds.ed.gov/elementComment.aspx?elementName=Assessment Item Bank Identifier &amp;elementID=6132", "Click here to submit comment")</f>
        <v>Click here to submit comment</v>
      </c>
    </row>
    <row r="1409" spans="1:16" ht="45">
      <c r="A1409" s="6" t="s">
        <v>6788</v>
      </c>
      <c r="B1409" s="6" t="s">
        <v>6784</v>
      </c>
      <c r="C1409" s="6" t="s">
        <v>6836</v>
      </c>
      <c r="D1409" s="6" t="s">
        <v>638</v>
      </c>
      <c r="E1409" s="6" t="s">
        <v>639</v>
      </c>
      <c r="F1409" s="6" t="s">
        <v>13</v>
      </c>
      <c r="G1409" s="6"/>
      <c r="H1409" s="6"/>
      <c r="I1409" s="6" t="s">
        <v>106</v>
      </c>
      <c r="J1409" s="6"/>
      <c r="K1409" s="6"/>
      <c r="L1409" s="6" t="s">
        <v>640</v>
      </c>
      <c r="M1409" s="6"/>
      <c r="N1409" s="6" t="s">
        <v>641</v>
      </c>
      <c r="O1409" s="6" t="str">
        <f>HYPERLINK("https://ceds.ed.gov/cedselementdetails.aspx?termid=6133")</f>
        <v>https://ceds.ed.gov/cedselementdetails.aspx?termid=6133</v>
      </c>
      <c r="P1409" s="6" t="str">
        <f>HYPERLINK("https://ceds.ed.gov/elementComment.aspx?elementName=Assessment Item Bank Name &amp;elementID=6133", "Click here to submit comment")</f>
        <v>Click here to submit comment</v>
      </c>
    </row>
    <row r="1410" spans="1:16" ht="150">
      <c r="A1410" s="6" t="s">
        <v>6788</v>
      </c>
      <c r="B1410" s="6" t="s">
        <v>6784</v>
      </c>
      <c r="C1410" s="6" t="s">
        <v>6836</v>
      </c>
      <c r="D1410" s="6" t="s">
        <v>4181</v>
      </c>
      <c r="E1410" s="6" t="s">
        <v>4182</v>
      </c>
      <c r="F1410" s="7" t="s">
        <v>6588</v>
      </c>
      <c r="G1410" s="6"/>
      <c r="H1410" s="6"/>
      <c r="I1410" s="6"/>
      <c r="J1410" s="6"/>
      <c r="K1410" s="6"/>
      <c r="L1410" s="6" t="s">
        <v>4183</v>
      </c>
      <c r="M1410" s="6"/>
      <c r="N1410" s="6" t="s">
        <v>4184</v>
      </c>
      <c r="O1410" s="6" t="str">
        <f>HYPERLINK("https://ceds.ed.gov/cedselementdetails.aspx?termid=6166")</f>
        <v>https://ceds.ed.gov/cedselementdetails.aspx?termid=6166</v>
      </c>
      <c r="P1410" s="6" t="str">
        <f>HYPERLINK("https://ceds.ed.gov/elementComment.aspx?elementName=NAEP Aspects of Reading &amp;elementID=6166", "Click here to submit comment")</f>
        <v>Click here to submit comment</v>
      </c>
    </row>
    <row r="1411" spans="1:16" ht="105">
      <c r="A1411" s="6" t="s">
        <v>6788</v>
      </c>
      <c r="B1411" s="6" t="s">
        <v>6784</v>
      </c>
      <c r="C1411" s="6" t="s">
        <v>6836</v>
      </c>
      <c r="D1411" s="6" t="s">
        <v>4185</v>
      </c>
      <c r="E1411" s="6" t="s">
        <v>4186</v>
      </c>
      <c r="F1411" s="7" t="s">
        <v>6589</v>
      </c>
      <c r="G1411" s="6"/>
      <c r="H1411" s="6"/>
      <c r="I1411" s="6"/>
      <c r="J1411" s="6"/>
      <c r="K1411" s="6"/>
      <c r="L1411" s="6" t="s">
        <v>4187</v>
      </c>
      <c r="M1411" s="6"/>
      <c r="N1411" s="6" t="s">
        <v>4188</v>
      </c>
      <c r="O1411" s="6" t="str">
        <f>HYPERLINK("https://ceds.ed.gov/cedselementdetails.aspx?termid=6072")</f>
        <v>https://ceds.ed.gov/cedselementdetails.aspx?termid=6072</v>
      </c>
      <c r="P1411" s="6" t="str">
        <f>HYPERLINK("https://ceds.ed.gov/elementComment.aspx?elementName=NAEP Mathematical Complexity Level &amp;elementID=6072", "Click here to submit comment")</f>
        <v>Click here to submit comment</v>
      </c>
    </row>
    <row r="1412" spans="1:16" ht="45">
      <c r="A1412" s="6" t="s">
        <v>6788</v>
      </c>
      <c r="B1412" s="6" t="s">
        <v>6784</v>
      </c>
      <c r="C1412" s="6" t="s">
        <v>6836</v>
      </c>
      <c r="D1412" s="6" t="s">
        <v>789</v>
      </c>
      <c r="E1412" s="6" t="s">
        <v>790</v>
      </c>
      <c r="F1412" s="6" t="s">
        <v>5963</v>
      </c>
      <c r="G1412" s="6"/>
      <c r="H1412" s="6"/>
      <c r="I1412" s="6"/>
      <c r="J1412" s="6"/>
      <c r="K1412" s="6"/>
      <c r="L1412" s="6" t="s">
        <v>791</v>
      </c>
      <c r="M1412" s="6"/>
      <c r="N1412" s="6" t="s">
        <v>792</v>
      </c>
      <c r="O1412" s="6" t="str">
        <f>HYPERLINK("https://ceds.ed.gov/cedselementdetails.aspx?termid=6229")</f>
        <v>https://ceds.ed.gov/cedselementdetails.aspx?termid=6229</v>
      </c>
      <c r="P1412" s="6" t="str">
        <f>HYPERLINK("https://ceds.ed.gov/elementComment.aspx?elementName=Assessment Item Release Status &amp;elementID=6229", "Click here to submit comment")</f>
        <v>Click here to submit comment</v>
      </c>
    </row>
    <row r="1413" spans="1:16" ht="60">
      <c r="A1413" s="6" t="s">
        <v>6788</v>
      </c>
      <c r="B1413" s="6" t="s">
        <v>6784</v>
      </c>
      <c r="C1413" s="6" t="s">
        <v>6836</v>
      </c>
      <c r="D1413" s="6" t="s">
        <v>756</v>
      </c>
      <c r="E1413" s="6" t="s">
        <v>757</v>
      </c>
      <c r="F1413" s="6" t="s">
        <v>5963</v>
      </c>
      <c r="G1413" s="6"/>
      <c r="H1413" s="6"/>
      <c r="I1413" s="6"/>
      <c r="J1413" s="6"/>
      <c r="K1413" s="6"/>
      <c r="L1413" s="6" t="s">
        <v>758</v>
      </c>
      <c r="M1413" s="6"/>
      <c r="N1413" s="6" t="s">
        <v>759</v>
      </c>
      <c r="O1413" s="6" t="str">
        <f>HYPERLINK("https://ceds.ed.gov/cedselementdetails.aspx?termid=6227")</f>
        <v>https://ceds.ed.gov/cedselementdetails.aspx?termid=6227</v>
      </c>
      <c r="P1413" s="6" t="str">
        <f>HYPERLINK("https://ceds.ed.gov/elementComment.aspx?elementName=Assessment Item Linking Item Indicator &amp;elementID=6227", "Click here to submit comment")</f>
        <v>Click here to submit comment</v>
      </c>
    </row>
    <row r="1414" spans="1:16" ht="45">
      <c r="A1414" s="6" t="s">
        <v>6788</v>
      </c>
      <c r="B1414" s="6" t="s">
        <v>6784</v>
      </c>
      <c r="C1414" s="6" t="s">
        <v>6837</v>
      </c>
      <c r="D1414" s="6" t="s">
        <v>781</v>
      </c>
      <c r="E1414" s="6" t="s">
        <v>782</v>
      </c>
      <c r="F1414" s="6" t="s">
        <v>13</v>
      </c>
      <c r="G1414" s="6"/>
      <c r="H1414" s="6"/>
      <c r="I1414" s="6" t="s">
        <v>308</v>
      </c>
      <c r="J1414" s="6"/>
      <c r="K1414" s="6"/>
      <c r="L1414" s="6" t="s">
        <v>783</v>
      </c>
      <c r="M1414" s="6"/>
      <c r="N1414" s="6" t="s">
        <v>784</v>
      </c>
      <c r="O1414" s="6" t="str">
        <f>HYPERLINK("https://ceds.ed.gov/cedselementdetails.aspx?termid=5905")</f>
        <v>https://ceds.ed.gov/cedselementdetails.aspx?termid=5905</v>
      </c>
      <c r="P1414" s="6" t="str">
        <f>HYPERLINK("https://ceds.ed.gov/elementComment.aspx?elementName=Assessment Item Possible Response Sequence Number &amp;elementID=5905", "Click here to submit comment")</f>
        <v>Click here to submit comment</v>
      </c>
    </row>
    <row r="1415" spans="1:16" ht="60">
      <c r="A1415" s="6" t="s">
        <v>6788</v>
      </c>
      <c r="B1415" s="6" t="s">
        <v>6784</v>
      </c>
      <c r="C1415" s="6" t="s">
        <v>6837</v>
      </c>
      <c r="D1415" s="6" t="s">
        <v>785</v>
      </c>
      <c r="E1415" s="6" t="s">
        <v>786</v>
      </c>
      <c r="F1415" s="6" t="s">
        <v>13</v>
      </c>
      <c r="G1415" s="6"/>
      <c r="H1415" s="6"/>
      <c r="I1415" s="6" t="s">
        <v>93</v>
      </c>
      <c r="J1415" s="6"/>
      <c r="K1415" s="6"/>
      <c r="L1415" s="6" t="s">
        <v>787</v>
      </c>
      <c r="M1415" s="6"/>
      <c r="N1415" s="6" t="s">
        <v>788</v>
      </c>
      <c r="O1415" s="6" t="str">
        <f>HYPERLINK("https://ceds.ed.gov/cedselementdetails.aspx?termid=5908")</f>
        <v>https://ceds.ed.gov/cedselementdetails.aspx?termid=5908</v>
      </c>
      <c r="P1415" s="6" t="str">
        <f>HYPERLINK("https://ceds.ed.gov/elementComment.aspx?elementName=Assessment Item Possible Response Value &amp;elementID=5908", "Click here to submit comment")</f>
        <v>Click here to submit comment</v>
      </c>
    </row>
    <row r="1416" spans="1:16" ht="60">
      <c r="A1416" s="6" t="s">
        <v>6788</v>
      </c>
      <c r="B1416" s="6" t="s">
        <v>6784</v>
      </c>
      <c r="C1416" s="6" t="s">
        <v>6837</v>
      </c>
      <c r="D1416" s="6" t="s">
        <v>777</v>
      </c>
      <c r="E1416" s="6" t="s">
        <v>778</v>
      </c>
      <c r="F1416" s="6" t="s">
        <v>13</v>
      </c>
      <c r="G1416" s="6"/>
      <c r="H1416" s="6"/>
      <c r="I1416" s="6" t="s">
        <v>319</v>
      </c>
      <c r="J1416" s="6"/>
      <c r="K1416" s="6"/>
      <c r="L1416" s="6" t="s">
        <v>779</v>
      </c>
      <c r="M1416" s="6"/>
      <c r="N1416" s="6" t="s">
        <v>780</v>
      </c>
      <c r="O1416" s="6" t="str">
        <f>HYPERLINK("https://ceds.ed.gov/cedselementdetails.aspx?termid=6235")</f>
        <v>https://ceds.ed.gov/cedselementdetails.aspx?termid=6235</v>
      </c>
      <c r="P1416" s="6" t="str">
        <f>HYPERLINK("https://ceds.ed.gov/elementComment.aspx?elementName=Assessment Item Possible Response Option &amp;elementID=6235", "Click here to submit comment")</f>
        <v>Click here to submit comment</v>
      </c>
    </row>
    <row r="1417" spans="1:16" ht="45">
      <c r="A1417" s="6" t="s">
        <v>6788</v>
      </c>
      <c r="B1417" s="6" t="s">
        <v>6784</v>
      </c>
      <c r="C1417" s="6" t="s">
        <v>6837</v>
      </c>
      <c r="D1417" s="6" t="s">
        <v>768</v>
      </c>
      <c r="E1417" s="6" t="s">
        <v>769</v>
      </c>
      <c r="F1417" s="6" t="s">
        <v>5963</v>
      </c>
      <c r="G1417" s="6"/>
      <c r="H1417" s="6"/>
      <c r="I1417" s="6"/>
      <c r="J1417" s="6"/>
      <c r="K1417" s="6"/>
      <c r="L1417" s="6" t="s">
        <v>770</v>
      </c>
      <c r="M1417" s="6"/>
      <c r="N1417" s="6" t="s">
        <v>771</v>
      </c>
      <c r="O1417" s="6" t="str">
        <f>HYPERLINK("https://ceds.ed.gov/cedselementdetails.aspx?termid=6183")</f>
        <v>https://ceds.ed.gov/cedselementdetails.aspx?termid=6183</v>
      </c>
      <c r="P1417" s="6" t="str">
        <f>HYPERLINK("https://ceds.ed.gov/elementComment.aspx?elementName=Assessment Item Possible Response Correct Indicator &amp;elementID=6183", "Click here to submit comment")</f>
        <v>Click here to submit comment</v>
      </c>
    </row>
    <row r="1418" spans="1:16" ht="120">
      <c r="A1418" s="6" t="s">
        <v>6788</v>
      </c>
      <c r="B1418" s="6" t="s">
        <v>6784</v>
      </c>
      <c r="C1418" s="6" t="s">
        <v>6837</v>
      </c>
      <c r="D1418" s="6" t="s">
        <v>772</v>
      </c>
      <c r="E1418" s="6" t="s">
        <v>773</v>
      </c>
      <c r="F1418" s="6" t="s">
        <v>13</v>
      </c>
      <c r="G1418" s="6" t="s">
        <v>493</v>
      </c>
      <c r="H1418" s="6"/>
      <c r="I1418" s="6" t="s">
        <v>93</v>
      </c>
      <c r="J1418" s="6"/>
      <c r="K1418" s="6" t="s">
        <v>774</v>
      </c>
      <c r="L1418" s="6" t="s">
        <v>775</v>
      </c>
      <c r="M1418" s="6"/>
      <c r="N1418" s="6" t="s">
        <v>776</v>
      </c>
      <c r="O1418" s="6" t="str">
        <f>HYPERLINK("https://ceds.ed.gov/cedselementdetails.aspx?termid=5904")</f>
        <v>https://ceds.ed.gov/cedselementdetails.aspx?termid=5904</v>
      </c>
      <c r="P1418" s="6" t="str">
        <f>HYPERLINK("https://ceds.ed.gov/elementComment.aspx?elementName=Assessment Item Possible Response Feedback Message &amp;elementID=5904", "Click here to submit comment")</f>
        <v>Click here to submit comment</v>
      </c>
    </row>
    <row r="1419" spans="1:16" ht="45">
      <c r="A1419" s="6" t="s">
        <v>6788</v>
      </c>
      <c r="B1419" s="6" t="s">
        <v>6784</v>
      </c>
      <c r="C1419" s="6" t="s">
        <v>6838</v>
      </c>
      <c r="D1419" s="6" t="s">
        <v>908</v>
      </c>
      <c r="E1419" s="6" t="s">
        <v>909</v>
      </c>
      <c r="F1419" s="6" t="s">
        <v>13</v>
      </c>
      <c r="G1419" s="6" t="s">
        <v>493</v>
      </c>
      <c r="H1419" s="6"/>
      <c r="I1419" s="6" t="s">
        <v>93</v>
      </c>
      <c r="J1419" s="6"/>
      <c r="K1419" s="6"/>
      <c r="L1419" s="6" t="s">
        <v>910</v>
      </c>
      <c r="M1419" s="6"/>
      <c r="N1419" s="6" t="s">
        <v>911</v>
      </c>
      <c r="O1419" s="6" t="str">
        <f>HYPERLINK("https://ceds.ed.gov/cedselementdetails.aspx?termid=6069")</f>
        <v>https://ceds.ed.gov/cedselementdetails.aspx?termid=6069</v>
      </c>
      <c r="P1419" s="6" t="str">
        <f>HYPERLINK("https://ceds.ed.gov/elementComment.aspx?elementName=Assessment Item Response Value &amp;elementID=6069", "Click here to submit comment")</f>
        <v>Click here to submit comment</v>
      </c>
    </row>
    <row r="1420" spans="1:16" ht="45">
      <c r="A1420" s="6" t="s">
        <v>6788</v>
      </c>
      <c r="B1420" s="6" t="s">
        <v>6784</v>
      </c>
      <c r="C1420" s="6" t="s">
        <v>6838</v>
      </c>
      <c r="D1420" s="6" t="s">
        <v>838</v>
      </c>
      <c r="E1420" s="6" t="s">
        <v>839</v>
      </c>
      <c r="F1420" s="6" t="s">
        <v>13</v>
      </c>
      <c r="G1420" s="6"/>
      <c r="H1420" s="6"/>
      <c r="I1420" s="6" t="s">
        <v>73</v>
      </c>
      <c r="J1420" s="6"/>
      <c r="K1420" s="6"/>
      <c r="L1420" s="6" t="s">
        <v>840</v>
      </c>
      <c r="M1420" s="6"/>
      <c r="N1420" s="6" t="s">
        <v>841</v>
      </c>
      <c r="O1420" s="6" t="str">
        <f>HYPERLINK("https://ceds.ed.gov/cedselementdetails.aspx?termid=5960")</f>
        <v>https://ceds.ed.gov/cedselementdetails.aspx?termid=5960</v>
      </c>
      <c r="P1420" s="6" t="str">
        <f>HYPERLINK("https://ceds.ed.gov/elementComment.aspx?elementName=Assessment Item Response Start Date &amp;elementID=5960", "Click here to submit comment")</f>
        <v>Click here to submit comment</v>
      </c>
    </row>
    <row r="1421" spans="1:16" ht="45">
      <c r="A1421" s="6" t="s">
        <v>6788</v>
      </c>
      <c r="B1421" s="6" t="s">
        <v>6784</v>
      </c>
      <c r="C1421" s="6" t="s">
        <v>6838</v>
      </c>
      <c r="D1421" s="6" t="s">
        <v>842</v>
      </c>
      <c r="E1421" s="6" t="s">
        <v>843</v>
      </c>
      <c r="F1421" s="6" t="s">
        <v>13</v>
      </c>
      <c r="G1421" s="6"/>
      <c r="H1421" s="6"/>
      <c r="I1421" s="6" t="s">
        <v>808</v>
      </c>
      <c r="J1421" s="6"/>
      <c r="K1421" s="6"/>
      <c r="L1421" s="6" t="s">
        <v>844</v>
      </c>
      <c r="M1421" s="6"/>
      <c r="N1421" s="6" t="s">
        <v>845</v>
      </c>
      <c r="O1421" s="6" t="str">
        <f>HYPERLINK("https://ceds.ed.gov/cedselementdetails.aspx?termid=5959")</f>
        <v>https://ceds.ed.gov/cedselementdetails.aspx?termid=5959</v>
      </c>
      <c r="P1421" s="6" t="str">
        <f>HYPERLINK("https://ceds.ed.gov/elementComment.aspx?elementName=Assessment Item Response Start Time &amp;elementID=5959", "Click here to submit comment")</f>
        <v>Click here to submit comment</v>
      </c>
    </row>
    <row r="1422" spans="1:16" ht="60">
      <c r="A1422" s="6" t="s">
        <v>6788</v>
      </c>
      <c r="B1422" s="6" t="s">
        <v>6784</v>
      </c>
      <c r="C1422" s="6" t="s">
        <v>6838</v>
      </c>
      <c r="D1422" s="6" t="s">
        <v>806</v>
      </c>
      <c r="E1422" s="6" t="s">
        <v>807</v>
      </c>
      <c r="F1422" s="6" t="s">
        <v>13</v>
      </c>
      <c r="G1422" s="6" t="s">
        <v>6018</v>
      </c>
      <c r="H1422" s="6"/>
      <c r="I1422" s="6" t="s">
        <v>808</v>
      </c>
      <c r="J1422" s="6"/>
      <c r="K1422" s="6"/>
      <c r="L1422" s="6" t="s">
        <v>809</v>
      </c>
      <c r="M1422" s="6"/>
      <c r="N1422" s="6" t="s">
        <v>810</v>
      </c>
      <c r="O1422" s="6" t="str">
        <f>HYPERLINK("https://ceds.ed.gov/cedselementdetails.aspx?termid=5394")</f>
        <v>https://ceds.ed.gov/cedselementdetails.aspx?termid=5394</v>
      </c>
      <c r="P1422" s="6" t="str">
        <f>HYPERLINK("https://ceds.ed.gov/elementComment.aspx?elementName=Assessment Item Response Duration &amp;elementID=5394", "Click here to submit comment")</f>
        <v>Click here to submit comment</v>
      </c>
    </row>
    <row r="1423" spans="1:16" ht="210">
      <c r="A1423" s="6" t="s">
        <v>6788</v>
      </c>
      <c r="B1423" s="6" t="s">
        <v>6784</v>
      </c>
      <c r="C1423" s="6" t="s">
        <v>6838</v>
      </c>
      <c r="D1423" s="6" t="s">
        <v>846</v>
      </c>
      <c r="E1423" s="6" t="s">
        <v>847</v>
      </c>
      <c r="F1423" s="7" t="s">
        <v>6385</v>
      </c>
      <c r="G1423" s="6" t="s">
        <v>6018</v>
      </c>
      <c r="H1423" s="6" t="s">
        <v>66</v>
      </c>
      <c r="I1423" s="6"/>
      <c r="J1423" s="6" t="s">
        <v>848</v>
      </c>
      <c r="K1423" s="6"/>
      <c r="L1423" s="6" t="s">
        <v>849</v>
      </c>
      <c r="M1423" s="6"/>
      <c r="N1423" s="6" t="s">
        <v>850</v>
      </c>
      <c r="O1423" s="6" t="str">
        <f>HYPERLINK("https://ceds.ed.gov/cedselementdetails.aspx?termid=5396")</f>
        <v>https://ceds.ed.gov/cedselementdetails.aspx?termid=5396</v>
      </c>
      <c r="P1423" s="6" t="str">
        <f>HYPERLINK("https://ceds.ed.gov/elementComment.aspx?elementName=Assessment Item Response Status &amp;elementID=5396", "Click here to submit comment")</f>
        <v>Click here to submit comment</v>
      </c>
    </row>
    <row r="1424" spans="1:16" ht="60">
      <c r="A1424" s="6" t="s">
        <v>6788</v>
      </c>
      <c r="B1424" s="6" t="s">
        <v>6784</v>
      </c>
      <c r="C1424" s="6" t="s">
        <v>6838</v>
      </c>
      <c r="D1424" s="6" t="s">
        <v>793</v>
      </c>
      <c r="E1424" s="6" t="s">
        <v>794</v>
      </c>
      <c r="F1424" s="6" t="s">
        <v>13</v>
      </c>
      <c r="G1424" s="6" t="s">
        <v>6018</v>
      </c>
      <c r="H1424" s="6"/>
      <c r="I1424" s="6" t="s">
        <v>100</v>
      </c>
      <c r="J1424" s="6"/>
      <c r="K1424" s="6" t="s">
        <v>795</v>
      </c>
      <c r="L1424" s="6" t="s">
        <v>796</v>
      </c>
      <c r="M1424" s="6"/>
      <c r="N1424" s="6" t="s">
        <v>797</v>
      </c>
      <c r="O1424" s="6" t="str">
        <f>HYPERLINK("https://ceds.ed.gov/cedselementdetails.aspx?termid=5397")</f>
        <v>https://ceds.ed.gov/cedselementdetails.aspx?termid=5397</v>
      </c>
      <c r="P1424" s="6" t="str">
        <f>HYPERLINK("https://ceds.ed.gov/elementComment.aspx?elementName=Assessment Item Response Aid Set Used &amp;elementID=5397", "Click here to submit comment")</f>
        <v>Click here to submit comment</v>
      </c>
    </row>
    <row r="1425" spans="1:16" ht="45">
      <c r="A1425" s="6" t="s">
        <v>6788</v>
      </c>
      <c r="B1425" s="6" t="s">
        <v>6784</v>
      </c>
      <c r="C1425" s="6" t="s">
        <v>6838</v>
      </c>
      <c r="D1425" s="6" t="s">
        <v>829</v>
      </c>
      <c r="E1425" s="6" t="s">
        <v>830</v>
      </c>
      <c r="F1425" s="6" t="s">
        <v>13</v>
      </c>
      <c r="G1425" s="6" t="s">
        <v>493</v>
      </c>
      <c r="H1425" s="6"/>
      <c r="I1425" s="6" t="s">
        <v>106</v>
      </c>
      <c r="J1425" s="6"/>
      <c r="K1425" s="6"/>
      <c r="L1425" s="6" t="s">
        <v>831</v>
      </c>
      <c r="M1425" s="6"/>
      <c r="N1425" s="6" t="s">
        <v>832</v>
      </c>
      <c r="O1425" s="6" t="str">
        <f>HYPERLINK("https://ceds.ed.gov/cedselementdetails.aspx?termid=5700")</f>
        <v>https://ceds.ed.gov/cedselementdetails.aspx?termid=5700</v>
      </c>
      <c r="P1425" s="6" t="str">
        <f>HYPERLINK("https://ceds.ed.gov/elementComment.aspx?elementName=Assessment Item Response Score Value &amp;elementID=5700", "Click here to submit comment")</f>
        <v>Click here to submit comment</v>
      </c>
    </row>
    <row r="1426" spans="1:16" ht="45">
      <c r="A1426" s="6" t="s">
        <v>6788</v>
      </c>
      <c r="B1426" s="6" t="s">
        <v>6784</v>
      </c>
      <c r="C1426" s="6" t="s">
        <v>6838</v>
      </c>
      <c r="D1426" s="6" t="s">
        <v>798</v>
      </c>
      <c r="E1426" s="6" t="s">
        <v>799</v>
      </c>
      <c r="F1426" s="6" t="s">
        <v>13</v>
      </c>
      <c r="G1426" s="6" t="s">
        <v>6018</v>
      </c>
      <c r="H1426" s="6"/>
      <c r="I1426" s="6" t="s">
        <v>745</v>
      </c>
      <c r="J1426" s="6"/>
      <c r="K1426" s="6"/>
      <c r="L1426" s="6" t="s">
        <v>800</v>
      </c>
      <c r="M1426" s="6"/>
      <c r="N1426" s="6" t="s">
        <v>801</v>
      </c>
      <c r="O1426" s="6" t="str">
        <f>HYPERLINK("https://ceds.ed.gov/cedselementdetails.aspx?termid=5385")</f>
        <v>https://ceds.ed.gov/cedselementdetails.aspx?termid=5385</v>
      </c>
      <c r="P1426" s="6" t="str">
        <f>HYPERLINK("https://ceds.ed.gov/elementComment.aspx?elementName=Assessment Item Response Choice Pattern &amp;elementID=5385", "Click here to submit comment")</f>
        <v>Click here to submit comment</v>
      </c>
    </row>
    <row r="1427" spans="1:16" ht="60">
      <c r="A1427" s="6" t="s">
        <v>6788</v>
      </c>
      <c r="B1427" s="6" t="s">
        <v>6784</v>
      </c>
      <c r="C1427" s="6" t="s">
        <v>6838</v>
      </c>
      <c r="D1427" s="6" t="s">
        <v>802</v>
      </c>
      <c r="E1427" s="6" t="s">
        <v>803</v>
      </c>
      <c r="F1427" s="6" t="s">
        <v>13</v>
      </c>
      <c r="G1427" s="6" t="s">
        <v>493</v>
      </c>
      <c r="H1427" s="6"/>
      <c r="I1427" s="6" t="s">
        <v>93</v>
      </c>
      <c r="J1427" s="6"/>
      <c r="K1427" s="6"/>
      <c r="L1427" s="6" t="s">
        <v>804</v>
      </c>
      <c r="M1427" s="6"/>
      <c r="N1427" s="6" t="s">
        <v>805</v>
      </c>
      <c r="O1427" s="6" t="str">
        <f>HYPERLINK("https://ceds.ed.gov/cedselementdetails.aspx?termid=5891")</f>
        <v>https://ceds.ed.gov/cedselementdetails.aspx?termid=5891</v>
      </c>
      <c r="P1427" s="6" t="str">
        <f>HYPERLINK("https://ceds.ed.gov/elementComment.aspx?elementName=Assessment Item Response Descriptive Feedback &amp;elementID=5891", "Click here to submit comment")</f>
        <v>Click here to submit comment</v>
      </c>
    </row>
    <row r="1428" spans="1:16" ht="135">
      <c r="A1428" s="6" t="s">
        <v>6788</v>
      </c>
      <c r="B1428" s="6" t="s">
        <v>6784</v>
      </c>
      <c r="C1428" s="6" t="s">
        <v>6838</v>
      </c>
      <c r="D1428" s="6" t="s">
        <v>825</v>
      </c>
      <c r="E1428" s="6" t="s">
        <v>826</v>
      </c>
      <c r="F1428" s="6" t="s">
        <v>5963</v>
      </c>
      <c r="G1428" s="6"/>
      <c r="H1428" s="6"/>
      <c r="I1428" s="6"/>
      <c r="J1428" s="6"/>
      <c r="K1428" s="6"/>
      <c r="L1428" s="6" t="s">
        <v>827</v>
      </c>
      <c r="M1428" s="6"/>
      <c r="N1428" s="6" t="s">
        <v>828</v>
      </c>
      <c r="O1428" s="6" t="str">
        <f>HYPERLINK("https://ceds.ed.gov/cedselementdetails.aspx?termid=5955")</f>
        <v>https://ceds.ed.gov/cedselementdetails.aspx?termid=5955</v>
      </c>
      <c r="P1428" s="6" t="str">
        <f>HYPERLINK("https://ceds.ed.gov/elementComment.aspx?elementName=Assessment Item Response Scaffolding Item Flag &amp;elementID=5955", "Click here to submit comment")</f>
        <v>Click here to submit comment</v>
      </c>
    </row>
    <row r="1429" spans="1:16" ht="135">
      <c r="A1429" s="6" t="s">
        <v>6788</v>
      </c>
      <c r="B1429" s="6" t="s">
        <v>6784</v>
      </c>
      <c r="C1429" s="6" t="s">
        <v>6838</v>
      </c>
      <c r="D1429" s="6" t="s">
        <v>816</v>
      </c>
      <c r="E1429" s="6" t="s">
        <v>817</v>
      </c>
      <c r="F1429" s="6" t="s">
        <v>13</v>
      </c>
      <c r="G1429" s="6"/>
      <c r="H1429" s="6"/>
      <c r="I1429" s="6" t="s">
        <v>308</v>
      </c>
      <c r="J1429" s="6"/>
      <c r="K1429" s="6"/>
      <c r="L1429" s="6" t="s">
        <v>818</v>
      </c>
      <c r="M1429" s="6"/>
      <c r="N1429" s="6" t="s">
        <v>819</v>
      </c>
      <c r="O1429" s="6" t="str">
        <f>HYPERLINK("https://ceds.ed.gov/cedselementdetails.aspx?termid=5956")</f>
        <v>https://ceds.ed.gov/cedselementdetails.aspx?termid=5956</v>
      </c>
      <c r="P1429" s="6" t="str">
        <f>HYPERLINK("https://ceds.ed.gov/elementComment.aspx?elementName=Assessment Item Response Hint Count &amp;elementID=5956", "Click here to submit comment")</f>
        <v>Click here to submit comment</v>
      </c>
    </row>
    <row r="1430" spans="1:16" ht="135">
      <c r="A1430" s="6" t="s">
        <v>6788</v>
      </c>
      <c r="B1430" s="6" t="s">
        <v>6784</v>
      </c>
      <c r="C1430" s="6" t="s">
        <v>6838</v>
      </c>
      <c r="D1430" s="6" t="s">
        <v>820</v>
      </c>
      <c r="E1430" s="6" t="s">
        <v>821</v>
      </c>
      <c r="F1430" s="6" t="s">
        <v>5963</v>
      </c>
      <c r="G1430" s="6"/>
      <c r="H1430" s="6"/>
      <c r="I1430" s="6"/>
      <c r="J1430" s="6"/>
      <c r="K1430" s="6" t="s">
        <v>822</v>
      </c>
      <c r="L1430" s="6" t="s">
        <v>823</v>
      </c>
      <c r="M1430" s="6"/>
      <c r="N1430" s="6" t="s">
        <v>824</v>
      </c>
      <c r="O1430" s="6" t="str">
        <f>HYPERLINK("https://ceds.ed.gov/cedselementdetails.aspx?termid=5957")</f>
        <v>https://ceds.ed.gov/cedselementdetails.aspx?termid=5957</v>
      </c>
      <c r="P1430" s="6" t="str">
        <f>HYPERLINK("https://ceds.ed.gov/elementComment.aspx?elementName=Assessment Item Response Hint Included Answer &amp;elementID=5957", "Click here to submit comment")</f>
        <v>Click here to submit comment</v>
      </c>
    </row>
    <row r="1431" spans="1:16" ht="105">
      <c r="A1431" s="6" t="s">
        <v>6788</v>
      </c>
      <c r="B1431" s="6" t="s">
        <v>6784</v>
      </c>
      <c r="C1431" s="6" t="s">
        <v>6838</v>
      </c>
      <c r="D1431" s="6" t="s">
        <v>811</v>
      </c>
      <c r="E1431" s="6" t="s">
        <v>812</v>
      </c>
      <c r="F1431" s="6" t="s">
        <v>13</v>
      </c>
      <c r="G1431" s="6"/>
      <c r="H1431" s="6"/>
      <c r="I1431" s="6" t="s">
        <v>808</v>
      </c>
      <c r="J1431" s="6"/>
      <c r="K1431" s="6" t="s">
        <v>813</v>
      </c>
      <c r="L1431" s="6" t="s">
        <v>814</v>
      </c>
      <c r="M1431" s="6"/>
      <c r="N1431" s="6" t="s">
        <v>815</v>
      </c>
      <c r="O1431" s="6" t="str">
        <f>HYPERLINK("https://ceds.ed.gov/cedselementdetails.aspx?termid=5958")</f>
        <v>https://ceds.ed.gov/cedselementdetails.aspx?termid=5958</v>
      </c>
      <c r="P1431" s="6" t="str">
        <f>HYPERLINK("https://ceds.ed.gov/elementComment.aspx?elementName=Assessment Item Response First Attempt Duration &amp;elementID=5958", "Click here to submit comment")</f>
        <v>Click here to submit comment</v>
      </c>
    </row>
    <row r="1432" spans="1:16" ht="60">
      <c r="A1432" s="6" t="s">
        <v>6788</v>
      </c>
      <c r="B1432" s="6" t="s">
        <v>6784</v>
      </c>
      <c r="C1432" s="6" t="s">
        <v>6838</v>
      </c>
      <c r="D1432" s="6" t="s">
        <v>4767</v>
      </c>
      <c r="E1432" s="6" t="s">
        <v>4768</v>
      </c>
      <c r="F1432" s="7" t="s">
        <v>6621</v>
      </c>
      <c r="G1432" s="6" t="s">
        <v>218</v>
      </c>
      <c r="H1432" s="6"/>
      <c r="I1432" s="6"/>
      <c r="J1432" s="6"/>
      <c r="K1432" s="6"/>
      <c r="L1432" s="6" t="s">
        <v>4769</v>
      </c>
      <c r="M1432" s="6"/>
      <c r="N1432" s="6" t="s">
        <v>4770</v>
      </c>
      <c r="O1432" s="6" t="str">
        <f>HYPERLINK("https://ceds.ed.gov/cedselementdetails.aspx?termid=5565")</f>
        <v>https://ceds.ed.gov/cedselementdetails.aspx?termid=5565</v>
      </c>
      <c r="P1432" s="6" t="str">
        <f>HYPERLINK("https://ceds.ed.gov/elementComment.aspx?elementName=Proficiency Status &amp;elementID=5565", "Click here to submit comment")</f>
        <v>Click here to submit comment</v>
      </c>
    </row>
    <row r="1433" spans="1:16" ht="120">
      <c r="A1433" s="6" t="s">
        <v>6788</v>
      </c>
      <c r="B1433" s="6" t="s">
        <v>6784</v>
      </c>
      <c r="C1433" s="6" t="s">
        <v>6839</v>
      </c>
      <c r="D1433" s="6" t="s">
        <v>863</v>
      </c>
      <c r="E1433" s="6" t="s">
        <v>864</v>
      </c>
      <c r="F1433" s="6" t="s">
        <v>13</v>
      </c>
      <c r="G1433" s="6"/>
      <c r="H1433" s="6"/>
      <c r="I1433" s="6" t="s">
        <v>545</v>
      </c>
      <c r="J1433" s="6"/>
      <c r="K1433" s="6"/>
      <c r="L1433" s="6" t="s">
        <v>865</v>
      </c>
      <c r="M1433" s="6"/>
      <c r="N1433" s="6" t="s">
        <v>866</v>
      </c>
      <c r="O1433" s="6" t="str">
        <f>HYPERLINK("https://ceds.ed.gov/cedselementdetails.aspx?termid=6217")</f>
        <v>https://ceds.ed.gov/cedselementdetails.aspx?termid=6217</v>
      </c>
      <c r="P1433" s="6" t="str">
        <f>HYPERLINK("https://ceds.ed.gov/elementComment.aspx?elementName=Assessment Item Response Theory Parameter A &amp;elementID=6217", "Click here to submit comment")</f>
        <v>Click here to submit comment</v>
      </c>
    </row>
    <row r="1434" spans="1:16" ht="75">
      <c r="A1434" s="6" t="s">
        <v>6788</v>
      </c>
      <c r="B1434" s="6" t="s">
        <v>6784</v>
      </c>
      <c r="C1434" s="6" t="s">
        <v>6839</v>
      </c>
      <c r="D1434" s="6" t="s">
        <v>867</v>
      </c>
      <c r="E1434" s="6" t="s">
        <v>868</v>
      </c>
      <c r="F1434" s="6" t="s">
        <v>13</v>
      </c>
      <c r="G1434" s="6"/>
      <c r="H1434" s="6"/>
      <c r="I1434" s="6" t="s">
        <v>545</v>
      </c>
      <c r="J1434" s="6"/>
      <c r="K1434" s="6"/>
      <c r="L1434" s="6" t="s">
        <v>869</v>
      </c>
      <c r="M1434" s="6"/>
      <c r="N1434" s="6" t="s">
        <v>870</v>
      </c>
      <c r="O1434" s="6" t="str">
        <f>HYPERLINK("https://ceds.ed.gov/cedselementdetails.aspx?termid=6218")</f>
        <v>https://ceds.ed.gov/cedselementdetails.aspx?termid=6218</v>
      </c>
      <c r="P1434" s="6" t="str">
        <f>HYPERLINK("https://ceds.ed.gov/elementComment.aspx?elementName=Assessment Item Response Theory Parameter B &amp;elementID=6218", "Click here to submit comment")</f>
        <v>Click here to submit comment</v>
      </c>
    </row>
    <row r="1435" spans="1:16" ht="180">
      <c r="A1435" s="6" t="s">
        <v>6788</v>
      </c>
      <c r="B1435" s="6" t="s">
        <v>6784</v>
      </c>
      <c r="C1435" s="6" t="s">
        <v>6839</v>
      </c>
      <c r="D1435" s="6" t="s">
        <v>899</v>
      </c>
      <c r="E1435" s="6" t="s">
        <v>900</v>
      </c>
      <c r="F1435" s="7" t="s">
        <v>6387</v>
      </c>
      <c r="G1435" s="6"/>
      <c r="H1435" s="6"/>
      <c r="I1435" s="6"/>
      <c r="J1435" s="6"/>
      <c r="K1435" s="6"/>
      <c r="L1435" s="6" t="s">
        <v>901</v>
      </c>
      <c r="M1435" s="6"/>
      <c r="N1435" s="6" t="s">
        <v>902</v>
      </c>
      <c r="O1435" s="6" t="str">
        <f>HYPERLINK("https://ceds.ed.gov/cedselementdetails.aspx?termid=6219")</f>
        <v>https://ceds.ed.gov/cedselementdetails.aspx?termid=6219</v>
      </c>
      <c r="P1435" s="6" t="str">
        <f>HYPERLINK("https://ceds.ed.gov/elementComment.aspx?elementName=Assessment Item Response Theory Parameter Difficulty Category &amp;elementID=6219", "Click here to submit comment")</f>
        <v>Click here to submit comment</v>
      </c>
    </row>
    <row r="1436" spans="1:16" ht="120">
      <c r="A1436" s="6" t="s">
        <v>6788</v>
      </c>
      <c r="B1436" s="6" t="s">
        <v>6784</v>
      </c>
      <c r="C1436" s="6" t="s">
        <v>6839</v>
      </c>
      <c r="D1436" s="6" t="s">
        <v>871</v>
      </c>
      <c r="E1436" s="6" t="s">
        <v>872</v>
      </c>
      <c r="F1436" s="6" t="s">
        <v>13</v>
      </c>
      <c r="G1436" s="6"/>
      <c r="H1436" s="6"/>
      <c r="I1436" s="6" t="s">
        <v>545</v>
      </c>
      <c r="J1436" s="6"/>
      <c r="K1436" s="6"/>
      <c r="L1436" s="6" t="s">
        <v>873</v>
      </c>
      <c r="M1436" s="6"/>
      <c r="N1436" s="6" t="s">
        <v>874</v>
      </c>
      <c r="O1436" s="6" t="str">
        <f>HYPERLINK("https://ceds.ed.gov/cedselementdetails.aspx?termid=6220")</f>
        <v>https://ceds.ed.gov/cedselementdetails.aspx?termid=6220</v>
      </c>
      <c r="P1436" s="6" t="str">
        <f>HYPERLINK("https://ceds.ed.gov/elementComment.aspx?elementName=Assessment Item Response Theory Parameter C &amp;elementID=6220", "Click here to submit comment")</f>
        <v>Click here to submit comment</v>
      </c>
    </row>
    <row r="1437" spans="1:16" ht="90">
      <c r="A1437" s="6" t="s">
        <v>6788</v>
      </c>
      <c r="B1437" s="6" t="s">
        <v>6784</v>
      </c>
      <c r="C1437" s="6" t="s">
        <v>6839</v>
      </c>
      <c r="D1437" s="6" t="s">
        <v>875</v>
      </c>
      <c r="E1437" s="6" t="s">
        <v>876</v>
      </c>
      <c r="F1437" s="6" t="s">
        <v>13</v>
      </c>
      <c r="G1437" s="6"/>
      <c r="H1437" s="6"/>
      <c r="I1437" s="6" t="s">
        <v>545</v>
      </c>
      <c r="J1437" s="6"/>
      <c r="K1437" s="6"/>
      <c r="L1437" s="6" t="s">
        <v>877</v>
      </c>
      <c r="M1437" s="6"/>
      <c r="N1437" s="6" t="s">
        <v>878</v>
      </c>
      <c r="O1437" s="6" t="str">
        <f>HYPERLINK("https://ceds.ed.gov/cedselementdetails.aspx?termid=6221")</f>
        <v>https://ceds.ed.gov/cedselementdetails.aspx?termid=6221</v>
      </c>
      <c r="P1437" s="6" t="str">
        <f>HYPERLINK("https://ceds.ed.gov/elementComment.aspx?elementName=Assessment Item Response Theory Parameter D1 &amp;elementID=6221", "Click here to submit comment")</f>
        <v>Click here to submit comment</v>
      </c>
    </row>
    <row r="1438" spans="1:16" ht="90">
      <c r="A1438" s="6" t="s">
        <v>6788</v>
      </c>
      <c r="B1438" s="6" t="s">
        <v>6784</v>
      </c>
      <c r="C1438" s="6" t="s">
        <v>6839</v>
      </c>
      <c r="D1438" s="6" t="s">
        <v>879</v>
      </c>
      <c r="E1438" s="6" t="s">
        <v>880</v>
      </c>
      <c r="F1438" s="6" t="s">
        <v>13</v>
      </c>
      <c r="G1438" s="6"/>
      <c r="H1438" s="6"/>
      <c r="I1438" s="6" t="s">
        <v>545</v>
      </c>
      <c r="J1438" s="6"/>
      <c r="K1438" s="6"/>
      <c r="L1438" s="6" t="s">
        <v>881</v>
      </c>
      <c r="M1438" s="6"/>
      <c r="N1438" s="6" t="s">
        <v>882</v>
      </c>
      <c r="O1438" s="6" t="str">
        <f>HYPERLINK("https://ceds.ed.gov/cedselementdetails.aspx?termid=6222")</f>
        <v>https://ceds.ed.gov/cedselementdetails.aspx?termid=6222</v>
      </c>
      <c r="P1438" s="6" t="str">
        <f>HYPERLINK("https://ceds.ed.gov/elementComment.aspx?elementName=Assessment Item Response Theory Parameter D2 &amp;elementID=6222", "Click here to submit comment")</f>
        <v>Click here to submit comment</v>
      </c>
    </row>
    <row r="1439" spans="1:16" ht="90">
      <c r="A1439" s="6" t="s">
        <v>6788</v>
      </c>
      <c r="B1439" s="6" t="s">
        <v>6784</v>
      </c>
      <c r="C1439" s="6" t="s">
        <v>6839</v>
      </c>
      <c r="D1439" s="6" t="s">
        <v>883</v>
      </c>
      <c r="E1439" s="6" t="s">
        <v>884</v>
      </c>
      <c r="F1439" s="6" t="s">
        <v>13</v>
      </c>
      <c r="G1439" s="6"/>
      <c r="H1439" s="6"/>
      <c r="I1439" s="6" t="s">
        <v>545</v>
      </c>
      <c r="J1439" s="6"/>
      <c r="K1439" s="6"/>
      <c r="L1439" s="6" t="s">
        <v>885</v>
      </c>
      <c r="M1439" s="6"/>
      <c r="N1439" s="6" t="s">
        <v>886</v>
      </c>
      <c r="O1439" s="6" t="str">
        <f>HYPERLINK("https://ceds.ed.gov/cedselementdetails.aspx?termid=6223")</f>
        <v>https://ceds.ed.gov/cedselementdetails.aspx?termid=6223</v>
      </c>
      <c r="P1439" s="6" t="str">
        <f>HYPERLINK("https://ceds.ed.gov/elementComment.aspx?elementName=Assessment Item Response Theory Parameter D3 &amp;elementID=6223", "Click here to submit comment")</f>
        <v>Click here to submit comment</v>
      </c>
    </row>
    <row r="1440" spans="1:16" ht="90">
      <c r="A1440" s="6" t="s">
        <v>6788</v>
      </c>
      <c r="B1440" s="6" t="s">
        <v>6784</v>
      </c>
      <c r="C1440" s="6" t="s">
        <v>6839</v>
      </c>
      <c r="D1440" s="6" t="s">
        <v>887</v>
      </c>
      <c r="E1440" s="6" t="s">
        <v>888</v>
      </c>
      <c r="F1440" s="6" t="s">
        <v>13</v>
      </c>
      <c r="G1440" s="6"/>
      <c r="H1440" s="6"/>
      <c r="I1440" s="6" t="s">
        <v>545</v>
      </c>
      <c r="J1440" s="6"/>
      <c r="K1440" s="6"/>
      <c r="L1440" s="6" t="s">
        <v>889</v>
      </c>
      <c r="M1440" s="6"/>
      <c r="N1440" s="6" t="s">
        <v>890</v>
      </c>
      <c r="O1440" s="6" t="str">
        <f>HYPERLINK("https://ceds.ed.gov/cedselementdetails.aspx?termid=6224")</f>
        <v>https://ceds.ed.gov/cedselementdetails.aspx?termid=6224</v>
      </c>
      <c r="P1440" s="6" t="str">
        <f>HYPERLINK("https://ceds.ed.gov/elementComment.aspx?elementName=Assessment Item Response Theory Parameter D4 &amp;elementID=6224", "Click here to submit comment")</f>
        <v>Click here to submit comment</v>
      </c>
    </row>
    <row r="1441" spans="1:16" ht="90">
      <c r="A1441" s="6" t="s">
        <v>6788</v>
      </c>
      <c r="B1441" s="6" t="s">
        <v>6784</v>
      </c>
      <c r="C1441" s="6" t="s">
        <v>6839</v>
      </c>
      <c r="D1441" s="6" t="s">
        <v>891</v>
      </c>
      <c r="E1441" s="6" t="s">
        <v>892</v>
      </c>
      <c r="F1441" s="6" t="s">
        <v>13</v>
      </c>
      <c r="G1441" s="6"/>
      <c r="H1441" s="6"/>
      <c r="I1441" s="6" t="s">
        <v>545</v>
      </c>
      <c r="J1441" s="6"/>
      <c r="K1441" s="6"/>
      <c r="L1441" s="6" t="s">
        <v>893</v>
      </c>
      <c r="M1441" s="6"/>
      <c r="N1441" s="6" t="s">
        <v>894</v>
      </c>
      <c r="O1441" s="6" t="str">
        <f>HYPERLINK("https://ceds.ed.gov/cedselementdetails.aspx?termid=6225")</f>
        <v>https://ceds.ed.gov/cedselementdetails.aspx?termid=6225</v>
      </c>
      <c r="P1441" s="6" t="str">
        <f>HYPERLINK("https://ceds.ed.gov/elementComment.aspx?elementName=Assessment Item Response Theory Parameter D5 &amp;elementID=6225", "Click here to submit comment")</f>
        <v>Click here to submit comment</v>
      </c>
    </row>
    <row r="1442" spans="1:16" ht="90">
      <c r="A1442" s="6" t="s">
        <v>6788</v>
      </c>
      <c r="B1442" s="6" t="s">
        <v>6784</v>
      </c>
      <c r="C1442" s="6" t="s">
        <v>6839</v>
      </c>
      <c r="D1442" s="6" t="s">
        <v>895</v>
      </c>
      <c r="E1442" s="6" t="s">
        <v>896</v>
      </c>
      <c r="F1442" s="6" t="s">
        <v>13</v>
      </c>
      <c r="G1442" s="6"/>
      <c r="H1442" s="6"/>
      <c r="I1442" s="6" t="s">
        <v>545</v>
      </c>
      <c r="J1442" s="6"/>
      <c r="K1442" s="6"/>
      <c r="L1442" s="6" t="s">
        <v>897</v>
      </c>
      <c r="M1442" s="6"/>
      <c r="N1442" s="6" t="s">
        <v>898</v>
      </c>
      <c r="O1442" s="6" t="str">
        <f>HYPERLINK("https://ceds.ed.gov/cedselementdetails.aspx?termid=6226")</f>
        <v>https://ceds.ed.gov/cedselementdetails.aspx?termid=6226</v>
      </c>
      <c r="P1442" s="6" t="str">
        <f>HYPERLINK("https://ceds.ed.gov/elementComment.aspx?elementName=Assessment Item Response Theory Parameter D6 &amp;elementID=6226", "Click here to submit comment")</f>
        <v>Click here to submit comment</v>
      </c>
    </row>
    <row r="1443" spans="1:16" ht="165">
      <c r="A1443" s="6" t="s">
        <v>6788</v>
      </c>
      <c r="B1443" s="6" t="s">
        <v>6784</v>
      </c>
      <c r="C1443" s="6" t="s">
        <v>6839</v>
      </c>
      <c r="D1443" s="6" t="s">
        <v>851</v>
      </c>
      <c r="E1443" s="6" t="s">
        <v>852</v>
      </c>
      <c r="F1443" s="6" t="s">
        <v>13</v>
      </c>
      <c r="G1443" s="6"/>
      <c r="H1443" s="6"/>
      <c r="I1443" s="6" t="s">
        <v>545</v>
      </c>
      <c r="J1443" s="6"/>
      <c r="K1443" s="6"/>
      <c r="L1443" s="6" t="s">
        <v>853</v>
      </c>
      <c r="M1443" s="6"/>
      <c r="N1443" s="6" t="s">
        <v>854</v>
      </c>
      <c r="O1443" s="6" t="str">
        <f>HYPERLINK("https://ceds.ed.gov/cedselementdetails.aspx?termid=6230")</f>
        <v>https://ceds.ed.gov/cedselementdetails.aspx?termid=6230</v>
      </c>
      <c r="P1443" s="6" t="str">
        <f>HYPERLINK("https://ceds.ed.gov/elementComment.aspx?elementName=Assessment Item Response Theory DIF Value &amp;elementID=6230", "Click here to submit comment")</f>
        <v>Click here to submit comment</v>
      </c>
    </row>
    <row r="1444" spans="1:16" ht="45">
      <c r="A1444" s="6" t="s">
        <v>6788</v>
      </c>
      <c r="B1444" s="6" t="s">
        <v>6784</v>
      </c>
      <c r="C1444" s="6" t="s">
        <v>6839</v>
      </c>
      <c r="D1444" s="6" t="s">
        <v>859</v>
      </c>
      <c r="E1444" s="6" t="s">
        <v>860</v>
      </c>
      <c r="F1444" s="6" t="s">
        <v>13</v>
      </c>
      <c r="G1444" s="6"/>
      <c r="H1444" s="6"/>
      <c r="I1444" s="6" t="s">
        <v>545</v>
      </c>
      <c r="J1444" s="6"/>
      <c r="K1444" s="6"/>
      <c r="L1444" s="6" t="s">
        <v>861</v>
      </c>
      <c r="M1444" s="6"/>
      <c r="N1444" s="6" t="s">
        <v>862</v>
      </c>
      <c r="O1444" s="6" t="str">
        <f>HYPERLINK("https://ceds.ed.gov/cedselementdetails.aspx?termid=6231")</f>
        <v>https://ceds.ed.gov/cedselementdetails.aspx?termid=6231</v>
      </c>
      <c r="P1444" s="6" t="str">
        <f>HYPERLINK("https://ceds.ed.gov/elementComment.aspx?elementName=Assessment Item Response Theory Kappa Value &amp;elementID=6231", "Click here to submit comment")</f>
        <v>Click here to submit comment</v>
      </c>
    </row>
    <row r="1445" spans="1:16" ht="135">
      <c r="A1445" s="6" t="s">
        <v>6788</v>
      </c>
      <c r="B1445" s="6" t="s">
        <v>6784</v>
      </c>
      <c r="C1445" s="6" t="s">
        <v>6839</v>
      </c>
      <c r="D1445" s="6" t="s">
        <v>855</v>
      </c>
      <c r="E1445" s="6" t="s">
        <v>856</v>
      </c>
      <c r="F1445" s="7" t="s">
        <v>6386</v>
      </c>
      <c r="G1445" s="6"/>
      <c r="H1445" s="6"/>
      <c r="I1445" s="6"/>
      <c r="J1445" s="6"/>
      <c r="K1445" s="6"/>
      <c r="L1445" s="6" t="s">
        <v>857</v>
      </c>
      <c r="M1445" s="6"/>
      <c r="N1445" s="6" t="s">
        <v>858</v>
      </c>
      <c r="O1445" s="6" t="str">
        <f>HYPERLINK("https://ceds.ed.gov/cedselementdetails.aspx?termid=6232")</f>
        <v>https://ceds.ed.gov/cedselementdetails.aspx?termid=6232</v>
      </c>
      <c r="P1445" s="6" t="str">
        <f>HYPERLINK("https://ceds.ed.gov/elementComment.aspx?elementName=Assessment Item Response Theory Kappa Algorithm &amp;elementID=6232", "Click here to submit comment")</f>
        <v>Click here to submit comment</v>
      </c>
    </row>
    <row r="1446" spans="1:16" ht="90">
      <c r="A1446" s="6" t="s">
        <v>6788</v>
      </c>
      <c r="B1446" s="6" t="s">
        <v>6784</v>
      </c>
      <c r="C1446" s="6" t="s">
        <v>6840</v>
      </c>
      <c r="D1446" s="6" t="s">
        <v>650</v>
      </c>
      <c r="E1446" s="6" t="s">
        <v>651</v>
      </c>
      <c r="F1446" s="6" t="s">
        <v>13</v>
      </c>
      <c r="G1446" s="6"/>
      <c r="H1446" s="6"/>
      <c r="I1446" s="6" t="s">
        <v>319</v>
      </c>
      <c r="J1446" s="6"/>
      <c r="K1446" s="6"/>
      <c r="L1446" s="6" t="s">
        <v>652</v>
      </c>
      <c r="M1446" s="6"/>
      <c r="N1446" s="6" t="s">
        <v>653</v>
      </c>
      <c r="O1446" s="6" t="str">
        <f>HYPERLINK("https://ceds.ed.gov/cedselementdetails.aspx?termid=6079")</f>
        <v>https://ceds.ed.gov/cedselementdetails.aspx?termid=6079</v>
      </c>
      <c r="P1446" s="6" t="str">
        <f>HYPERLINK("https://ceds.ed.gov/elementComment.aspx?elementName=Assessment Item Body Custom Interaction XML &amp;elementID=6079", "Click here to submit comment")</f>
        <v>Click here to submit comment</v>
      </c>
    </row>
    <row r="1447" spans="1:16" ht="409.5">
      <c r="A1447" s="6" t="s">
        <v>6788</v>
      </c>
      <c r="B1447" s="6" t="s">
        <v>6784</v>
      </c>
      <c r="C1447" s="6" t="s">
        <v>6841</v>
      </c>
      <c r="D1447" s="6" t="s">
        <v>730</v>
      </c>
      <c r="E1447" s="6" t="s">
        <v>731</v>
      </c>
      <c r="F1447" s="7" t="s">
        <v>6383</v>
      </c>
      <c r="G1447" s="6" t="s">
        <v>6018</v>
      </c>
      <c r="H1447" s="6"/>
      <c r="I1447" s="6"/>
      <c r="J1447" s="6"/>
      <c r="K1447" s="6"/>
      <c r="L1447" s="6" t="s">
        <v>732</v>
      </c>
      <c r="M1447" s="6"/>
      <c r="N1447" s="6" t="s">
        <v>733</v>
      </c>
      <c r="O1447" s="6" t="str">
        <f>HYPERLINK("https://ceds.ed.gov/cedselementdetails.aspx?termid=5384")</f>
        <v>https://ceds.ed.gov/cedselementdetails.aspx?termid=5384</v>
      </c>
      <c r="P1447" s="6" t="str">
        <f>HYPERLINK("https://ceds.ed.gov/elementComment.aspx?elementName=Assessment Item Characteristic Type &amp;elementID=5384", "Click here to submit comment")</f>
        <v>Click here to submit comment</v>
      </c>
    </row>
    <row r="1448" spans="1:16" ht="45">
      <c r="A1448" s="6" t="s">
        <v>6788</v>
      </c>
      <c r="B1448" s="6" t="s">
        <v>6784</v>
      </c>
      <c r="C1448" s="6" t="s">
        <v>6841</v>
      </c>
      <c r="D1448" s="6" t="s">
        <v>734</v>
      </c>
      <c r="E1448" s="6" t="s">
        <v>735</v>
      </c>
      <c r="F1448" s="6" t="s">
        <v>13</v>
      </c>
      <c r="G1448" s="6"/>
      <c r="H1448" s="6"/>
      <c r="I1448" s="6" t="s">
        <v>100</v>
      </c>
      <c r="J1448" s="6"/>
      <c r="K1448" s="6"/>
      <c r="L1448" s="6" t="s">
        <v>736</v>
      </c>
      <c r="M1448" s="6"/>
      <c r="N1448" s="6" t="s">
        <v>737</v>
      </c>
      <c r="O1448" s="6" t="str">
        <f>HYPERLINK("https://ceds.ed.gov/cedselementdetails.aspx?termid=5685")</f>
        <v>https://ceds.ed.gov/cedselementdetails.aspx?termid=5685</v>
      </c>
      <c r="P1448" s="6" t="str">
        <f>HYPERLINK("https://ceds.ed.gov/elementComment.aspx?elementName=Assessment Item Characteristic Value &amp;elementID=5685", "Click here to submit comment")</f>
        <v>Click here to submit comment</v>
      </c>
    </row>
    <row r="1449" spans="1:16" ht="45">
      <c r="A1449" s="6" t="s">
        <v>6788</v>
      </c>
      <c r="B1449" s="6" t="s">
        <v>6784</v>
      </c>
      <c r="C1449" s="6" t="s">
        <v>6842</v>
      </c>
      <c r="D1449" s="6" t="s">
        <v>594</v>
      </c>
      <c r="E1449" s="6" t="s">
        <v>595</v>
      </c>
      <c r="F1449" s="6" t="s">
        <v>5963</v>
      </c>
      <c r="G1449" s="6"/>
      <c r="H1449" s="6"/>
      <c r="I1449" s="6"/>
      <c r="J1449" s="6"/>
      <c r="K1449" s="6"/>
      <c r="L1449" s="6" t="s">
        <v>596</v>
      </c>
      <c r="M1449" s="6"/>
      <c r="N1449" s="6" t="s">
        <v>597</v>
      </c>
      <c r="O1449" s="6" t="str">
        <f>HYPERLINK("https://ceds.ed.gov/cedselementdetails.aspx?termid=6111")</f>
        <v>https://ceds.ed.gov/cedselementdetails.aspx?termid=6111</v>
      </c>
      <c r="P1449" s="6" t="str">
        <f>HYPERLINK("https://ceds.ed.gov/elementComment.aspx?elementName=Assessment Item Adaptive Indicator &amp;elementID=6111", "Click here to submit comment")</f>
        <v>Click here to submit comment</v>
      </c>
    </row>
    <row r="1450" spans="1:16" ht="195">
      <c r="A1450" s="6" t="s">
        <v>6788</v>
      </c>
      <c r="B1450" s="6" t="s">
        <v>6784</v>
      </c>
      <c r="C1450" s="6" t="s">
        <v>6842</v>
      </c>
      <c r="D1450" s="6" t="s">
        <v>602</v>
      </c>
      <c r="E1450" s="6" t="s">
        <v>603</v>
      </c>
      <c r="F1450" s="6" t="s">
        <v>13</v>
      </c>
      <c r="G1450" s="6"/>
      <c r="H1450" s="6"/>
      <c r="I1450" s="6" t="s">
        <v>319</v>
      </c>
      <c r="J1450" s="6"/>
      <c r="K1450" s="6"/>
      <c r="L1450" s="6" t="s">
        <v>604</v>
      </c>
      <c r="M1450" s="6"/>
      <c r="N1450" s="6" t="s">
        <v>605</v>
      </c>
      <c r="O1450" s="6" t="str">
        <f>HYPERLINK("https://ceds.ed.gov/cedselementdetails.aspx?termid=6110")</f>
        <v>https://ceds.ed.gov/cedselementdetails.aspx?termid=6110</v>
      </c>
      <c r="P1450" s="6" t="str">
        <f>HYPERLINK("https://ceds.ed.gov/elementComment.aspx?elementName=Assessment Item APIP Item Body XML &amp;elementID=6110", "Click here to submit comment")</f>
        <v>Click here to submit comment</v>
      </c>
    </row>
    <row r="1451" spans="1:16" ht="150">
      <c r="A1451" s="6" t="s">
        <v>6788</v>
      </c>
      <c r="B1451" s="6" t="s">
        <v>6784</v>
      </c>
      <c r="C1451" s="6" t="s">
        <v>6842</v>
      </c>
      <c r="D1451" s="6" t="s">
        <v>606</v>
      </c>
      <c r="E1451" s="6" t="s">
        <v>607</v>
      </c>
      <c r="F1451" s="6" t="s">
        <v>13</v>
      </c>
      <c r="G1451" s="6"/>
      <c r="H1451" s="6"/>
      <c r="I1451" s="6" t="s">
        <v>319</v>
      </c>
      <c r="J1451" s="6"/>
      <c r="K1451" s="6"/>
      <c r="L1451" s="6" t="s">
        <v>608</v>
      </c>
      <c r="M1451" s="6"/>
      <c r="N1451" s="6" t="s">
        <v>609</v>
      </c>
      <c r="O1451" s="6" t="str">
        <f>HYPERLINK("https://ceds.ed.gov/cedselementdetails.aspx?termid=6109")</f>
        <v>https://ceds.ed.gov/cedselementdetails.aspx?termid=6109</v>
      </c>
      <c r="P1451" s="6" t="str">
        <f>HYPERLINK("https://ceds.ed.gov/elementComment.aspx?elementName=Assessment Item APIP Modal Feedback XML &amp;elementID=6109", "Click here to submit comment")</f>
        <v>Click here to submit comment</v>
      </c>
    </row>
    <row r="1452" spans="1:16" ht="105">
      <c r="A1452" s="6" t="s">
        <v>6788</v>
      </c>
      <c r="B1452" s="6" t="s">
        <v>6784</v>
      </c>
      <c r="C1452" s="6" t="s">
        <v>6842</v>
      </c>
      <c r="D1452" s="6" t="s">
        <v>610</v>
      </c>
      <c r="E1452" s="6" t="s">
        <v>611</v>
      </c>
      <c r="F1452" s="6" t="s">
        <v>13</v>
      </c>
      <c r="G1452" s="6"/>
      <c r="H1452" s="6"/>
      <c r="I1452" s="6" t="s">
        <v>319</v>
      </c>
      <c r="J1452" s="6"/>
      <c r="K1452" s="6"/>
      <c r="L1452" s="6" t="s">
        <v>612</v>
      </c>
      <c r="M1452" s="6"/>
      <c r="N1452" s="6" t="s">
        <v>613</v>
      </c>
      <c r="O1452" s="6" t="str">
        <f>HYPERLINK("https://ceds.ed.gov/cedselementdetails.aspx?termid=6106")</f>
        <v>https://ceds.ed.gov/cedselementdetails.aspx?termid=6106</v>
      </c>
      <c r="P1452" s="6" t="str">
        <f>HYPERLINK("https://ceds.ed.gov/elementComment.aspx?elementName=Assessment Item APIP Outcome Declaration XML &amp;elementID=6106", "Click here to submit comment")</f>
        <v>Click here to submit comment</v>
      </c>
    </row>
    <row r="1453" spans="1:16" ht="90">
      <c r="A1453" s="6" t="s">
        <v>6788</v>
      </c>
      <c r="B1453" s="6" t="s">
        <v>6784</v>
      </c>
      <c r="C1453" s="6" t="s">
        <v>6842</v>
      </c>
      <c r="D1453" s="6" t="s">
        <v>614</v>
      </c>
      <c r="E1453" s="6" t="s">
        <v>615</v>
      </c>
      <c r="F1453" s="6" t="s">
        <v>13</v>
      </c>
      <c r="G1453" s="6"/>
      <c r="H1453" s="6"/>
      <c r="I1453" s="6" t="s">
        <v>319</v>
      </c>
      <c r="J1453" s="6"/>
      <c r="K1453" s="6"/>
      <c r="L1453" s="6" t="s">
        <v>616</v>
      </c>
      <c r="M1453" s="6"/>
      <c r="N1453" s="6" t="s">
        <v>617</v>
      </c>
      <c r="O1453" s="6" t="str">
        <f>HYPERLINK("https://ceds.ed.gov/cedselementdetails.aspx?termid=6105")</f>
        <v>https://ceds.ed.gov/cedselementdetails.aspx?termid=6105</v>
      </c>
      <c r="P1453" s="6" t="str">
        <f>HYPERLINK("https://ceds.ed.gov/elementComment.aspx?elementName=Assessment Item APIP Response Declaration XML &amp;elementID=6105", "Click here to submit comment")</f>
        <v>Click here to submit comment</v>
      </c>
    </row>
    <row r="1454" spans="1:16" ht="180">
      <c r="A1454" s="6" t="s">
        <v>6788</v>
      </c>
      <c r="B1454" s="6" t="s">
        <v>6784</v>
      </c>
      <c r="C1454" s="6" t="s">
        <v>6842</v>
      </c>
      <c r="D1454" s="6" t="s">
        <v>618</v>
      </c>
      <c r="E1454" s="6" t="s">
        <v>619</v>
      </c>
      <c r="F1454" s="6" t="s">
        <v>13</v>
      </c>
      <c r="G1454" s="6"/>
      <c r="H1454" s="6"/>
      <c r="I1454" s="6" t="s">
        <v>319</v>
      </c>
      <c r="J1454" s="6"/>
      <c r="K1454" s="6"/>
      <c r="L1454" s="6" t="s">
        <v>620</v>
      </c>
      <c r="M1454" s="6"/>
      <c r="N1454" s="6" t="s">
        <v>621</v>
      </c>
      <c r="O1454" s="6" t="str">
        <f>HYPERLINK("https://ceds.ed.gov/cedselementdetails.aspx?termid=6103")</f>
        <v>https://ceds.ed.gov/cedselementdetails.aspx?termid=6103</v>
      </c>
      <c r="P1454" s="6" t="str">
        <f>HYPERLINK("https://ceds.ed.gov/elementComment.aspx?elementName=Assessment Item APIP Response Processing Template URL &amp;elementID=6103", "Click here to submit comment")</f>
        <v>Click here to submit comment</v>
      </c>
    </row>
    <row r="1455" spans="1:16" ht="180">
      <c r="A1455" s="6" t="s">
        <v>6788</v>
      </c>
      <c r="B1455" s="6" t="s">
        <v>6784</v>
      </c>
      <c r="C1455" s="6" t="s">
        <v>6842</v>
      </c>
      <c r="D1455" s="6" t="s">
        <v>622</v>
      </c>
      <c r="E1455" s="6" t="s">
        <v>623</v>
      </c>
      <c r="F1455" s="6" t="s">
        <v>13</v>
      </c>
      <c r="G1455" s="6"/>
      <c r="H1455" s="6"/>
      <c r="I1455" s="6" t="s">
        <v>319</v>
      </c>
      <c r="J1455" s="6"/>
      <c r="K1455" s="6"/>
      <c r="L1455" s="6" t="s">
        <v>624</v>
      </c>
      <c r="M1455" s="6"/>
      <c r="N1455" s="6" t="s">
        <v>625</v>
      </c>
      <c r="O1455" s="6" t="str">
        <f>HYPERLINK("https://ceds.ed.gov/cedselementdetails.aspx?termid=6104")</f>
        <v>https://ceds.ed.gov/cedselementdetails.aspx?termid=6104</v>
      </c>
      <c r="P1455" s="6" t="str">
        <f>HYPERLINK("https://ceds.ed.gov/elementComment.aspx?elementName=Assessment Item APIP Response Processing XML &amp;elementID=6104", "Click here to submit comment")</f>
        <v>Click here to submit comment</v>
      </c>
    </row>
    <row r="1456" spans="1:16" ht="180">
      <c r="A1456" s="6" t="s">
        <v>6788</v>
      </c>
      <c r="B1456" s="6" t="s">
        <v>6784</v>
      </c>
      <c r="C1456" s="6" t="s">
        <v>6842</v>
      </c>
      <c r="D1456" s="6" t="s">
        <v>626</v>
      </c>
      <c r="E1456" s="6" t="s">
        <v>627</v>
      </c>
      <c r="F1456" s="6" t="s">
        <v>13</v>
      </c>
      <c r="G1456" s="6"/>
      <c r="H1456" s="6"/>
      <c r="I1456" s="6" t="s">
        <v>319</v>
      </c>
      <c r="J1456" s="6"/>
      <c r="K1456" s="6"/>
      <c r="L1456" s="6" t="s">
        <v>628</v>
      </c>
      <c r="M1456" s="6"/>
      <c r="N1456" s="6" t="s">
        <v>629</v>
      </c>
      <c r="O1456" s="6" t="str">
        <f>HYPERLINK("https://ceds.ed.gov/cedselementdetails.aspx?termid=6107")</f>
        <v>https://ceds.ed.gov/cedselementdetails.aspx?termid=6107</v>
      </c>
      <c r="P1456" s="6" t="str">
        <f>HYPERLINK("https://ceds.ed.gov/elementComment.aspx?elementName=Assessment Item APIP Template Declaration XML &amp;elementID=6107", "Click here to submit comment")</f>
        <v>Click here to submit comment</v>
      </c>
    </row>
    <row r="1457" spans="1:16" ht="165">
      <c r="A1457" s="6" t="s">
        <v>6788</v>
      </c>
      <c r="B1457" s="6" t="s">
        <v>6784</v>
      </c>
      <c r="C1457" s="6" t="s">
        <v>6842</v>
      </c>
      <c r="D1457" s="6" t="s">
        <v>630</v>
      </c>
      <c r="E1457" s="6" t="s">
        <v>631</v>
      </c>
      <c r="F1457" s="6" t="s">
        <v>13</v>
      </c>
      <c r="G1457" s="6"/>
      <c r="H1457" s="6"/>
      <c r="I1457" s="6" t="s">
        <v>319</v>
      </c>
      <c r="J1457" s="6"/>
      <c r="K1457" s="6"/>
      <c r="L1457" s="6" t="s">
        <v>632</v>
      </c>
      <c r="M1457" s="6"/>
      <c r="N1457" s="6" t="s">
        <v>633</v>
      </c>
      <c r="O1457" s="6" t="str">
        <f>HYPERLINK("https://ceds.ed.gov/cedselementdetails.aspx?termid=6108")</f>
        <v>https://ceds.ed.gov/cedselementdetails.aspx?termid=6108</v>
      </c>
      <c r="P1457" s="6" t="str">
        <f>HYPERLINK("https://ceds.ed.gov/elementComment.aspx?elementName=Assessment Item APIP Template Processing XML &amp;elementID=6108", "Click here to submit comment")</f>
        <v>Click here to submit comment</v>
      </c>
    </row>
    <row r="1458" spans="1:16" ht="60">
      <c r="A1458" s="6" t="s">
        <v>6788</v>
      </c>
      <c r="B1458" s="6" t="s">
        <v>6784</v>
      </c>
      <c r="C1458" s="6" t="s">
        <v>6842</v>
      </c>
      <c r="D1458" s="6" t="s">
        <v>912</v>
      </c>
      <c r="E1458" s="6" t="s">
        <v>913</v>
      </c>
      <c r="F1458" s="6" t="s">
        <v>13</v>
      </c>
      <c r="G1458" s="6"/>
      <c r="H1458" s="6" t="s">
        <v>54</v>
      </c>
      <c r="I1458" s="6" t="s">
        <v>319</v>
      </c>
      <c r="J1458" s="6"/>
      <c r="K1458" s="6" t="s">
        <v>914</v>
      </c>
      <c r="L1458" s="6" t="s">
        <v>915</v>
      </c>
      <c r="M1458" s="6"/>
      <c r="N1458" s="6" t="s">
        <v>916</v>
      </c>
      <c r="O1458" s="6" t="str">
        <f>HYPERLINK("https://ceds.ed.gov/cedselementdetails.aspx?termid=6250")</f>
        <v>https://ceds.ed.gov/cedselementdetails.aspx?termid=6250</v>
      </c>
      <c r="P1458" s="6" t="str">
        <f>HYPERLINK("https://ceds.ed.gov/elementComment.aspx?elementName=Assessment Item Result XML &amp;elementID=6250", "Click here to submit comment")</f>
        <v>Click here to submit comment</v>
      </c>
    </row>
    <row r="1459" spans="1:16" ht="90">
      <c r="A1459" s="6" t="s">
        <v>6788</v>
      </c>
      <c r="B1459" s="6" t="s">
        <v>6784</v>
      </c>
      <c r="C1459" s="6" t="s">
        <v>6843</v>
      </c>
      <c r="D1459" s="6" t="s">
        <v>642</v>
      </c>
      <c r="E1459" s="6" t="s">
        <v>643</v>
      </c>
      <c r="F1459" s="6" t="s">
        <v>13</v>
      </c>
      <c r="G1459" s="6"/>
      <c r="H1459" s="6"/>
      <c r="I1459" s="6" t="s">
        <v>319</v>
      </c>
      <c r="J1459" s="6"/>
      <c r="K1459" s="6"/>
      <c r="L1459" s="6" t="s">
        <v>644</v>
      </c>
      <c r="M1459" s="6"/>
      <c r="N1459" s="6" t="s">
        <v>645</v>
      </c>
      <c r="O1459" s="6" t="str">
        <f>HYPERLINK("https://ceds.ed.gov/cedselementdetails.aspx?termid=6100")</f>
        <v>https://ceds.ed.gov/cedselementdetails.aspx?termid=6100</v>
      </c>
      <c r="P1459" s="6" t="str">
        <f>HYPERLINK("https://ceds.ed.gov/elementComment.aspx?elementName=Assessment Item Body Associate Interaction XML &amp;elementID=6100", "Click here to submit comment")</f>
        <v>Click here to submit comment</v>
      </c>
    </row>
    <row r="1460" spans="1:16" ht="120">
      <c r="A1460" s="6" t="s">
        <v>6788</v>
      </c>
      <c r="B1460" s="6" t="s">
        <v>6784</v>
      </c>
      <c r="C1460" s="6" t="s">
        <v>6843</v>
      </c>
      <c r="D1460" s="6" t="s">
        <v>646</v>
      </c>
      <c r="E1460" s="6" t="s">
        <v>647</v>
      </c>
      <c r="F1460" s="6" t="s">
        <v>13</v>
      </c>
      <c r="G1460" s="6"/>
      <c r="H1460" s="6"/>
      <c r="I1460" s="6" t="s">
        <v>319</v>
      </c>
      <c r="J1460" s="6"/>
      <c r="K1460" s="6"/>
      <c r="L1460" s="6" t="s">
        <v>648</v>
      </c>
      <c r="M1460" s="6"/>
      <c r="N1460" s="6" t="s">
        <v>649</v>
      </c>
      <c r="O1460" s="6" t="str">
        <f>HYPERLINK("https://ceds.ed.gov/cedselementdetails.aspx?termid=6090")</f>
        <v>https://ceds.ed.gov/cedselementdetails.aspx?termid=6090</v>
      </c>
      <c r="P1460" s="6" t="str">
        <f>HYPERLINK("https://ceds.ed.gov/elementComment.aspx?elementName=Assessment Item Body Choice Interaction XML &amp;elementID=6090", "Click here to submit comment")</f>
        <v>Click here to submit comment</v>
      </c>
    </row>
    <row r="1461" spans="1:16" ht="150">
      <c r="A1461" s="6" t="s">
        <v>6788</v>
      </c>
      <c r="B1461" s="6" t="s">
        <v>6784</v>
      </c>
      <c r="C1461" s="6" t="s">
        <v>6843</v>
      </c>
      <c r="D1461" s="6" t="s">
        <v>654</v>
      </c>
      <c r="E1461" s="6" t="s">
        <v>655</v>
      </c>
      <c r="F1461" s="6" t="s">
        <v>13</v>
      </c>
      <c r="G1461" s="6"/>
      <c r="H1461" s="6"/>
      <c r="I1461" s="6" t="s">
        <v>319</v>
      </c>
      <c r="J1461" s="6"/>
      <c r="K1461" s="6"/>
      <c r="L1461" s="6" t="s">
        <v>656</v>
      </c>
      <c r="M1461" s="6"/>
      <c r="N1461" s="6" t="s">
        <v>657</v>
      </c>
      <c r="O1461" s="6" t="str">
        <f>HYPERLINK("https://ceds.ed.gov/cedselementdetails.aspx?termid=6080")</f>
        <v>https://ceds.ed.gov/cedselementdetails.aspx?termid=6080</v>
      </c>
      <c r="P1461" s="6" t="str">
        <f>HYPERLINK("https://ceds.ed.gov/elementComment.aspx?elementName=Assessment Item Body Drawing Interaction XML &amp;elementID=6080", "Click here to submit comment")</f>
        <v>Click here to submit comment</v>
      </c>
    </row>
    <row r="1462" spans="1:16" ht="195">
      <c r="A1462" s="6" t="s">
        <v>6788</v>
      </c>
      <c r="B1462" s="6" t="s">
        <v>6784</v>
      </c>
      <c r="C1462" s="6" t="s">
        <v>6843</v>
      </c>
      <c r="D1462" s="6" t="s">
        <v>658</v>
      </c>
      <c r="E1462" s="6" t="s">
        <v>659</v>
      </c>
      <c r="F1462" s="6" t="s">
        <v>13</v>
      </c>
      <c r="G1462" s="6"/>
      <c r="H1462" s="6"/>
      <c r="I1462" s="6" t="s">
        <v>319</v>
      </c>
      <c r="J1462" s="6"/>
      <c r="K1462" s="6"/>
      <c r="L1462" s="6" t="s">
        <v>660</v>
      </c>
      <c r="M1462" s="6"/>
      <c r="N1462" s="6" t="s">
        <v>661</v>
      </c>
      <c r="O1462" s="6" t="str">
        <f>HYPERLINK("https://ceds.ed.gov/cedselementdetails.aspx?termid=6098")</f>
        <v>https://ceds.ed.gov/cedselementdetails.aspx?termid=6098</v>
      </c>
      <c r="P1462" s="6" t="str">
        <f>HYPERLINK("https://ceds.ed.gov/elementComment.aspx?elementName=Assessment Item Body End Attempt Interaction XML &amp;elementID=6098", "Click here to submit comment")</f>
        <v>Click here to submit comment</v>
      </c>
    </row>
    <row r="1463" spans="1:16" ht="75">
      <c r="A1463" s="6" t="s">
        <v>6788</v>
      </c>
      <c r="B1463" s="6" t="s">
        <v>6784</v>
      </c>
      <c r="C1463" s="6" t="s">
        <v>6843</v>
      </c>
      <c r="D1463" s="6" t="s">
        <v>662</v>
      </c>
      <c r="E1463" s="6" t="s">
        <v>663</v>
      </c>
      <c r="F1463" s="6" t="s">
        <v>13</v>
      </c>
      <c r="G1463" s="6"/>
      <c r="H1463" s="6"/>
      <c r="I1463" s="6" t="s">
        <v>319</v>
      </c>
      <c r="J1463" s="6"/>
      <c r="K1463" s="6"/>
      <c r="L1463" s="6" t="s">
        <v>664</v>
      </c>
      <c r="M1463" s="6"/>
      <c r="N1463" s="6" t="s">
        <v>665</v>
      </c>
      <c r="O1463" s="6" t="str">
        <f>HYPERLINK("https://ceds.ed.gov/cedselementdetails.aspx?termid=6097")</f>
        <v>https://ceds.ed.gov/cedselementdetails.aspx?termid=6097</v>
      </c>
      <c r="P1463" s="6" t="str">
        <f>HYPERLINK("https://ceds.ed.gov/elementComment.aspx?elementName=Assessment Item Body Extended Text Interaction XML &amp;elementID=6097", "Click here to submit comment")</f>
        <v>Click here to submit comment</v>
      </c>
    </row>
    <row r="1464" spans="1:16" ht="120">
      <c r="A1464" s="6" t="s">
        <v>6788</v>
      </c>
      <c r="B1464" s="6" t="s">
        <v>6784</v>
      </c>
      <c r="C1464" s="6" t="s">
        <v>6843</v>
      </c>
      <c r="D1464" s="6" t="s">
        <v>666</v>
      </c>
      <c r="E1464" s="6" t="s">
        <v>667</v>
      </c>
      <c r="F1464" s="6" t="s">
        <v>13</v>
      </c>
      <c r="G1464" s="6"/>
      <c r="H1464" s="6"/>
      <c r="I1464" s="6" t="s">
        <v>319</v>
      </c>
      <c r="J1464" s="6"/>
      <c r="K1464" s="6"/>
      <c r="L1464" s="6" t="s">
        <v>668</v>
      </c>
      <c r="M1464" s="6"/>
      <c r="N1464" s="6" t="s">
        <v>669</v>
      </c>
      <c r="O1464" s="6" t="str">
        <f>HYPERLINK("https://ceds.ed.gov/cedselementdetails.aspx?termid=6081")</f>
        <v>https://ceds.ed.gov/cedselementdetails.aspx?termid=6081</v>
      </c>
      <c r="P1464" s="6" t="str">
        <f>HYPERLINK("https://ceds.ed.gov/elementComment.aspx?elementName=Assessment Item Body Gap Match Interaction XML &amp;elementID=6081", "Click here to submit comment")</f>
        <v>Click here to submit comment</v>
      </c>
    </row>
    <row r="1465" spans="1:16" ht="409.5">
      <c r="A1465" s="6" t="s">
        <v>6788</v>
      </c>
      <c r="B1465" s="6" t="s">
        <v>6784</v>
      </c>
      <c r="C1465" s="6" t="s">
        <v>6843</v>
      </c>
      <c r="D1465" s="6" t="s">
        <v>670</v>
      </c>
      <c r="E1465" s="6" t="s">
        <v>671</v>
      </c>
      <c r="F1465" s="6" t="s">
        <v>13</v>
      </c>
      <c r="G1465" s="6"/>
      <c r="H1465" s="6"/>
      <c r="I1465" s="6" t="s">
        <v>319</v>
      </c>
      <c r="J1465" s="6"/>
      <c r="K1465" s="6"/>
      <c r="L1465" s="6" t="s">
        <v>672</v>
      </c>
      <c r="M1465" s="6"/>
      <c r="N1465" s="6" t="s">
        <v>673</v>
      </c>
      <c r="O1465" s="6" t="str">
        <f>HYPERLINK("https://ceds.ed.gov/cedselementdetails.aspx?termid=6083")</f>
        <v>https://ceds.ed.gov/cedselementdetails.aspx?termid=6083</v>
      </c>
      <c r="P1465" s="6" t="str">
        <f>HYPERLINK("https://ceds.ed.gov/elementComment.aspx?elementName=Assessment Item Body Graphic Gap Match Interaction XML &amp;elementID=6083", "Click here to submit comment")</f>
        <v>Click here to submit comment</v>
      </c>
    </row>
    <row r="1466" spans="1:16" ht="240">
      <c r="A1466" s="6" t="s">
        <v>6788</v>
      </c>
      <c r="B1466" s="6" t="s">
        <v>6784</v>
      </c>
      <c r="C1466" s="6" t="s">
        <v>6843</v>
      </c>
      <c r="D1466" s="6" t="s">
        <v>674</v>
      </c>
      <c r="E1466" s="6" t="s">
        <v>675</v>
      </c>
      <c r="F1466" s="6" t="s">
        <v>13</v>
      </c>
      <c r="G1466" s="6"/>
      <c r="H1466" s="6"/>
      <c r="I1466" s="6" t="s">
        <v>319</v>
      </c>
      <c r="J1466" s="6"/>
      <c r="K1466" s="6"/>
      <c r="L1466" s="6" t="s">
        <v>676</v>
      </c>
      <c r="M1466" s="6"/>
      <c r="N1466" s="6" t="s">
        <v>677</v>
      </c>
      <c r="O1466" s="6" t="str">
        <f>HYPERLINK("https://ceds.ed.gov/cedselementdetails.aspx?termid=6085")</f>
        <v>https://ceds.ed.gov/cedselementdetails.aspx?termid=6085</v>
      </c>
      <c r="P1466" s="6" t="str">
        <f>HYPERLINK("https://ceds.ed.gov/elementComment.aspx?elementName=Assessment Item Body Graphic Order Interaction XML &amp;elementID=6085", "Click here to submit comment")</f>
        <v>Click here to submit comment</v>
      </c>
    </row>
    <row r="1467" spans="1:16" ht="225">
      <c r="A1467" s="6" t="s">
        <v>6788</v>
      </c>
      <c r="B1467" s="6" t="s">
        <v>6784</v>
      </c>
      <c r="C1467" s="6" t="s">
        <v>6843</v>
      </c>
      <c r="D1467" s="6" t="s">
        <v>678</v>
      </c>
      <c r="E1467" s="6" t="s">
        <v>679</v>
      </c>
      <c r="F1467" s="6" t="s">
        <v>13</v>
      </c>
      <c r="G1467" s="6"/>
      <c r="H1467" s="6"/>
      <c r="I1467" s="6" t="s">
        <v>319</v>
      </c>
      <c r="J1467" s="6"/>
      <c r="K1467" s="6"/>
      <c r="L1467" s="6" t="s">
        <v>680</v>
      </c>
      <c r="M1467" s="6"/>
      <c r="N1467" s="6" t="s">
        <v>681</v>
      </c>
      <c r="O1467" s="6" t="str">
        <f>HYPERLINK("https://ceds.ed.gov/cedselementdetails.aspx?termid=6084")</f>
        <v>https://ceds.ed.gov/cedselementdetails.aspx?termid=6084</v>
      </c>
      <c r="P1467" s="6" t="str">
        <f>HYPERLINK("https://ceds.ed.gov/elementComment.aspx?elementName=Assessment Item Body Hot Spot Interaction XML &amp;elementID=6084", "Click here to submit comment")</f>
        <v>Click here to submit comment</v>
      </c>
    </row>
    <row r="1468" spans="1:16" ht="225">
      <c r="A1468" s="6" t="s">
        <v>6788</v>
      </c>
      <c r="B1468" s="6" t="s">
        <v>6784</v>
      </c>
      <c r="C1468" s="6" t="s">
        <v>6843</v>
      </c>
      <c r="D1468" s="6" t="s">
        <v>682</v>
      </c>
      <c r="E1468" s="6" t="s">
        <v>683</v>
      </c>
      <c r="F1468" s="6" t="s">
        <v>13</v>
      </c>
      <c r="G1468" s="6"/>
      <c r="H1468" s="6"/>
      <c r="I1468" s="6" t="s">
        <v>319</v>
      </c>
      <c r="J1468" s="6"/>
      <c r="K1468" s="6"/>
      <c r="L1468" s="6" t="s">
        <v>684</v>
      </c>
      <c r="M1468" s="6"/>
      <c r="N1468" s="6" t="s">
        <v>685</v>
      </c>
      <c r="O1468" s="6" t="str">
        <f>HYPERLINK("https://ceds.ed.gov/cedselementdetails.aspx?termid=6093")</f>
        <v>https://ceds.ed.gov/cedselementdetails.aspx?termid=6093</v>
      </c>
      <c r="P1468" s="6" t="str">
        <f>HYPERLINK("https://ceds.ed.gov/elementComment.aspx?elementName=Assessment Item Body Hottext Interaction XML &amp;elementID=6093", "Click here to submit comment")</f>
        <v>Click here to submit comment</v>
      </c>
    </row>
    <row r="1469" spans="1:16" ht="135">
      <c r="A1469" s="6" t="s">
        <v>6788</v>
      </c>
      <c r="B1469" s="6" t="s">
        <v>6784</v>
      </c>
      <c r="C1469" s="6" t="s">
        <v>6843</v>
      </c>
      <c r="D1469" s="6" t="s">
        <v>686</v>
      </c>
      <c r="E1469" s="6" t="s">
        <v>687</v>
      </c>
      <c r="F1469" s="6" t="s">
        <v>13</v>
      </c>
      <c r="G1469" s="6"/>
      <c r="H1469" s="6"/>
      <c r="I1469" s="6" t="s">
        <v>319</v>
      </c>
      <c r="J1469" s="6"/>
      <c r="K1469" s="6"/>
      <c r="L1469" s="6" t="s">
        <v>688</v>
      </c>
      <c r="M1469" s="6"/>
      <c r="N1469" s="6" t="s">
        <v>689</v>
      </c>
      <c r="O1469" s="6" t="str">
        <f>HYPERLINK("https://ceds.ed.gov/cedselementdetails.aspx?termid=6091")</f>
        <v>https://ceds.ed.gov/cedselementdetails.aspx?termid=6091</v>
      </c>
      <c r="P1469" s="6" t="str">
        <f>HYPERLINK("https://ceds.ed.gov/elementComment.aspx?elementName=Assessment Item Body Inline Choice Interaction XML &amp;elementID=6091", "Click here to submit comment")</f>
        <v>Click here to submit comment</v>
      </c>
    </row>
    <row r="1470" spans="1:16" ht="165">
      <c r="A1470" s="6" t="s">
        <v>6788</v>
      </c>
      <c r="B1470" s="6" t="s">
        <v>6784</v>
      </c>
      <c r="C1470" s="6" t="s">
        <v>6843</v>
      </c>
      <c r="D1470" s="6" t="s">
        <v>690</v>
      </c>
      <c r="E1470" s="6" t="s">
        <v>691</v>
      </c>
      <c r="F1470" s="6" t="s">
        <v>13</v>
      </c>
      <c r="G1470" s="6"/>
      <c r="H1470" s="6"/>
      <c r="I1470" s="6" t="s">
        <v>319</v>
      </c>
      <c r="J1470" s="6"/>
      <c r="K1470" s="6"/>
      <c r="L1470" s="6" t="s">
        <v>692</v>
      </c>
      <c r="M1470" s="6"/>
      <c r="N1470" s="6" t="s">
        <v>693</v>
      </c>
      <c r="O1470" s="6" t="str">
        <f>HYPERLINK("https://ceds.ed.gov/cedselementdetails.aspx?termid=6082")</f>
        <v>https://ceds.ed.gov/cedselementdetails.aspx?termid=6082</v>
      </c>
      <c r="P1470" s="6" t="str">
        <f>HYPERLINK("https://ceds.ed.gov/elementComment.aspx?elementName=Assessment Item Body Match Interaction XML &amp;elementID=6082", "Click here to submit comment")</f>
        <v>Click here to submit comment</v>
      </c>
    </row>
    <row r="1471" spans="1:16" ht="165">
      <c r="A1471" s="6" t="s">
        <v>6788</v>
      </c>
      <c r="B1471" s="6" t="s">
        <v>6784</v>
      </c>
      <c r="C1471" s="6" t="s">
        <v>6843</v>
      </c>
      <c r="D1471" s="6" t="s">
        <v>694</v>
      </c>
      <c r="E1471" s="6" t="s">
        <v>695</v>
      </c>
      <c r="F1471" s="6" t="s">
        <v>13</v>
      </c>
      <c r="G1471" s="6"/>
      <c r="H1471" s="6"/>
      <c r="I1471" s="6" t="s">
        <v>319</v>
      </c>
      <c r="J1471" s="6"/>
      <c r="K1471" s="6"/>
      <c r="L1471" s="6" t="s">
        <v>696</v>
      </c>
      <c r="M1471" s="6"/>
      <c r="N1471" s="6" t="s">
        <v>697</v>
      </c>
      <c r="O1471" s="6" t="str">
        <f>HYPERLINK("https://ceds.ed.gov/cedselementdetails.aspx?termid=6092")</f>
        <v>https://ceds.ed.gov/cedselementdetails.aspx?termid=6092</v>
      </c>
      <c r="P1471" s="6" t="str">
        <f>HYPERLINK("https://ceds.ed.gov/elementComment.aspx?elementName=Assessment Item Body Media Interaction XML &amp;elementID=6092", "Click here to submit comment")</f>
        <v>Click here to submit comment</v>
      </c>
    </row>
    <row r="1472" spans="1:16" ht="195">
      <c r="A1472" s="6" t="s">
        <v>6788</v>
      </c>
      <c r="B1472" s="6" t="s">
        <v>6784</v>
      </c>
      <c r="C1472" s="6" t="s">
        <v>6843</v>
      </c>
      <c r="D1472" s="6" t="s">
        <v>698</v>
      </c>
      <c r="E1472" s="6" t="s">
        <v>699</v>
      </c>
      <c r="F1472" s="6" t="s">
        <v>13</v>
      </c>
      <c r="G1472" s="6"/>
      <c r="H1472" s="6"/>
      <c r="I1472" s="6" t="s">
        <v>319</v>
      </c>
      <c r="J1472" s="6"/>
      <c r="K1472" s="6"/>
      <c r="L1472" s="6" t="s">
        <v>700</v>
      </c>
      <c r="M1472" s="6"/>
      <c r="N1472" s="6" t="s">
        <v>701</v>
      </c>
      <c r="O1472" s="6" t="str">
        <f>HYPERLINK("https://ceds.ed.gov/cedselementdetails.aspx?termid=6094")</f>
        <v>https://ceds.ed.gov/cedselementdetails.aspx?termid=6094</v>
      </c>
      <c r="P1472" s="6" t="str">
        <f>HYPERLINK("https://ceds.ed.gov/elementComment.aspx?elementName=Assessment Item Body Order Interaction XML &amp;elementID=6094", "Click here to submit comment")</f>
        <v>Click here to submit comment</v>
      </c>
    </row>
    <row r="1473" spans="1:16" ht="210">
      <c r="A1473" s="6" t="s">
        <v>6788</v>
      </c>
      <c r="B1473" s="6" t="s">
        <v>6784</v>
      </c>
      <c r="C1473" s="6" t="s">
        <v>6843</v>
      </c>
      <c r="D1473" s="6" t="s">
        <v>702</v>
      </c>
      <c r="E1473" s="6" t="s">
        <v>703</v>
      </c>
      <c r="F1473" s="6" t="s">
        <v>13</v>
      </c>
      <c r="G1473" s="6"/>
      <c r="H1473" s="6"/>
      <c r="I1473" s="6" t="s">
        <v>319</v>
      </c>
      <c r="J1473" s="6"/>
      <c r="K1473" s="6"/>
      <c r="L1473" s="6" t="s">
        <v>704</v>
      </c>
      <c r="M1473" s="6"/>
      <c r="N1473" s="6" t="s">
        <v>705</v>
      </c>
      <c r="O1473" s="6" t="str">
        <f>HYPERLINK("https://ceds.ed.gov/cedselementdetails.aspx?termid=6095")</f>
        <v>https://ceds.ed.gov/cedselementdetails.aspx?termid=6095</v>
      </c>
      <c r="P1473" s="6" t="str">
        <f>HYPERLINK("https://ceds.ed.gov/elementComment.aspx?elementName=Assessment Item Body Position Object Interaction XML &amp;elementID=6095", "Click here to submit comment")</f>
        <v>Click here to submit comment</v>
      </c>
    </row>
    <row r="1474" spans="1:16" ht="240">
      <c r="A1474" s="6" t="s">
        <v>6788</v>
      </c>
      <c r="B1474" s="6" t="s">
        <v>6784</v>
      </c>
      <c r="C1474" s="6" t="s">
        <v>6843</v>
      </c>
      <c r="D1474" s="6" t="s">
        <v>706</v>
      </c>
      <c r="E1474" s="6" t="s">
        <v>707</v>
      </c>
      <c r="F1474" s="6" t="s">
        <v>13</v>
      </c>
      <c r="G1474" s="6"/>
      <c r="H1474" s="6"/>
      <c r="I1474" s="6" t="s">
        <v>319</v>
      </c>
      <c r="J1474" s="6"/>
      <c r="K1474" s="6"/>
      <c r="L1474" s="6" t="s">
        <v>708</v>
      </c>
      <c r="M1474" s="6"/>
      <c r="N1474" s="6" t="s">
        <v>709</v>
      </c>
      <c r="O1474" s="6" t="str">
        <f>HYPERLINK("https://ceds.ed.gov/cedselementdetails.aspx?termid=6088")</f>
        <v>https://ceds.ed.gov/cedselementdetails.aspx?termid=6088</v>
      </c>
      <c r="P1474" s="6" t="str">
        <f>HYPERLINK("https://ceds.ed.gov/elementComment.aspx?elementName=Assessment Item Body Select Point Interaction &amp;elementID=6088", "Click here to submit comment")</f>
        <v>Click here to submit comment</v>
      </c>
    </row>
    <row r="1475" spans="1:16" ht="195">
      <c r="A1475" s="6" t="s">
        <v>6788</v>
      </c>
      <c r="B1475" s="6" t="s">
        <v>6784</v>
      </c>
      <c r="C1475" s="6" t="s">
        <v>6843</v>
      </c>
      <c r="D1475" s="6" t="s">
        <v>710</v>
      </c>
      <c r="E1475" s="6" t="s">
        <v>711</v>
      </c>
      <c r="F1475" s="6" t="s">
        <v>13</v>
      </c>
      <c r="G1475" s="6"/>
      <c r="H1475" s="6"/>
      <c r="I1475" s="6" t="s">
        <v>319</v>
      </c>
      <c r="J1475" s="6"/>
      <c r="K1475" s="6"/>
      <c r="L1475" s="6" t="s">
        <v>712</v>
      </c>
      <c r="M1475" s="6"/>
      <c r="N1475" s="6" t="s">
        <v>713</v>
      </c>
      <c r="O1475" s="6" t="str">
        <f>HYPERLINK("https://ceds.ed.gov/cedselementdetails.aspx?termid=6087")</f>
        <v>https://ceds.ed.gov/cedselementdetails.aspx?termid=6087</v>
      </c>
      <c r="P1475" s="6" t="str">
        <f>HYPERLINK("https://ceds.ed.gov/elementComment.aspx?elementName=Assessment Item Body Select Point Interaction XML &amp;elementID=6087", "Click here to submit comment")</f>
        <v>Click here to submit comment</v>
      </c>
    </row>
    <row r="1476" spans="1:16" ht="135">
      <c r="A1476" s="6" t="s">
        <v>6788</v>
      </c>
      <c r="B1476" s="6" t="s">
        <v>6784</v>
      </c>
      <c r="C1476" s="6" t="s">
        <v>6843</v>
      </c>
      <c r="D1476" s="6" t="s">
        <v>714</v>
      </c>
      <c r="E1476" s="6" t="s">
        <v>715</v>
      </c>
      <c r="F1476" s="6" t="s">
        <v>13</v>
      </c>
      <c r="G1476" s="6"/>
      <c r="H1476" s="6"/>
      <c r="I1476" s="6" t="s">
        <v>319</v>
      </c>
      <c r="J1476" s="6"/>
      <c r="K1476" s="6"/>
      <c r="L1476" s="6" t="s">
        <v>716</v>
      </c>
      <c r="M1476" s="6"/>
      <c r="N1476" s="6" t="s">
        <v>717</v>
      </c>
      <c r="O1476" s="6" t="str">
        <f>HYPERLINK("https://ceds.ed.gov/cedselementdetails.aspx?termid=6089")</f>
        <v>https://ceds.ed.gov/cedselementdetails.aspx?termid=6089</v>
      </c>
      <c r="P1476" s="6" t="str">
        <f>HYPERLINK("https://ceds.ed.gov/elementComment.aspx?elementName=Assessment Item Body Slider Interaction XML &amp;elementID=6089", "Click here to submit comment")</f>
        <v>Click here to submit comment</v>
      </c>
    </row>
    <row r="1477" spans="1:16" ht="135">
      <c r="A1477" s="6" t="s">
        <v>6788</v>
      </c>
      <c r="B1477" s="6" t="s">
        <v>6784</v>
      </c>
      <c r="C1477" s="6" t="s">
        <v>6843</v>
      </c>
      <c r="D1477" s="6" t="s">
        <v>722</v>
      </c>
      <c r="E1477" s="6" t="s">
        <v>723</v>
      </c>
      <c r="F1477" s="6" t="s">
        <v>13</v>
      </c>
      <c r="G1477" s="6"/>
      <c r="H1477" s="6"/>
      <c r="I1477" s="6" t="s">
        <v>319</v>
      </c>
      <c r="J1477" s="6"/>
      <c r="K1477" s="6"/>
      <c r="L1477" s="6" t="s">
        <v>724</v>
      </c>
      <c r="M1477" s="6"/>
      <c r="N1477" s="6" t="s">
        <v>725</v>
      </c>
      <c r="O1477" s="6" t="str">
        <f>HYPERLINK("https://ceds.ed.gov/cedselementdetails.aspx?termid=6096")</f>
        <v>https://ceds.ed.gov/cedselementdetails.aspx?termid=6096</v>
      </c>
      <c r="P1477" s="6" t="str">
        <f>HYPERLINK("https://ceds.ed.gov/elementComment.aspx?elementName=Assessment Item Body Text Entry Interaction XML &amp;elementID=6096", "Click here to submit comment")</f>
        <v>Click here to submit comment</v>
      </c>
    </row>
    <row r="1478" spans="1:16" ht="105">
      <c r="A1478" s="6" t="s">
        <v>6788</v>
      </c>
      <c r="B1478" s="6" t="s">
        <v>6784</v>
      </c>
      <c r="C1478" s="6" t="s">
        <v>6843</v>
      </c>
      <c r="D1478" s="6" t="s">
        <v>726</v>
      </c>
      <c r="E1478" s="6" t="s">
        <v>727</v>
      </c>
      <c r="F1478" s="6" t="s">
        <v>13</v>
      </c>
      <c r="G1478" s="6"/>
      <c r="H1478" s="6"/>
      <c r="I1478" s="6" t="s">
        <v>319</v>
      </c>
      <c r="J1478" s="6"/>
      <c r="K1478" s="6"/>
      <c r="L1478" s="6" t="s">
        <v>728</v>
      </c>
      <c r="M1478" s="6"/>
      <c r="N1478" s="6" t="s">
        <v>729</v>
      </c>
      <c r="O1478" s="6" t="str">
        <f>HYPERLINK("https://ceds.ed.gov/cedselementdetails.aspx?termid=6099")</f>
        <v>https://ceds.ed.gov/cedselementdetails.aspx?termid=6099</v>
      </c>
      <c r="P1478" s="6" t="str">
        <f>HYPERLINK("https://ceds.ed.gov/elementComment.aspx?elementName=Assessment Item Body Upload Interaction XML &amp;elementID=6099", "Click here to submit comment")</f>
        <v>Click here to submit comment</v>
      </c>
    </row>
    <row r="1479" spans="1:16" ht="409.5">
      <c r="A1479" s="6" t="s">
        <v>6788</v>
      </c>
      <c r="B1479" s="6" t="s">
        <v>6784</v>
      </c>
      <c r="C1479" s="6" t="s">
        <v>6843</v>
      </c>
      <c r="D1479" s="6" t="s">
        <v>752</v>
      </c>
      <c r="E1479" s="6" t="s">
        <v>753</v>
      </c>
      <c r="F1479" s="7" t="s">
        <v>6384</v>
      </c>
      <c r="G1479" s="6"/>
      <c r="H1479" s="6"/>
      <c r="I1479" s="6"/>
      <c r="J1479" s="6"/>
      <c r="K1479" s="6"/>
      <c r="L1479" s="6" t="s">
        <v>754</v>
      </c>
      <c r="M1479" s="6"/>
      <c r="N1479" s="6" t="s">
        <v>755</v>
      </c>
      <c r="O1479" s="6" t="str">
        <f>HYPERLINK("https://ceds.ed.gov/cedselementdetails.aspx?termid=6117")</f>
        <v>https://ceds.ed.gov/cedselementdetails.aspx?termid=6117</v>
      </c>
      <c r="P1479" s="6" t="str">
        <f>HYPERLINK("https://ceds.ed.gov/elementComment.aspx?elementName=Assessment Item Interaction Type &amp;elementID=6117", "Click here to submit comment")</f>
        <v>Click here to submit comment</v>
      </c>
    </row>
    <row r="1480" spans="1:16" ht="45">
      <c r="A1480" s="6" t="s">
        <v>6788</v>
      </c>
      <c r="B1480" s="6" t="s">
        <v>6784</v>
      </c>
      <c r="C1480" s="6" t="s">
        <v>6844</v>
      </c>
      <c r="D1480" s="6" t="s">
        <v>457</v>
      </c>
      <c r="E1480" s="6" t="s">
        <v>458</v>
      </c>
      <c r="F1480" s="6" t="s">
        <v>13</v>
      </c>
      <c r="G1480" s="6"/>
      <c r="H1480" s="6"/>
      <c r="I1480" s="6" t="s">
        <v>100</v>
      </c>
      <c r="J1480" s="6"/>
      <c r="K1480" s="6"/>
      <c r="L1480" s="6" t="s">
        <v>459</v>
      </c>
      <c r="M1480" s="6"/>
      <c r="N1480" s="6" t="s">
        <v>460</v>
      </c>
      <c r="O1480" s="6" t="str">
        <f>HYPERLINK("https://ceds.ed.gov/cedselementdetails.aspx?termid=6149")</f>
        <v>https://ceds.ed.gov/cedselementdetails.aspx?termid=6149</v>
      </c>
      <c r="P1480" s="6" t="str">
        <f>HYPERLINK("https://ceds.ed.gov/elementComment.aspx?elementName=Assessment Asset Identifier &amp;elementID=6149", "Click here to submit comment")</f>
        <v>Click here to submit comment</v>
      </c>
    </row>
    <row r="1481" spans="1:16" ht="135">
      <c r="A1481" s="6" t="s">
        <v>6788</v>
      </c>
      <c r="B1481" s="6" t="s">
        <v>6784</v>
      </c>
      <c r="C1481" s="6" t="s">
        <v>6844</v>
      </c>
      <c r="D1481" s="6" t="s">
        <v>461</v>
      </c>
      <c r="E1481" s="6" t="s">
        <v>462</v>
      </c>
      <c r="F1481" s="7" t="s">
        <v>6378</v>
      </c>
      <c r="G1481" s="6"/>
      <c r="H1481" s="6"/>
      <c r="I1481" s="6"/>
      <c r="J1481" s="6"/>
      <c r="K1481" s="6"/>
      <c r="L1481" s="6" t="s">
        <v>463</v>
      </c>
      <c r="M1481" s="6"/>
      <c r="N1481" s="6" t="s">
        <v>464</v>
      </c>
      <c r="O1481" s="6" t="str">
        <f>HYPERLINK("https://ceds.ed.gov/cedselementdetails.aspx?termid=6150")</f>
        <v>https://ceds.ed.gov/cedselementdetails.aspx?termid=6150</v>
      </c>
      <c r="P1481" s="6" t="str">
        <f>HYPERLINK("https://ceds.ed.gov/elementComment.aspx?elementName=Assessment Asset Identifier Type &amp;elementID=6150", "Click here to submit comment")</f>
        <v>Click here to submit comment</v>
      </c>
    </row>
    <row r="1482" spans="1:16" ht="30">
      <c r="A1482" s="6" t="s">
        <v>6788</v>
      </c>
      <c r="B1482" s="6" t="s">
        <v>6784</v>
      </c>
      <c r="C1482" s="6" t="s">
        <v>6844</v>
      </c>
      <c r="D1482" s="6" t="s">
        <v>465</v>
      </c>
      <c r="E1482" s="6" t="s">
        <v>466</v>
      </c>
      <c r="F1482" s="6" t="s">
        <v>13</v>
      </c>
      <c r="G1482" s="6"/>
      <c r="H1482" s="6"/>
      <c r="I1482" s="6" t="s">
        <v>106</v>
      </c>
      <c r="J1482" s="6"/>
      <c r="K1482" s="6"/>
      <c r="L1482" s="6" t="s">
        <v>467</v>
      </c>
      <c r="M1482" s="6"/>
      <c r="N1482" s="6" t="s">
        <v>468</v>
      </c>
      <c r="O1482" s="6" t="str">
        <f>HYPERLINK("https://ceds.ed.gov/cedselementdetails.aspx?termid=6151")</f>
        <v>https://ceds.ed.gov/cedselementdetails.aspx?termid=6151</v>
      </c>
      <c r="P1482" s="6" t="str">
        <f>HYPERLINK("https://ceds.ed.gov/elementComment.aspx?elementName=Assessment Asset Name &amp;elementID=6151", "Click here to submit comment")</f>
        <v>Click here to submit comment</v>
      </c>
    </row>
    <row r="1483" spans="1:16" ht="30">
      <c r="A1483" s="6" t="s">
        <v>6788</v>
      </c>
      <c r="B1483" s="6" t="s">
        <v>6784</v>
      </c>
      <c r="C1483" s="6" t="s">
        <v>6844</v>
      </c>
      <c r="D1483" s="6" t="s">
        <v>469</v>
      </c>
      <c r="E1483" s="6" t="s">
        <v>470</v>
      </c>
      <c r="F1483" s="6" t="s">
        <v>13</v>
      </c>
      <c r="G1483" s="6"/>
      <c r="H1483" s="6"/>
      <c r="I1483" s="6" t="s">
        <v>106</v>
      </c>
      <c r="J1483" s="6"/>
      <c r="K1483" s="6"/>
      <c r="L1483" s="6" t="s">
        <v>471</v>
      </c>
      <c r="M1483" s="6"/>
      <c r="N1483" s="6" t="s">
        <v>472</v>
      </c>
      <c r="O1483" s="6" t="str">
        <f>HYPERLINK("https://ceds.ed.gov/cedselementdetails.aspx?termid=6152")</f>
        <v>https://ceds.ed.gov/cedselementdetails.aspx?termid=6152</v>
      </c>
      <c r="P1483" s="6" t="str">
        <f>HYPERLINK("https://ceds.ed.gov/elementComment.aspx?elementName=Assessment Asset Owner &amp;elementID=6152", "Click here to submit comment")</f>
        <v>Click here to submit comment</v>
      </c>
    </row>
    <row r="1484" spans="1:16" ht="409.5">
      <c r="A1484" s="6" t="s">
        <v>6788</v>
      </c>
      <c r="B1484" s="6" t="s">
        <v>6784</v>
      </c>
      <c r="C1484" s="6" t="s">
        <v>6844</v>
      </c>
      <c r="D1484" s="6" t="s">
        <v>477</v>
      </c>
      <c r="E1484" s="6" t="s">
        <v>478</v>
      </c>
      <c r="F1484" s="7" t="s">
        <v>6379</v>
      </c>
      <c r="G1484" s="6"/>
      <c r="H1484" s="6"/>
      <c r="I1484" s="6"/>
      <c r="J1484" s="6"/>
      <c r="K1484" s="6" t="s">
        <v>479</v>
      </c>
      <c r="L1484" s="6" t="s">
        <v>480</v>
      </c>
      <c r="M1484" s="6"/>
      <c r="N1484" s="6" t="s">
        <v>481</v>
      </c>
      <c r="O1484" s="6" t="str">
        <f>HYPERLINK("https://ceds.ed.gov/cedselementdetails.aspx?termid=6147")</f>
        <v>https://ceds.ed.gov/cedselementdetails.aspx?termid=6147</v>
      </c>
      <c r="P1484" s="6" t="str">
        <f>HYPERLINK("https://ceds.ed.gov/elementComment.aspx?elementName=Assessment Asset Type &amp;elementID=6147", "Click here to submit comment")</f>
        <v>Click here to submit comment</v>
      </c>
    </row>
    <row r="1485" spans="1:16" ht="30">
      <c r="A1485" s="6" t="s">
        <v>6788</v>
      </c>
      <c r="B1485" s="6" t="s">
        <v>6784</v>
      </c>
      <c r="C1485" s="6" t="s">
        <v>6844</v>
      </c>
      <c r="D1485" s="6" t="s">
        <v>473</v>
      </c>
      <c r="E1485" s="6" t="s">
        <v>474</v>
      </c>
      <c r="F1485" s="6" t="s">
        <v>13</v>
      </c>
      <c r="G1485" s="6"/>
      <c r="H1485" s="6"/>
      <c r="I1485" s="6" t="s">
        <v>73</v>
      </c>
      <c r="J1485" s="6"/>
      <c r="K1485" s="6"/>
      <c r="L1485" s="6" t="s">
        <v>475</v>
      </c>
      <c r="M1485" s="6"/>
      <c r="N1485" s="6" t="s">
        <v>476</v>
      </c>
      <c r="O1485" s="6" t="str">
        <f>HYPERLINK("https://ceds.ed.gov/cedselementdetails.aspx?termid=6148")</f>
        <v>https://ceds.ed.gov/cedselementdetails.aspx?termid=6148</v>
      </c>
      <c r="P1485" s="6" t="str">
        <f>HYPERLINK("https://ceds.ed.gov/elementComment.aspx?elementName=Assessment Asset Published Date &amp;elementID=6148", "Click here to submit comment")</f>
        <v>Click here to submit comment</v>
      </c>
    </row>
    <row r="1486" spans="1:16" ht="150">
      <c r="A1486" s="6" t="s">
        <v>6788</v>
      </c>
      <c r="B1486" s="6" t="s">
        <v>6784</v>
      </c>
      <c r="C1486" s="6" t="s">
        <v>6844</v>
      </c>
      <c r="D1486" s="6" t="s">
        <v>482</v>
      </c>
      <c r="E1486" s="6" t="s">
        <v>483</v>
      </c>
      <c r="F1486" s="6" t="s">
        <v>13</v>
      </c>
      <c r="G1486" s="6"/>
      <c r="H1486" s="6"/>
      <c r="I1486" s="6" t="s">
        <v>100</v>
      </c>
      <c r="J1486" s="6"/>
      <c r="K1486" s="6" t="s">
        <v>484</v>
      </c>
      <c r="L1486" s="6" t="s">
        <v>485</v>
      </c>
      <c r="M1486" s="6"/>
      <c r="N1486" s="6" t="s">
        <v>486</v>
      </c>
      <c r="O1486" s="6" t="str">
        <f>HYPERLINK("https://ceds.ed.gov/cedselementdetails.aspx?termid=6146")</f>
        <v>https://ceds.ed.gov/cedselementdetails.aspx?termid=6146</v>
      </c>
      <c r="P1486" s="6" t="str">
        <f>HYPERLINK("https://ceds.ed.gov/elementComment.aspx?elementName=Assessment Asset Version &amp;elementID=6146", "Click here to submit comment")</f>
        <v>Click here to submit comment</v>
      </c>
    </row>
    <row r="1487" spans="1:16" ht="30">
      <c r="A1487" s="6" t="s">
        <v>6788</v>
      </c>
      <c r="B1487" s="6" t="s">
        <v>6784</v>
      </c>
      <c r="C1487" s="6" t="s">
        <v>6844</v>
      </c>
      <c r="D1487" s="6" t="s">
        <v>453</v>
      </c>
      <c r="E1487" s="6" t="s">
        <v>454</v>
      </c>
      <c r="F1487" s="6" t="s">
        <v>13</v>
      </c>
      <c r="G1487" s="6"/>
      <c r="H1487" s="6"/>
      <c r="I1487" s="6" t="s">
        <v>319</v>
      </c>
      <c r="J1487" s="6"/>
      <c r="K1487" s="6"/>
      <c r="L1487" s="6" t="s">
        <v>455</v>
      </c>
      <c r="M1487" s="6"/>
      <c r="N1487" s="6" t="s">
        <v>456</v>
      </c>
      <c r="O1487" s="6" t="str">
        <f>HYPERLINK("https://ceds.ed.gov/cedselementdetails.aspx?termid=6153")</f>
        <v>https://ceds.ed.gov/cedselementdetails.aspx?termid=6153</v>
      </c>
      <c r="P1487" s="6" t="str">
        <f>HYPERLINK("https://ceds.ed.gov/elementComment.aspx?elementName=Assessment Asset Content XML &amp;elementID=6153", "Click here to submit comment")</f>
        <v>Click here to submit comment</v>
      </c>
    </row>
    <row r="1488" spans="1:16" ht="45">
      <c r="A1488" s="6" t="s">
        <v>6788</v>
      </c>
      <c r="B1488" s="6" t="s">
        <v>6784</v>
      </c>
      <c r="C1488" s="6" t="s">
        <v>6844</v>
      </c>
      <c r="D1488" s="6" t="s">
        <v>445</v>
      </c>
      <c r="E1488" s="6" t="s">
        <v>446</v>
      </c>
      <c r="F1488" s="6" t="s">
        <v>13</v>
      </c>
      <c r="G1488" s="6"/>
      <c r="H1488" s="6"/>
      <c r="I1488" s="6" t="s">
        <v>319</v>
      </c>
      <c r="J1488" s="6"/>
      <c r="K1488" s="6"/>
      <c r="L1488" s="6" t="s">
        <v>447</v>
      </c>
      <c r="M1488" s="6"/>
      <c r="N1488" s="6" t="s">
        <v>448</v>
      </c>
      <c r="O1488" s="6" t="str">
        <f>HYPERLINK("https://ceds.ed.gov/cedselementdetails.aspx?termid=6154")</f>
        <v>https://ceds.ed.gov/cedselementdetails.aspx?termid=6154</v>
      </c>
      <c r="P1488" s="6" t="str">
        <f>HYPERLINK("https://ceds.ed.gov/elementComment.aspx?elementName=Assessment Asset Content Mime Type &amp;elementID=6154", "Click here to submit comment")</f>
        <v>Click here to submit comment</v>
      </c>
    </row>
    <row r="1489" spans="1:16" ht="45">
      <c r="A1489" s="6" t="s">
        <v>6788</v>
      </c>
      <c r="B1489" s="6" t="s">
        <v>6784</v>
      </c>
      <c r="C1489" s="6" t="s">
        <v>6844</v>
      </c>
      <c r="D1489" s="6" t="s">
        <v>449</v>
      </c>
      <c r="E1489" s="6" t="s">
        <v>450</v>
      </c>
      <c r="F1489" s="6" t="s">
        <v>13</v>
      </c>
      <c r="G1489" s="6"/>
      <c r="H1489" s="6"/>
      <c r="I1489" s="6" t="s">
        <v>93</v>
      </c>
      <c r="J1489" s="6"/>
      <c r="K1489" s="6"/>
      <c r="L1489" s="6" t="s">
        <v>451</v>
      </c>
      <c r="M1489" s="6"/>
      <c r="N1489" s="6" t="s">
        <v>452</v>
      </c>
      <c r="O1489" s="6" t="str">
        <f>HYPERLINK("https://ceds.ed.gov/cedselementdetails.aspx?termid=6155")</f>
        <v>https://ceds.ed.gov/cedselementdetails.aspx?termid=6155</v>
      </c>
      <c r="P1489" s="6" t="str">
        <f>HYPERLINK("https://ceds.ed.gov/elementComment.aspx?elementName=Assessment Asset Content URL &amp;elementID=6155", "Click here to submit comment")</f>
        <v>Click here to submit comment</v>
      </c>
    </row>
    <row r="1490" spans="1:16" ht="90">
      <c r="A1490" s="6" t="s">
        <v>6788</v>
      </c>
      <c r="B1490" s="6" t="s">
        <v>6784</v>
      </c>
      <c r="C1490" s="6" t="s">
        <v>6844</v>
      </c>
      <c r="D1490" s="6" t="s">
        <v>3406</v>
      </c>
      <c r="E1490" s="6" t="s">
        <v>3407</v>
      </c>
      <c r="F1490" s="5" t="s">
        <v>939</v>
      </c>
      <c r="G1490" s="6" t="s">
        <v>6214</v>
      </c>
      <c r="H1490" s="6" t="s">
        <v>66</v>
      </c>
      <c r="I1490" s="6"/>
      <c r="J1490" s="6" t="s">
        <v>2645</v>
      </c>
      <c r="K1490" s="6" t="s">
        <v>3408</v>
      </c>
      <c r="L1490" s="6" t="s">
        <v>3409</v>
      </c>
      <c r="M1490" s="6"/>
      <c r="N1490" s="6" t="s">
        <v>3410</v>
      </c>
      <c r="O1490" s="6" t="str">
        <f>HYPERLINK("https://ceds.ed.gov/cedselementdetails.aspx?termid=5317")</f>
        <v>https://ceds.ed.gov/cedselementdetails.aspx?termid=5317</v>
      </c>
      <c r="P1490" s="6" t="str">
        <f>HYPERLINK("https://ceds.ed.gov/elementComment.aspx?elementName=Language Code &amp;elementID=5317", "Click here to submit comment")</f>
        <v>Click here to submit comment</v>
      </c>
    </row>
    <row r="1491" spans="1:16" ht="45">
      <c r="A1491" s="6" t="s">
        <v>6788</v>
      </c>
      <c r="B1491" s="6" t="s">
        <v>6784</v>
      </c>
      <c r="C1491" s="6" t="s">
        <v>6845</v>
      </c>
      <c r="D1491" s="6" t="s">
        <v>1302</v>
      </c>
      <c r="E1491" s="6" t="s">
        <v>1303</v>
      </c>
      <c r="F1491" s="6" t="s">
        <v>13</v>
      </c>
      <c r="G1491" s="6" t="s">
        <v>6064</v>
      </c>
      <c r="H1491" s="6"/>
      <c r="I1491" s="6" t="s">
        <v>100</v>
      </c>
      <c r="J1491" s="6"/>
      <c r="K1491" s="6"/>
      <c r="L1491" s="6" t="s">
        <v>1304</v>
      </c>
      <c r="M1491" s="6"/>
      <c r="N1491" s="6" t="s">
        <v>1305</v>
      </c>
      <c r="O1491" s="6" t="str">
        <f>HYPERLINK("https://ceds.ed.gov/cedselementdetails.aspx?termid=5366")</f>
        <v>https://ceds.ed.gov/cedselementdetails.aspx?termid=5366</v>
      </c>
      <c r="P1491" s="6" t="str">
        <f>HYPERLINK("https://ceds.ed.gov/elementComment.aspx?elementName=Assessment Subtest Identifier &amp;elementID=5366", "Click here to submit comment")</f>
        <v>Click here to submit comment</v>
      </c>
    </row>
    <row r="1492" spans="1:16" ht="75">
      <c r="A1492" s="6" t="s">
        <v>6788</v>
      </c>
      <c r="B1492" s="6" t="s">
        <v>6784</v>
      </c>
      <c r="C1492" s="6" t="s">
        <v>6845</v>
      </c>
      <c r="D1492" s="6" t="s">
        <v>1306</v>
      </c>
      <c r="E1492" s="6" t="s">
        <v>1307</v>
      </c>
      <c r="F1492" s="6" t="s">
        <v>6065</v>
      </c>
      <c r="G1492" s="6"/>
      <c r="H1492" s="6"/>
      <c r="I1492" s="6"/>
      <c r="J1492" s="6"/>
      <c r="K1492" s="6"/>
      <c r="L1492" s="6" t="s">
        <v>1308</v>
      </c>
      <c r="M1492" s="6"/>
      <c r="N1492" s="6" t="s">
        <v>1309</v>
      </c>
      <c r="O1492" s="6" t="str">
        <f>HYPERLINK("https://ceds.ed.gov/cedselementdetails.aspx?termid=6016")</f>
        <v>https://ceds.ed.gov/cedselementdetails.aspx?termid=6016</v>
      </c>
      <c r="P1492" s="6" t="str">
        <f>HYPERLINK("https://ceds.ed.gov/elementComment.aspx?elementName=Assessment Subtest Identifier Type &amp;elementID=6016", "Click here to submit comment")</f>
        <v>Click here to submit comment</v>
      </c>
    </row>
    <row r="1493" spans="1:16" ht="165">
      <c r="A1493" s="6" t="s">
        <v>6788</v>
      </c>
      <c r="B1493" s="6" t="s">
        <v>6784</v>
      </c>
      <c r="C1493" s="6" t="s">
        <v>6845</v>
      </c>
      <c r="D1493" s="6" t="s">
        <v>1379</v>
      </c>
      <c r="E1493" s="6" t="s">
        <v>1380</v>
      </c>
      <c r="F1493" s="6" t="s">
        <v>13</v>
      </c>
      <c r="G1493" s="6" t="s">
        <v>6073</v>
      </c>
      <c r="H1493" s="6"/>
      <c r="I1493" s="6" t="s">
        <v>106</v>
      </c>
      <c r="J1493" s="6"/>
      <c r="K1493" s="6"/>
      <c r="L1493" s="6" t="s">
        <v>1381</v>
      </c>
      <c r="M1493" s="6"/>
      <c r="N1493" s="6" t="s">
        <v>1382</v>
      </c>
      <c r="O1493" s="6" t="str">
        <f>HYPERLINK("https://ceds.ed.gov/cedselementdetails.aspx?termid=5275")</f>
        <v>https://ceds.ed.gov/cedselementdetails.aspx?termid=5275</v>
      </c>
      <c r="P1493" s="6" t="str">
        <f>HYPERLINK("https://ceds.ed.gov/elementComment.aspx?elementName=Assessment Subtest Title &amp;elementID=5275", "Click here to submit comment")</f>
        <v>Click here to submit comment</v>
      </c>
    </row>
    <row r="1494" spans="1:16" ht="45">
      <c r="A1494" s="6" t="s">
        <v>6788</v>
      </c>
      <c r="B1494" s="6" t="s">
        <v>6784</v>
      </c>
      <c r="C1494" s="6" t="s">
        <v>6845</v>
      </c>
      <c r="D1494" s="6" t="s">
        <v>1294</v>
      </c>
      <c r="E1494" s="6" t="s">
        <v>1295</v>
      </c>
      <c r="F1494" s="6" t="s">
        <v>13</v>
      </c>
      <c r="G1494" s="6" t="s">
        <v>6063</v>
      </c>
      <c r="H1494" s="6"/>
      <c r="I1494" s="6" t="s">
        <v>100</v>
      </c>
      <c r="J1494" s="6"/>
      <c r="K1494" s="6"/>
      <c r="L1494" s="6" t="s">
        <v>1296</v>
      </c>
      <c r="M1494" s="6"/>
      <c r="N1494" s="6" t="s">
        <v>1297</v>
      </c>
      <c r="O1494" s="6" t="str">
        <f>HYPERLINK("https://ceds.ed.gov/cedselementdetails.aspx?termid=5367")</f>
        <v>https://ceds.ed.gov/cedselementdetails.aspx?termid=5367</v>
      </c>
      <c r="P1494" s="6" t="str">
        <f>HYPERLINK("https://ceds.ed.gov/elementComment.aspx?elementName=Assessment Subtest Abbreviation &amp;elementID=5367", "Click here to submit comment")</f>
        <v>Click here to submit comment</v>
      </c>
    </row>
    <row r="1495" spans="1:16" ht="150">
      <c r="A1495" s="6" t="s">
        <v>6788</v>
      </c>
      <c r="B1495" s="6" t="s">
        <v>6784</v>
      </c>
      <c r="C1495" s="6" t="s">
        <v>6845</v>
      </c>
      <c r="D1495" s="6" t="s">
        <v>1298</v>
      </c>
      <c r="E1495" s="6" t="s">
        <v>1299</v>
      </c>
      <c r="F1495" s="6" t="s">
        <v>13</v>
      </c>
      <c r="G1495" s="6" t="s">
        <v>6006</v>
      </c>
      <c r="H1495" s="6"/>
      <c r="I1495" s="6" t="s">
        <v>106</v>
      </c>
      <c r="J1495" s="6"/>
      <c r="K1495" s="6"/>
      <c r="L1495" s="6" t="s">
        <v>1300</v>
      </c>
      <c r="M1495" s="6"/>
      <c r="N1495" s="6" t="s">
        <v>1301</v>
      </c>
      <c r="O1495" s="6" t="str">
        <f>HYPERLINK("https://ceds.ed.gov/cedselementdetails.aspx?termid=5274")</f>
        <v>https://ceds.ed.gov/cedselementdetails.aspx?termid=5274</v>
      </c>
      <c r="P1495" s="6" t="str">
        <f>HYPERLINK("https://ceds.ed.gov/elementComment.aspx?elementName=Assessment Subtest Description &amp;elementID=5274", "Click here to submit comment")</f>
        <v>Click here to submit comment</v>
      </c>
    </row>
    <row r="1496" spans="1:16" ht="45">
      <c r="A1496" s="6" t="s">
        <v>6788</v>
      </c>
      <c r="B1496" s="6" t="s">
        <v>6784</v>
      </c>
      <c r="C1496" s="6" t="s">
        <v>6845</v>
      </c>
      <c r="D1496" s="6" t="s">
        <v>1383</v>
      </c>
      <c r="E1496" s="6" t="s">
        <v>1384</v>
      </c>
      <c r="F1496" s="6" t="s">
        <v>13</v>
      </c>
      <c r="G1496" s="6" t="s">
        <v>6064</v>
      </c>
      <c r="H1496" s="6"/>
      <c r="I1496" s="6" t="s">
        <v>100</v>
      </c>
      <c r="J1496" s="6"/>
      <c r="K1496" s="6"/>
      <c r="L1496" s="6" t="s">
        <v>1385</v>
      </c>
      <c r="M1496" s="6"/>
      <c r="N1496" s="6" t="s">
        <v>1386</v>
      </c>
      <c r="O1496" s="6" t="str">
        <f>HYPERLINK("https://ceds.ed.gov/cedselementdetails.aspx?termid=5379")</f>
        <v>https://ceds.ed.gov/cedselementdetails.aspx?termid=5379</v>
      </c>
      <c r="P1496" s="6" t="str">
        <f>HYPERLINK("https://ceds.ed.gov/elementComment.aspx?elementName=Assessment Subtest Version &amp;elementID=5379", "Click here to submit comment")</f>
        <v>Click here to submit comment</v>
      </c>
    </row>
    <row r="1497" spans="1:16" ht="45">
      <c r="A1497" s="6" t="s">
        <v>6788</v>
      </c>
      <c r="B1497" s="6" t="s">
        <v>6784</v>
      </c>
      <c r="C1497" s="6" t="s">
        <v>6845</v>
      </c>
      <c r="D1497" s="6" t="s">
        <v>1323</v>
      </c>
      <c r="E1497" s="6" t="s">
        <v>1324</v>
      </c>
      <c r="F1497" s="6" t="s">
        <v>13</v>
      </c>
      <c r="G1497" s="6"/>
      <c r="H1497" s="6"/>
      <c r="I1497" s="6" t="s">
        <v>73</v>
      </c>
      <c r="J1497" s="6"/>
      <c r="K1497" s="6"/>
      <c r="L1497" s="6" t="s">
        <v>1325</v>
      </c>
      <c r="M1497" s="6"/>
      <c r="N1497" s="6" t="s">
        <v>1326</v>
      </c>
      <c r="O1497" s="6" t="str">
        <f>HYPERLINK("https://ceds.ed.gov/cedselementdetails.aspx?termid=6075")</f>
        <v>https://ceds.ed.gov/cedselementdetails.aspx?termid=6075</v>
      </c>
      <c r="P1497" s="6" t="str">
        <f>HYPERLINK("https://ceds.ed.gov/elementComment.aspx?elementName=Assessment Subtest Published Date &amp;elementID=6075", "Click here to submit comment")</f>
        <v>Click here to submit comment</v>
      </c>
    </row>
    <row r="1498" spans="1:16" ht="45">
      <c r="A1498" s="6" t="s">
        <v>6788</v>
      </c>
      <c r="B1498" s="6" t="s">
        <v>6784</v>
      </c>
      <c r="C1498" s="6" t="s">
        <v>6845</v>
      </c>
      <c r="D1498" s="6" t="s">
        <v>1314</v>
      </c>
      <c r="E1498" s="6" t="s">
        <v>1315</v>
      </c>
      <c r="F1498" s="6" t="s">
        <v>13</v>
      </c>
      <c r="G1498" s="6" t="s">
        <v>5992</v>
      </c>
      <c r="H1498" s="6"/>
      <c r="I1498" s="6" t="s">
        <v>100</v>
      </c>
      <c r="J1498" s="6"/>
      <c r="K1498" s="6"/>
      <c r="L1498" s="6" t="s">
        <v>1316</v>
      </c>
      <c r="M1498" s="6"/>
      <c r="N1498" s="6" t="s">
        <v>1317</v>
      </c>
      <c r="O1498" s="6" t="str">
        <f>HYPERLINK("https://ceds.ed.gov/cedselementdetails.aspx?termid=5387")</f>
        <v>https://ceds.ed.gov/cedselementdetails.aspx?termid=5387</v>
      </c>
      <c r="P1498" s="6" t="str">
        <f>HYPERLINK("https://ceds.ed.gov/elementComment.aspx?elementName=Assessment Subtest Minimum Value &amp;elementID=5387", "Click here to submit comment")</f>
        <v>Click here to submit comment</v>
      </c>
    </row>
    <row r="1499" spans="1:16" ht="45">
      <c r="A1499" s="6" t="s">
        <v>6788</v>
      </c>
      <c r="B1499" s="6" t="s">
        <v>6784</v>
      </c>
      <c r="C1499" s="6" t="s">
        <v>6845</v>
      </c>
      <c r="D1499" s="6" t="s">
        <v>1310</v>
      </c>
      <c r="E1499" s="6" t="s">
        <v>1311</v>
      </c>
      <c r="F1499" s="6" t="s">
        <v>13</v>
      </c>
      <c r="G1499" s="6" t="s">
        <v>5992</v>
      </c>
      <c r="H1499" s="6"/>
      <c r="I1499" s="6" t="s">
        <v>100</v>
      </c>
      <c r="J1499" s="6"/>
      <c r="K1499" s="6"/>
      <c r="L1499" s="6" t="s">
        <v>1312</v>
      </c>
      <c r="M1499" s="6"/>
      <c r="N1499" s="6" t="s">
        <v>1313</v>
      </c>
      <c r="O1499" s="6" t="str">
        <f>HYPERLINK("https://ceds.ed.gov/cedselementdetails.aspx?termid=5388")</f>
        <v>https://ceds.ed.gov/cedselementdetails.aspx?termid=5388</v>
      </c>
      <c r="P1499" s="6" t="str">
        <f>HYPERLINK("https://ceds.ed.gov/elementComment.aspx?elementName=Assessment Subtest Maximum Value &amp;elementID=5388", "Click here to submit comment")</f>
        <v>Click here to submit comment</v>
      </c>
    </row>
    <row r="1500" spans="1:16" ht="45">
      <c r="A1500" s="6" t="s">
        <v>6788</v>
      </c>
      <c r="B1500" s="6" t="s">
        <v>6784</v>
      </c>
      <c r="C1500" s="6" t="s">
        <v>6845</v>
      </c>
      <c r="D1500" s="6" t="s">
        <v>1318</v>
      </c>
      <c r="E1500" s="6" t="s">
        <v>1319</v>
      </c>
      <c r="F1500" s="6" t="s">
        <v>13</v>
      </c>
      <c r="G1500" s="6" t="s">
        <v>6018</v>
      </c>
      <c r="H1500" s="6"/>
      <c r="I1500" s="6" t="s">
        <v>100</v>
      </c>
      <c r="J1500" s="6"/>
      <c r="K1500" s="6" t="s">
        <v>1320</v>
      </c>
      <c r="L1500" s="6" t="s">
        <v>1321</v>
      </c>
      <c r="M1500" s="6"/>
      <c r="N1500" s="6" t="s">
        <v>1322</v>
      </c>
      <c r="O1500" s="6" t="str">
        <f>HYPERLINK("https://ceds.ed.gov/cedselementdetails.aspx?termid=5389")</f>
        <v>https://ceds.ed.gov/cedselementdetails.aspx?termid=5389</v>
      </c>
      <c r="P1500" s="6" t="str">
        <f>HYPERLINK("https://ceds.ed.gov/elementComment.aspx?elementName=Assessment Subtest Optimal Value &amp;elementID=5389", "Click here to submit comment")</f>
        <v>Click here to submit comment</v>
      </c>
    </row>
    <row r="1501" spans="1:16" ht="405">
      <c r="A1501" s="6" t="s">
        <v>6788</v>
      </c>
      <c r="B1501" s="6" t="s">
        <v>6784</v>
      </c>
      <c r="C1501" s="6" t="s">
        <v>6845</v>
      </c>
      <c r="D1501" s="6" t="s">
        <v>395</v>
      </c>
      <c r="E1501" s="6" t="s">
        <v>396</v>
      </c>
      <c r="F1501" s="7" t="s">
        <v>6375</v>
      </c>
      <c r="G1501" s="6" t="s">
        <v>5990</v>
      </c>
      <c r="H1501" s="6"/>
      <c r="I1501" s="6"/>
      <c r="J1501" s="6"/>
      <c r="K1501" s="6"/>
      <c r="L1501" s="6" t="s">
        <v>397</v>
      </c>
      <c r="M1501" s="6"/>
      <c r="N1501" s="6" t="s">
        <v>398</v>
      </c>
      <c r="O1501" s="6" t="str">
        <f>HYPERLINK("https://ceds.ed.gov/cedselementdetails.aspx?termid=5021")</f>
        <v>https://ceds.ed.gov/cedselementdetails.aspx?termid=5021</v>
      </c>
      <c r="P1501" s="6" t="str">
        <f>HYPERLINK("https://ceds.ed.gov/elementComment.aspx?elementName=Assessment Academic Subject &amp;elementID=5021", "Click here to submit comment")</f>
        <v>Click here to submit comment</v>
      </c>
    </row>
    <row r="1502" spans="1:16" ht="409.5">
      <c r="A1502" s="6" t="s">
        <v>6788</v>
      </c>
      <c r="B1502" s="6" t="s">
        <v>6784</v>
      </c>
      <c r="C1502" s="6" t="s">
        <v>6845</v>
      </c>
      <c r="D1502" s="6" t="s">
        <v>1156</v>
      </c>
      <c r="E1502" s="6" t="s">
        <v>1157</v>
      </c>
      <c r="F1502" s="7" t="s">
        <v>6399</v>
      </c>
      <c r="G1502" s="6" t="s">
        <v>6000</v>
      </c>
      <c r="H1502" s="6"/>
      <c r="I1502" s="6"/>
      <c r="J1502" s="6"/>
      <c r="K1502" s="6" t="s">
        <v>1158</v>
      </c>
      <c r="L1502" s="6" t="s">
        <v>1159</v>
      </c>
      <c r="M1502" s="6"/>
      <c r="N1502" s="6" t="s">
        <v>1160</v>
      </c>
      <c r="O1502" s="6" t="str">
        <f>HYPERLINK("https://ceds.ed.gov/cedselementdetails.aspx?termid=5026")</f>
        <v>https://ceds.ed.gov/cedselementdetails.aspx?termid=5026</v>
      </c>
      <c r="P1502" s="6" t="str">
        <f>HYPERLINK("https://ceds.ed.gov/elementComment.aspx?elementName=Assessment Purpose &amp;elementID=5026", "Click here to submit comment")</f>
        <v>Click here to submit comment</v>
      </c>
    </row>
    <row r="1503" spans="1:16" ht="409.5">
      <c r="A1503" s="6" t="s">
        <v>6788</v>
      </c>
      <c r="B1503" s="6" t="s">
        <v>6784</v>
      </c>
      <c r="C1503" s="6" t="s">
        <v>6845</v>
      </c>
      <c r="D1503" s="6" t="s">
        <v>1375</v>
      </c>
      <c r="E1503" s="6" t="s">
        <v>1376</v>
      </c>
      <c r="F1503" s="7" t="s">
        <v>6398</v>
      </c>
      <c r="G1503" s="6" t="s">
        <v>6064</v>
      </c>
      <c r="H1503" s="6"/>
      <c r="I1503" s="6"/>
      <c r="J1503" s="6"/>
      <c r="K1503" s="6"/>
      <c r="L1503" s="6" t="s">
        <v>1377</v>
      </c>
      <c r="M1503" s="6"/>
      <c r="N1503" s="6" t="s">
        <v>1378</v>
      </c>
      <c r="O1503" s="6" t="str">
        <f>HYPERLINK("https://ceds.ed.gov/cedselementdetails.aspx?termid=5368")</f>
        <v>https://ceds.ed.gov/cedselementdetails.aspx?termid=5368</v>
      </c>
      <c r="P1503" s="6" t="str">
        <f>HYPERLINK("https://ceds.ed.gov/elementComment.aspx?elementName=Assessment Subtest Score Metric Type &amp;elementID=5368", "Click here to submit comment")</f>
        <v>Click here to submit comment</v>
      </c>
    </row>
    <row r="1504" spans="1:16" ht="225">
      <c r="A1504" s="6" t="s">
        <v>6788</v>
      </c>
      <c r="B1504" s="6" t="s">
        <v>6784</v>
      </c>
      <c r="C1504" s="6" t="s">
        <v>6845</v>
      </c>
      <c r="D1504" s="6" t="s">
        <v>487</v>
      </c>
      <c r="E1504" s="6" t="s">
        <v>488</v>
      </c>
      <c r="F1504" s="7" t="s">
        <v>6380</v>
      </c>
      <c r="G1504" s="6" t="s">
        <v>6000</v>
      </c>
      <c r="H1504" s="6"/>
      <c r="I1504" s="6"/>
      <c r="J1504" s="6"/>
      <c r="K1504" s="6"/>
      <c r="L1504" s="6" t="s">
        <v>489</v>
      </c>
      <c r="M1504" s="6"/>
      <c r="N1504" s="6" t="s">
        <v>490</v>
      </c>
      <c r="O1504" s="6" t="str">
        <f>HYPERLINK("https://ceds.ed.gov/cedselementdetails.aspx?termid=5598")</f>
        <v>https://ceds.ed.gov/cedselementdetails.aspx?termid=5598</v>
      </c>
      <c r="P1504" s="6" t="str">
        <f>HYPERLINK("https://ceds.ed.gov/elementComment.aspx?elementName=Assessment Content Standard Type &amp;elementID=5598", "Click here to submit comment")</f>
        <v>Click here to submit comment</v>
      </c>
    </row>
    <row r="1505" spans="1:16" ht="45">
      <c r="A1505" s="6" t="s">
        <v>6788</v>
      </c>
      <c r="B1505" s="6" t="s">
        <v>6784</v>
      </c>
      <c r="C1505" s="6" t="s">
        <v>6845</v>
      </c>
      <c r="D1505" s="6" t="s">
        <v>1371</v>
      </c>
      <c r="E1505" s="6" t="s">
        <v>1372</v>
      </c>
      <c r="F1505" s="6" t="s">
        <v>13</v>
      </c>
      <c r="G1505" s="6"/>
      <c r="H1505" s="6"/>
      <c r="I1505" s="6" t="s">
        <v>319</v>
      </c>
      <c r="J1505" s="6"/>
      <c r="K1505" s="6"/>
      <c r="L1505" s="6" t="s">
        <v>1373</v>
      </c>
      <c r="M1505" s="6"/>
      <c r="N1505" s="6" t="s">
        <v>1374</v>
      </c>
      <c r="O1505" s="6" t="str">
        <f>HYPERLINK("https://ceds.ed.gov/cedselementdetails.aspx?termid=5695")</f>
        <v>https://ceds.ed.gov/cedselementdetails.aspx?termid=5695</v>
      </c>
      <c r="P1505" s="6" t="str">
        <f>HYPERLINK("https://ceds.ed.gov/elementComment.aspx?elementName=Assessment Subtest Rules &amp;elementID=5695", "Click here to submit comment")</f>
        <v>Click here to submit comment</v>
      </c>
    </row>
    <row r="1506" spans="1:16" ht="60">
      <c r="A1506" s="6" t="s">
        <v>6788</v>
      </c>
      <c r="B1506" s="6" t="s">
        <v>6784</v>
      </c>
      <c r="C1506" s="6" t="s">
        <v>6845</v>
      </c>
      <c r="D1506" s="6" t="s">
        <v>573</v>
      </c>
      <c r="E1506" s="6" t="s">
        <v>574</v>
      </c>
      <c r="F1506" s="6" t="s">
        <v>13</v>
      </c>
      <c r="G1506" s="6"/>
      <c r="H1506" s="6"/>
      <c r="I1506" s="6" t="s">
        <v>575</v>
      </c>
      <c r="J1506" s="6"/>
      <c r="K1506" s="6"/>
      <c r="L1506" s="6" t="s">
        <v>576</v>
      </c>
      <c r="M1506" s="6"/>
      <c r="N1506" s="6" t="s">
        <v>577</v>
      </c>
      <c r="O1506" s="6" t="str">
        <f>HYPERLINK("https://ceds.ed.gov/cedselementdetails.aspx?termid=6180")</f>
        <v>https://ceds.ed.gov/cedselementdetails.aspx?termid=6180</v>
      </c>
      <c r="P1506" s="6" t="str">
        <f>HYPERLINK("https://ceds.ed.gov/elementComment.aspx?elementName=Assessment Form Subtest Tier &amp;elementID=6180", "Click here to submit comment")</f>
        <v>Click here to submit comment</v>
      </c>
    </row>
    <row r="1507" spans="1:16" ht="60">
      <c r="A1507" s="6" t="s">
        <v>6788</v>
      </c>
      <c r="B1507" s="6" t="s">
        <v>6784</v>
      </c>
      <c r="C1507" s="6" t="s">
        <v>6845</v>
      </c>
      <c r="D1507" s="6" t="s">
        <v>556</v>
      </c>
      <c r="E1507" s="6" t="s">
        <v>557</v>
      </c>
      <c r="F1507" s="6" t="s">
        <v>5963</v>
      </c>
      <c r="G1507" s="6"/>
      <c r="H1507" s="6" t="s">
        <v>66</v>
      </c>
      <c r="I1507" s="6"/>
      <c r="J1507" s="6" t="s">
        <v>558</v>
      </c>
      <c r="K1507" s="6"/>
      <c r="L1507" s="6" t="s">
        <v>559</v>
      </c>
      <c r="M1507" s="6"/>
      <c r="N1507" s="6" t="s">
        <v>560</v>
      </c>
      <c r="O1507" s="6" t="str">
        <f>HYPERLINK("https://ceds.ed.gov/cedselementdetails.aspx?termid=6181")</f>
        <v>https://ceds.ed.gov/cedselementdetails.aspx?termid=6181</v>
      </c>
      <c r="P1507" s="6" t="str">
        <f>HYPERLINK("https://ceds.ed.gov/elementComment.aspx?elementName=Assessment Form Subtest Container Only &amp;elementID=6181", "Click here to submit comment")</f>
        <v>Click here to submit comment</v>
      </c>
    </row>
    <row r="1508" spans="1:16" ht="90">
      <c r="A1508" s="6" t="s">
        <v>6788</v>
      </c>
      <c r="B1508" s="6" t="s">
        <v>6784</v>
      </c>
      <c r="C1508" s="6" t="s">
        <v>6846</v>
      </c>
      <c r="D1508" s="6" t="s">
        <v>1362</v>
      </c>
      <c r="E1508" s="6" t="s">
        <v>1363</v>
      </c>
      <c r="F1508" s="7" t="s">
        <v>6404</v>
      </c>
      <c r="G1508" s="6" t="s">
        <v>6069</v>
      </c>
      <c r="H1508" s="6"/>
      <c r="I1508" s="6"/>
      <c r="J1508" s="6"/>
      <c r="K1508" s="6"/>
      <c r="L1508" s="6" t="s">
        <v>1364</v>
      </c>
      <c r="M1508" s="6"/>
      <c r="N1508" s="6" t="s">
        <v>1365</v>
      </c>
      <c r="O1508" s="6" t="str">
        <f>HYPERLINK("https://ceds.ed.gov/cedselementdetails.aspx?termid=5564")</f>
        <v>https://ceds.ed.gov/cedselementdetails.aspx?termid=5564</v>
      </c>
      <c r="P1508" s="6" t="str">
        <f>HYPERLINK("https://ceds.ed.gov/elementComment.aspx?elementName=Assessment Subtest Result Pretest Outcome &amp;elementID=5564", "Click here to submit comment")</f>
        <v>Click here to submit comment</v>
      </c>
    </row>
    <row r="1509" spans="1:16" ht="195">
      <c r="A1509" s="6" t="s">
        <v>6788</v>
      </c>
      <c r="B1509" s="6" t="s">
        <v>6784</v>
      </c>
      <c r="C1509" s="6" t="s">
        <v>6846</v>
      </c>
      <c r="D1509" s="6" t="s">
        <v>1366</v>
      </c>
      <c r="E1509" s="6" t="s">
        <v>1367</v>
      </c>
      <c r="F1509" s="6" t="s">
        <v>13</v>
      </c>
      <c r="G1509" s="6" t="s">
        <v>6071</v>
      </c>
      <c r="H1509" s="6"/>
      <c r="I1509" s="6" t="s">
        <v>1368</v>
      </c>
      <c r="J1509" s="6"/>
      <c r="K1509" s="6"/>
      <c r="L1509" s="6" t="s">
        <v>1369</v>
      </c>
      <c r="M1509" s="6"/>
      <c r="N1509" s="6" t="s">
        <v>1370</v>
      </c>
      <c r="O1509" s="6" t="str">
        <f>HYPERLINK("https://ceds.ed.gov/cedselementdetails.aspx?termid=5245")</f>
        <v>https://ceds.ed.gov/cedselementdetails.aspx?termid=5245</v>
      </c>
      <c r="P1509" s="6" t="str">
        <f>HYPERLINK("https://ceds.ed.gov/elementComment.aspx?elementName=Assessment Subtest Result Score Value &amp;elementID=5245", "Click here to submit comment")</f>
        <v>Click here to submit comment</v>
      </c>
    </row>
    <row r="1510" spans="1:16" ht="409.5">
      <c r="A1510" s="6" t="s">
        <v>6788</v>
      </c>
      <c r="B1510" s="6" t="s">
        <v>6784</v>
      </c>
      <c r="C1510" s="6" t="s">
        <v>6846</v>
      </c>
      <c r="D1510" s="6" t="s">
        <v>1375</v>
      </c>
      <c r="E1510" s="6" t="s">
        <v>1376</v>
      </c>
      <c r="F1510" s="7" t="s">
        <v>6398</v>
      </c>
      <c r="G1510" s="6" t="s">
        <v>6064</v>
      </c>
      <c r="H1510" s="6"/>
      <c r="I1510" s="6"/>
      <c r="J1510" s="6"/>
      <c r="K1510" s="6"/>
      <c r="L1510" s="6" t="s">
        <v>1377</v>
      </c>
      <c r="M1510" s="6"/>
      <c r="N1510" s="6" t="s">
        <v>1378</v>
      </c>
      <c r="O1510" s="6" t="str">
        <f>HYPERLINK("https://ceds.ed.gov/cedselementdetails.aspx?termid=5368")</f>
        <v>https://ceds.ed.gov/cedselementdetails.aspx?termid=5368</v>
      </c>
      <c r="P1510" s="6" t="str">
        <f>HYPERLINK("https://ceds.ed.gov/elementComment.aspx?elementName=Assessment Subtest Score Metric Type &amp;elementID=5368", "Click here to submit comment")</f>
        <v>Click here to submit comment</v>
      </c>
    </row>
    <row r="1511" spans="1:16" ht="75">
      <c r="A1511" s="6" t="s">
        <v>6788</v>
      </c>
      <c r="B1511" s="6" t="s">
        <v>6784</v>
      </c>
      <c r="C1511" s="6" t="s">
        <v>6846</v>
      </c>
      <c r="D1511" s="6" t="s">
        <v>1336</v>
      </c>
      <c r="E1511" s="6" t="s">
        <v>1337</v>
      </c>
      <c r="F1511" s="6" t="s">
        <v>13</v>
      </c>
      <c r="G1511" s="6" t="s">
        <v>493</v>
      </c>
      <c r="H1511" s="6"/>
      <c r="I1511" s="6" t="s">
        <v>93</v>
      </c>
      <c r="J1511" s="6"/>
      <c r="K1511" s="6"/>
      <c r="L1511" s="6" t="s">
        <v>1338</v>
      </c>
      <c r="M1511" s="6"/>
      <c r="N1511" s="6" t="s">
        <v>1339</v>
      </c>
      <c r="O1511" s="6" t="str">
        <f>HYPERLINK("https://ceds.ed.gov/cedselementdetails.aspx?termid=5890")</f>
        <v>https://ceds.ed.gov/cedselementdetails.aspx?termid=5890</v>
      </c>
      <c r="P1511" s="6" t="str">
        <f>HYPERLINK("https://ceds.ed.gov/elementComment.aspx?elementName=Assessment Subtest Result Descriptive Feedback &amp;elementID=5890", "Click here to submit comment")</f>
        <v>Click here to submit comment</v>
      </c>
    </row>
    <row r="1512" spans="1:16" ht="135">
      <c r="A1512" s="6" t="s">
        <v>6788</v>
      </c>
      <c r="B1512" s="6" t="s">
        <v>6784</v>
      </c>
      <c r="C1512" s="6" t="s">
        <v>6846</v>
      </c>
      <c r="D1512" s="6" t="s">
        <v>1331</v>
      </c>
      <c r="E1512" s="6" t="s">
        <v>1332</v>
      </c>
      <c r="F1512" s="6" t="s">
        <v>13</v>
      </c>
      <c r="G1512" s="6"/>
      <c r="H1512" s="6"/>
      <c r="I1512" s="6" t="s">
        <v>73</v>
      </c>
      <c r="J1512" s="6"/>
      <c r="K1512" s="6" t="s">
        <v>1333</v>
      </c>
      <c r="L1512" s="6" t="s">
        <v>1334</v>
      </c>
      <c r="M1512" s="6"/>
      <c r="N1512" s="6" t="s">
        <v>1335</v>
      </c>
      <c r="O1512" s="6" t="str">
        <f>HYPERLINK("https://ceds.ed.gov/cedselementdetails.aspx?termid=5971")</f>
        <v>https://ceds.ed.gov/cedselementdetails.aspx?termid=5971</v>
      </c>
      <c r="P1512" s="6" t="str">
        <f>HYPERLINK("https://ceds.ed.gov/elementComment.aspx?elementName=Assessment Subtest Result Date Updated &amp;elementID=5971", "Click here to submit comment")</f>
        <v>Click here to submit comment</v>
      </c>
    </row>
    <row r="1513" spans="1:16" ht="45">
      <c r="A1513" s="6" t="s">
        <v>6788</v>
      </c>
      <c r="B1513" s="6" t="s">
        <v>6784</v>
      </c>
      <c r="C1513" s="6" t="s">
        <v>6846</v>
      </c>
      <c r="D1513" s="6" t="s">
        <v>1327</v>
      </c>
      <c r="E1513" s="6" t="s">
        <v>1328</v>
      </c>
      <c r="F1513" s="6" t="s">
        <v>13</v>
      </c>
      <c r="G1513" s="6"/>
      <c r="H1513" s="6"/>
      <c r="I1513" s="6" t="s">
        <v>73</v>
      </c>
      <c r="J1513" s="6"/>
      <c r="K1513" s="6"/>
      <c r="L1513" s="6" t="s">
        <v>1329</v>
      </c>
      <c r="M1513" s="6"/>
      <c r="N1513" s="6" t="s">
        <v>1330</v>
      </c>
      <c r="O1513" s="6" t="str">
        <f>HYPERLINK("https://ceds.ed.gov/cedselementdetails.aspx?termid=5972")</f>
        <v>https://ceds.ed.gov/cedselementdetails.aspx?termid=5972</v>
      </c>
      <c r="P1513" s="6" t="str">
        <f>HYPERLINK("https://ceds.ed.gov/elementComment.aspx?elementName=Assessment Subtest Result Date Created &amp;elementID=5972", "Click here to submit comment")</f>
        <v>Click here to submit comment</v>
      </c>
    </row>
    <row r="1514" spans="1:16" ht="75">
      <c r="A1514" s="6" t="s">
        <v>6788</v>
      </c>
      <c r="B1514" s="6" t="s">
        <v>6784</v>
      </c>
      <c r="C1514" s="6" t="s">
        <v>6846</v>
      </c>
      <c r="D1514" s="6" t="s">
        <v>1358</v>
      </c>
      <c r="E1514" s="6" t="s">
        <v>1359</v>
      </c>
      <c r="F1514" s="6" t="s">
        <v>5963</v>
      </c>
      <c r="G1514" s="6"/>
      <c r="H1514" s="6"/>
      <c r="I1514" s="6"/>
      <c r="J1514" s="6"/>
      <c r="K1514" s="6"/>
      <c r="L1514" s="6" t="s">
        <v>1360</v>
      </c>
      <c r="M1514" s="6"/>
      <c r="N1514" s="6" t="s">
        <v>1361</v>
      </c>
      <c r="O1514" s="6" t="str">
        <f>HYPERLINK("https://ceds.ed.gov/cedselementdetails.aspx?termid=6010")</f>
        <v>https://ceds.ed.gov/cedselementdetails.aspx?termid=6010</v>
      </c>
      <c r="P1514" s="6" t="str">
        <f>HYPERLINK("https://ceds.ed.gov/elementComment.aspx?elementName=Assessment Subtest Result Preliminary Indicator &amp;elementID=6010", "Click here to submit comment")</f>
        <v>Click here to submit comment</v>
      </c>
    </row>
    <row r="1515" spans="1:16" ht="60">
      <c r="A1515" s="6" t="s">
        <v>6788</v>
      </c>
      <c r="B1515" s="6" t="s">
        <v>6784</v>
      </c>
      <c r="C1515" s="6" t="s">
        <v>6846</v>
      </c>
      <c r="D1515" s="6" t="s">
        <v>2180</v>
      </c>
      <c r="E1515" s="6" t="s">
        <v>2181</v>
      </c>
      <c r="F1515" s="6" t="s">
        <v>13</v>
      </c>
      <c r="G1515" s="6"/>
      <c r="H1515" s="6"/>
      <c r="I1515" s="6" t="s">
        <v>93</v>
      </c>
      <c r="J1515" s="6"/>
      <c r="K1515" s="6"/>
      <c r="L1515" s="6" t="s">
        <v>2182</v>
      </c>
      <c r="M1515" s="6"/>
      <c r="N1515" s="6" t="s">
        <v>2183</v>
      </c>
      <c r="O1515" s="6" t="str">
        <f>HYPERLINK("https://ceds.ed.gov/cedselementdetails.aspx?termid=6011")</f>
        <v>https://ceds.ed.gov/cedselementdetails.aspx?termid=6011</v>
      </c>
      <c r="P1515" s="6" t="str">
        <f>HYPERLINK("https://ceds.ed.gov/elementComment.aspx?elementName=Diagnostic Statement Source &amp;elementID=6011", "Click here to submit comment")</f>
        <v>Click here to submit comment</v>
      </c>
    </row>
    <row r="1516" spans="1:16" ht="120">
      <c r="A1516" s="6" t="s">
        <v>6788</v>
      </c>
      <c r="B1516" s="6" t="s">
        <v>6784</v>
      </c>
      <c r="C1516" s="6" t="s">
        <v>6846</v>
      </c>
      <c r="D1516" s="6" t="s">
        <v>1354</v>
      </c>
      <c r="E1516" s="6" t="s">
        <v>1355</v>
      </c>
      <c r="F1516" s="6" t="s">
        <v>13</v>
      </c>
      <c r="G1516" s="6"/>
      <c r="H1516" s="6"/>
      <c r="I1516" s="6" t="s">
        <v>1173</v>
      </c>
      <c r="J1516" s="6"/>
      <c r="K1516" s="6"/>
      <c r="L1516" s="6" t="s">
        <v>1356</v>
      </c>
      <c r="M1516" s="6"/>
      <c r="N1516" s="6" t="s">
        <v>1357</v>
      </c>
      <c r="O1516" s="6" t="str">
        <f>HYPERLINK("https://ceds.ed.gov/cedselementdetails.aspx?termid=6012")</f>
        <v>https://ceds.ed.gov/cedselementdetails.aspx?termid=6012</v>
      </c>
      <c r="P1516" s="6" t="str">
        <f>HYPERLINK("https://ceds.ed.gov/elementComment.aspx?elementName=Assessment Subtest Result Number of Responses &amp;elementID=6012", "Click here to submit comment")</f>
        <v>Click here to submit comment</v>
      </c>
    </row>
    <row r="1517" spans="1:16" ht="120">
      <c r="A1517" s="6" t="s">
        <v>6788</v>
      </c>
      <c r="B1517" s="6" t="s">
        <v>6784</v>
      </c>
      <c r="C1517" s="6" t="s">
        <v>6846</v>
      </c>
      <c r="D1517" s="6" t="s">
        <v>1340</v>
      </c>
      <c r="E1517" s="6" t="s">
        <v>1341</v>
      </c>
      <c r="F1517" s="6" t="s">
        <v>13</v>
      </c>
      <c r="G1517" s="6"/>
      <c r="H1517" s="6"/>
      <c r="I1517" s="6" t="s">
        <v>106</v>
      </c>
      <c r="J1517" s="6"/>
      <c r="K1517" s="6"/>
      <c r="L1517" s="6" t="s">
        <v>1342</v>
      </c>
      <c r="M1517" s="6"/>
      <c r="N1517" s="6" t="s">
        <v>1343</v>
      </c>
      <c r="O1517" s="6" t="str">
        <f>HYPERLINK("https://ceds.ed.gov/cedselementdetails.aspx?termid=6076")</f>
        <v>https://ceds.ed.gov/cedselementdetails.aspx?termid=6076</v>
      </c>
      <c r="P1517" s="6" t="str">
        <f>HYPERLINK("https://ceds.ed.gov/elementComment.aspx?elementName=Assessment Subtest Result Descriptive Feedback Source &amp;elementID=6076", "Click here to submit comment")</f>
        <v>Click here to submit comment</v>
      </c>
    </row>
    <row r="1518" spans="1:16" ht="120">
      <c r="A1518" s="6" t="s">
        <v>6788</v>
      </c>
      <c r="B1518" s="6" t="s">
        <v>6784</v>
      </c>
      <c r="C1518" s="6" t="s">
        <v>6846</v>
      </c>
      <c r="D1518" s="6" t="s">
        <v>1344</v>
      </c>
      <c r="E1518" s="6" t="s">
        <v>1345</v>
      </c>
      <c r="F1518" s="6" t="s">
        <v>13</v>
      </c>
      <c r="G1518" s="6"/>
      <c r="H1518" s="6"/>
      <c r="I1518" s="6" t="s">
        <v>319</v>
      </c>
      <c r="J1518" s="6"/>
      <c r="K1518" s="6"/>
      <c r="L1518" s="6" t="s">
        <v>1346</v>
      </c>
      <c r="M1518" s="6"/>
      <c r="N1518" s="6" t="s">
        <v>1347</v>
      </c>
      <c r="O1518" s="6" t="str">
        <f>HYPERLINK("https://ceds.ed.gov/cedselementdetails.aspx?termid=6185")</f>
        <v>https://ceds.ed.gov/cedselementdetails.aspx?termid=6185</v>
      </c>
      <c r="P1518" s="6" t="str">
        <f>HYPERLINK("https://ceds.ed.gov/elementComment.aspx?elementName=Assessment Subtest Result Diagnostic Statement &amp;elementID=6185", "Click here to submit comment")</f>
        <v>Click here to submit comment</v>
      </c>
    </row>
    <row r="1519" spans="1:16" ht="90">
      <c r="A1519" s="6" t="s">
        <v>6788</v>
      </c>
      <c r="B1519" s="6" t="s">
        <v>6784</v>
      </c>
      <c r="C1519" s="6" t="s">
        <v>6846</v>
      </c>
      <c r="D1519" s="6" t="s">
        <v>1348</v>
      </c>
      <c r="E1519" s="6" t="s">
        <v>1349</v>
      </c>
      <c r="F1519" s="6" t="s">
        <v>5963</v>
      </c>
      <c r="G1519" s="6" t="s">
        <v>218</v>
      </c>
      <c r="H1519" s="6"/>
      <c r="I1519" s="6"/>
      <c r="J1519" s="6"/>
      <c r="K1519" s="6"/>
      <c r="L1519" s="6" t="s">
        <v>1351</v>
      </c>
      <c r="M1519" s="6" t="s">
        <v>1352</v>
      </c>
      <c r="N1519" s="6" t="s">
        <v>1353</v>
      </c>
      <c r="O1519" s="6" t="str">
        <f>HYPERLINK("https://ceds.ed.gov/cedselementdetails.aspx?termid=5568")</f>
        <v>https://ceds.ed.gov/cedselementdetails.aspx?termid=5568</v>
      </c>
      <c r="P1519" s="6" t="str">
        <f>HYPERLINK("https://ceds.ed.gov/elementComment.aspx?elementName=Assessment Subtest Result Included in Adequate Yearly Progress Calculation &amp;elementID=5568", "Click here to submit comment")</f>
        <v>Click here to submit comment</v>
      </c>
    </row>
    <row r="1520" spans="1:16" ht="60">
      <c r="A1520" s="6" t="s">
        <v>6788</v>
      </c>
      <c r="B1520" s="6" t="s">
        <v>6784</v>
      </c>
      <c r="C1520" s="6" t="s">
        <v>6846</v>
      </c>
      <c r="D1520" s="6" t="s">
        <v>3322</v>
      </c>
      <c r="E1520" s="6" t="s">
        <v>3323</v>
      </c>
      <c r="F1520" s="6" t="s">
        <v>13</v>
      </c>
      <c r="G1520" s="6" t="s">
        <v>6018</v>
      </c>
      <c r="H1520" s="6"/>
      <c r="I1520" s="6" t="s">
        <v>745</v>
      </c>
      <c r="J1520" s="6"/>
      <c r="K1520" s="6"/>
      <c r="L1520" s="6" t="s">
        <v>3324</v>
      </c>
      <c r="M1520" s="6"/>
      <c r="N1520" s="6" t="s">
        <v>3325</v>
      </c>
      <c r="O1520" s="6" t="str">
        <f>HYPERLINK("https://ceds.ed.gov/cedselementdetails.aspx?termid=5369")</f>
        <v>https://ceds.ed.gov/cedselementdetails.aspx?termid=5369</v>
      </c>
      <c r="P1520" s="6" t="str">
        <f>HYPERLINK("https://ceds.ed.gov/elementComment.aspx?elementName=Instructional Recommendation &amp;elementID=5369", "Click here to submit comment")</f>
        <v>Click here to submit comment</v>
      </c>
    </row>
    <row r="1521" spans="1:16" ht="75">
      <c r="A1521" s="6" t="s">
        <v>6788</v>
      </c>
      <c r="B1521" s="6" t="s">
        <v>6784</v>
      </c>
      <c r="C1521" s="6" t="s">
        <v>6847</v>
      </c>
      <c r="D1521" s="6" t="s">
        <v>1182</v>
      </c>
      <c r="E1521" s="6" t="s">
        <v>1183</v>
      </c>
      <c r="F1521" s="7" t="s">
        <v>6401</v>
      </c>
      <c r="G1521" s="6" t="s">
        <v>6051</v>
      </c>
      <c r="H1521" s="6"/>
      <c r="I1521" s="6"/>
      <c r="J1521" s="6"/>
      <c r="K1521" s="6"/>
      <c r="L1521" s="6" t="s">
        <v>1184</v>
      </c>
      <c r="M1521" s="6"/>
      <c r="N1521" s="6" t="s">
        <v>1185</v>
      </c>
      <c r="O1521" s="6" t="str">
        <f>HYPERLINK("https://ceds.ed.gov/cedselementdetails.aspx?termid=5025")</f>
        <v>https://ceds.ed.gov/cedselementdetails.aspx?termid=5025</v>
      </c>
      <c r="P1521" s="6" t="str">
        <f>HYPERLINK("https://ceds.ed.gov/elementComment.aspx?elementName=Assessment Registration Participation Indicator &amp;elementID=5025", "Click here to submit comment")</f>
        <v>Click here to submit comment</v>
      </c>
    </row>
    <row r="1522" spans="1:16" ht="375">
      <c r="A1522" s="6" t="s">
        <v>6788</v>
      </c>
      <c r="B1522" s="6" t="s">
        <v>6784</v>
      </c>
      <c r="C1522" s="6" t="s">
        <v>6847</v>
      </c>
      <c r="D1522" s="6" t="s">
        <v>2847</v>
      </c>
      <c r="E1522" s="6" t="s">
        <v>2848</v>
      </c>
      <c r="F1522" s="7" t="s">
        <v>6520</v>
      </c>
      <c r="G1522" s="6" t="s">
        <v>6182</v>
      </c>
      <c r="H1522" s="6"/>
      <c r="I1522" s="6"/>
      <c r="J1522" s="6"/>
      <c r="K1522" s="6"/>
      <c r="L1522" s="6" t="s">
        <v>2849</v>
      </c>
      <c r="M1522" s="6"/>
      <c r="N1522" s="6" t="s">
        <v>2850</v>
      </c>
      <c r="O1522" s="6" t="str">
        <f>HYPERLINK("https://ceds.ed.gov/cedselementdetails.aspx?termid=5126")</f>
        <v>https://ceds.ed.gov/cedselementdetails.aspx?termid=5126</v>
      </c>
      <c r="P1522" s="6" t="str">
        <f>HYPERLINK("https://ceds.ed.gov/elementComment.aspx?elementName=Grade Level When Assessed &amp;elementID=5126", "Click here to submit comment")</f>
        <v>Click here to submit comment</v>
      </c>
    </row>
    <row r="1523" spans="1:16" ht="285">
      <c r="A1523" s="6" t="s">
        <v>6788</v>
      </c>
      <c r="B1523" s="6" t="s">
        <v>6784</v>
      </c>
      <c r="C1523" s="6" t="s">
        <v>6847</v>
      </c>
      <c r="D1523" s="6" t="s">
        <v>399</v>
      </c>
      <c r="E1523" s="6" t="s">
        <v>400</v>
      </c>
      <c r="F1523" s="7" t="s">
        <v>6376</v>
      </c>
      <c r="G1523" s="6" t="s">
        <v>5992</v>
      </c>
      <c r="H1523" s="6" t="s">
        <v>3</v>
      </c>
      <c r="I1523" s="6"/>
      <c r="J1523" s="6"/>
      <c r="K1523" s="6"/>
      <c r="L1523" s="6" t="s">
        <v>401</v>
      </c>
      <c r="M1523" s="6"/>
      <c r="N1523" s="6" t="s">
        <v>402</v>
      </c>
      <c r="O1523" s="6" t="str">
        <f>HYPERLINK("https://ceds.ed.gov/cedselementdetails.aspx?termid=5374")</f>
        <v>https://ceds.ed.gov/cedselementdetails.aspx?termid=5374</v>
      </c>
      <c r="P1523" s="6" t="str">
        <f>HYPERLINK("https://ceds.ed.gov/elementComment.aspx?elementName=Assessment Accommodation Category &amp;elementID=5374", "Click here to submit comment")</f>
        <v>Click here to submit comment</v>
      </c>
    </row>
    <row r="1524" spans="1:16" ht="120">
      <c r="A1524" s="6" t="s">
        <v>6788</v>
      </c>
      <c r="B1524" s="6" t="s">
        <v>6784</v>
      </c>
      <c r="C1524" s="6" t="s">
        <v>6847</v>
      </c>
      <c r="D1524" s="6" t="s">
        <v>4022</v>
      </c>
      <c r="E1524" s="6" t="s">
        <v>4023</v>
      </c>
      <c r="F1524" s="6" t="s">
        <v>13</v>
      </c>
      <c r="G1524" s="6" t="s">
        <v>6252</v>
      </c>
      <c r="H1524" s="6"/>
      <c r="I1524" s="6" t="s">
        <v>100</v>
      </c>
      <c r="J1524" s="6"/>
      <c r="K1524" s="6"/>
      <c r="L1524" s="6" t="s">
        <v>4024</v>
      </c>
      <c r="M1524" s="6" t="s">
        <v>4025</v>
      </c>
      <c r="N1524" s="6" t="s">
        <v>4026</v>
      </c>
      <c r="O1524" s="6" t="str">
        <f>HYPERLINK("https://ceds.ed.gov/cedselementdetails.aspx?termid=5153")</f>
        <v>https://ceds.ed.gov/cedselementdetails.aspx?termid=5153</v>
      </c>
      <c r="P1524" s="6" t="str">
        <f>HYPERLINK("https://ceds.ed.gov/elementComment.aspx?elementName=Local Education Agency Identifier &amp;elementID=5153", "Click here to submit comment")</f>
        <v>Click here to submit comment</v>
      </c>
    </row>
    <row r="1525" spans="1:16" ht="165">
      <c r="A1525" s="6" t="s">
        <v>6788</v>
      </c>
      <c r="B1525" s="6" t="s">
        <v>6784</v>
      </c>
      <c r="C1525" s="6" t="s">
        <v>6847</v>
      </c>
      <c r="D1525" s="6" t="s">
        <v>5224</v>
      </c>
      <c r="E1525" s="6" t="s">
        <v>269</v>
      </c>
      <c r="F1525" s="6" t="s">
        <v>13</v>
      </c>
      <c r="G1525" s="6" t="s">
        <v>6308</v>
      </c>
      <c r="H1525" s="6"/>
      <c r="I1525" s="6" t="s">
        <v>100</v>
      </c>
      <c r="J1525" s="6"/>
      <c r="K1525" s="6"/>
      <c r="L1525" s="6" t="s">
        <v>5225</v>
      </c>
      <c r="M1525" s="6"/>
      <c r="N1525" s="6" t="s">
        <v>5226</v>
      </c>
      <c r="O1525" s="6" t="str">
        <f>HYPERLINK("https://ceds.ed.gov/cedselementdetails.aspx?termid=5155")</f>
        <v>https://ceds.ed.gov/cedselementdetails.aspx?termid=5155</v>
      </c>
      <c r="P1525" s="6" t="str">
        <f>HYPERLINK("https://ceds.ed.gov/elementComment.aspx?elementName=School Identifier &amp;elementID=5155", "Click here to submit comment")</f>
        <v>Click here to submit comment</v>
      </c>
    </row>
    <row r="1526" spans="1:16" ht="285">
      <c r="A1526" s="6" t="s">
        <v>6788</v>
      </c>
      <c r="B1526" s="6" t="s">
        <v>6784</v>
      </c>
      <c r="C1526" s="6" t="s">
        <v>6847</v>
      </c>
      <c r="D1526" s="6" t="s">
        <v>4017</v>
      </c>
      <c r="E1526" s="6" t="s">
        <v>4018</v>
      </c>
      <c r="F1526" s="7" t="s">
        <v>6577</v>
      </c>
      <c r="G1526" s="6" t="s">
        <v>6252</v>
      </c>
      <c r="H1526" s="6"/>
      <c r="I1526" s="6"/>
      <c r="J1526" s="6"/>
      <c r="K1526" s="6"/>
      <c r="L1526" s="6" t="s">
        <v>4019</v>
      </c>
      <c r="M1526" s="6" t="s">
        <v>4020</v>
      </c>
      <c r="N1526" s="6" t="s">
        <v>4021</v>
      </c>
      <c r="O1526" s="6" t="str">
        <f>HYPERLINK("https://ceds.ed.gov/cedselementdetails.aspx?termid=5159")</f>
        <v>https://ceds.ed.gov/cedselementdetails.aspx?termid=5159</v>
      </c>
      <c r="P1526" s="6" t="str">
        <f>HYPERLINK("https://ceds.ed.gov/elementComment.aspx?elementName=Local Education Agency Identification System &amp;elementID=5159", "Click here to submit comment")</f>
        <v>Click here to submit comment</v>
      </c>
    </row>
    <row r="1527" spans="1:16" ht="360">
      <c r="A1527" s="6" t="s">
        <v>6788</v>
      </c>
      <c r="B1527" s="6" t="s">
        <v>6784</v>
      </c>
      <c r="C1527" s="6" t="s">
        <v>6847</v>
      </c>
      <c r="D1527" s="6" t="s">
        <v>5221</v>
      </c>
      <c r="E1527" s="6" t="s">
        <v>265</v>
      </c>
      <c r="F1527" s="7" t="s">
        <v>6645</v>
      </c>
      <c r="G1527" s="6" t="s">
        <v>6308</v>
      </c>
      <c r="H1527" s="6"/>
      <c r="I1527" s="6"/>
      <c r="J1527" s="6"/>
      <c r="K1527" s="6"/>
      <c r="L1527" s="6" t="s">
        <v>5222</v>
      </c>
      <c r="M1527" s="6"/>
      <c r="N1527" s="6" t="s">
        <v>5223</v>
      </c>
      <c r="O1527" s="6" t="str">
        <f>HYPERLINK("https://ceds.ed.gov/cedselementdetails.aspx?termid=5161")</f>
        <v>https://ceds.ed.gov/cedselementdetails.aspx?termid=5161</v>
      </c>
      <c r="P1527" s="6" t="str">
        <f>HYPERLINK("https://ceds.ed.gov/elementComment.aspx?elementName=School Identification System &amp;elementID=5161", "Click here to submit comment")</f>
        <v>Click here to submit comment</v>
      </c>
    </row>
    <row r="1528" spans="1:16" ht="315">
      <c r="A1528" s="6" t="s">
        <v>6788</v>
      </c>
      <c r="B1528" s="6" t="s">
        <v>6784</v>
      </c>
      <c r="C1528" s="6" t="s">
        <v>6847</v>
      </c>
      <c r="D1528" s="6" t="s">
        <v>1186</v>
      </c>
      <c r="E1528" s="6" t="s">
        <v>1187</v>
      </c>
      <c r="F1528" s="7" t="s">
        <v>6402</v>
      </c>
      <c r="G1528" s="6" t="s">
        <v>6052</v>
      </c>
      <c r="H1528" s="6"/>
      <c r="I1528" s="6"/>
      <c r="J1528" s="6"/>
      <c r="K1528" s="6" t="s">
        <v>1188</v>
      </c>
      <c r="L1528" s="6" t="s">
        <v>1189</v>
      </c>
      <c r="M1528" s="6"/>
      <c r="N1528" s="6" t="s">
        <v>1190</v>
      </c>
      <c r="O1528" s="6" t="str">
        <f>HYPERLINK("https://ceds.ed.gov/cedselementdetails.aspx?termid=5531")</f>
        <v>https://ceds.ed.gov/cedselementdetails.aspx?termid=5531</v>
      </c>
      <c r="P1528" s="6" t="str">
        <f>HYPERLINK("https://ceds.ed.gov/elementComment.aspx?elementName=Assessment Registration Reason Not Completing &amp;elementID=5531", "Click here to submit comment")</f>
        <v>Click here to submit comment</v>
      </c>
    </row>
    <row r="1529" spans="1:16" ht="45">
      <c r="A1529" s="6" t="s">
        <v>6788</v>
      </c>
      <c r="B1529" s="6" t="s">
        <v>6784</v>
      </c>
      <c r="C1529" s="6" t="s">
        <v>6847</v>
      </c>
      <c r="D1529" s="6" t="s">
        <v>1161</v>
      </c>
      <c r="E1529" s="6" t="s">
        <v>1162</v>
      </c>
      <c r="F1529" s="6" t="s">
        <v>13</v>
      </c>
      <c r="G1529" s="6"/>
      <c r="H1529" s="6"/>
      <c r="I1529" s="6" t="s">
        <v>100</v>
      </c>
      <c r="J1529" s="6"/>
      <c r="K1529" s="6" t="s">
        <v>1163</v>
      </c>
      <c r="L1529" s="6" t="s">
        <v>1164</v>
      </c>
      <c r="M1529" s="6"/>
      <c r="N1529" s="6" t="s">
        <v>1165</v>
      </c>
      <c r="O1529" s="6" t="str">
        <f>HYPERLINK("https://ceds.ed.gov/cedselementdetails.aspx?termid=5889")</f>
        <v>https://ceds.ed.gov/cedselementdetails.aspx?termid=5889</v>
      </c>
      <c r="P1529" s="6" t="str">
        <f>HYPERLINK("https://ceds.ed.gov/elementComment.aspx?elementName=Assessment Registration Assignor Identifier &amp;elementID=5889", "Click here to submit comment")</f>
        <v>Click here to submit comment</v>
      </c>
    </row>
    <row r="1530" spans="1:16" ht="45">
      <c r="A1530" s="6" t="s">
        <v>6788</v>
      </c>
      <c r="B1530" s="6" t="s">
        <v>6784</v>
      </c>
      <c r="C1530" s="6" t="s">
        <v>6847</v>
      </c>
      <c r="D1530" s="6" t="s">
        <v>1171</v>
      </c>
      <c r="E1530" s="6" t="s">
        <v>1172</v>
      </c>
      <c r="F1530" s="6" t="s">
        <v>13</v>
      </c>
      <c r="G1530" s="6"/>
      <c r="H1530" s="6"/>
      <c r="I1530" s="6" t="s">
        <v>1173</v>
      </c>
      <c r="J1530" s="6"/>
      <c r="K1530" s="6"/>
      <c r="L1530" s="6" t="s">
        <v>1174</v>
      </c>
      <c r="M1530" s="6"/>
      <c r="N1530" s="6" t="s">
        <v>1175</v>
      </c>
      <c r="O1530" s="6" t="str">
        <f>HYPERLINK("https://ceds.ed.gov/cedselementdetails.aspx?termid=6017")</f>
        <v>https://ceds.ed.gov/cedselementdetails.aspx?termid=6017</v>
      </c>
      <c r="P1530" s="6" t="str">
        <f>HYPERLINK("https://ceds.ed.gov/elementComment.aspx?elementName=Assessment Registration Days of Instruction &amp;elementID=6017", "Click here to submit comment")</f>
        <v>Click here to submit comment</v>
      </c>
    </row>
    <row r="1531" spans="1:16" ht="75">
      <c r="A1531" s="6" t="s">
        <v>6788</v>
      </c>
      <c r="B1531" s="6" t="s">
        <v>6784</v>
      </c>
      <c r="C1531" s="6" t="s">
        <v>6847</v>
      </c>
      <c r="D1531" s="6" t="s">
        <v>1191</v>
      </c>
      <c r="E1531" s="6" t="s">
        <v>1192</v>
      </c>
      <c r="F1531" s="6" t="s">
        <v>5963</v>
      </c>
      <c r="G1531" s="6"/>
      <c r="H1531" s="6"/>
      <c r="I1531" s="6"/>
      <c r="J1531" s="6"/>
      <c r="K1531" s="6"/>
      <c r="L1531" s="6" t="s">
        <v>1193</v>
      </c>
      <c r="M1531" s="6"/>
      <c r="N1531" s="6" t="s">
        <v>1194</v>
      </c>
      <c r="O1531" s="6" t="str">
        <f>HYPERLINK("https://ceds.ed.gov/cedselementdetails.aspx?termid=6018")</f>
        <v>https://ceds.ed.gov/cedselementdetails.aspx?termid=6018</v>
      </c>
      <c r="P1531" s="6" t="str">
        <f>HYPERLINK("https://ceds.ed.gov/elementComment.aspx?elementName=Assessment Registration Retest Indicator &amp;elementID=6018", "Click here to submit comment")</f>
        <v>Click here to submit comment</v>
      </c>
    </row>
    <row r="1532" spans="1:16" ht="45">
      <c r="A1532" s="6" t="s">
        <v>6788</v>
      </c>
      <c r="B1532" s="6" t="s">
        <v>6784</v>
      </c>
      <c r="C1532" s="6" t="s">
        <v>6847</v>
      </c>
      <c r="D1532" s="6" t="s">
        <v>1166</v>
      </c>
      <c r="E1532" s="6" t="s">
        <v>1167</v>
      </c>
      <c r="F1532" s="6" t="s">
        <v>13</v>
      </c>
      <c r="G1532" s="6"/>
      <c r="H1532" s="6"/>
      <c r="I1532" s="6" t="s">
        <v>1168</v>
      </c>
      <c r="J1532" s="6"/>
      <c r="K1532" s="6"/>
      <c r="L1532" s="6" t="s">
        <v>1169</v>
      </c>
      <c r="M1532" s="6"/>
      <c r="N1532" s="6" t="s">
        <v>1170</v>
      </c>
      <c r="O1532" s="6" t="str">
        <f>HYPERLINK("https://ceds.ed.gov/cedselementdetails.aspx?termid=6019")</f>
        <v>https://ceds.ed.gov/cedselementdetails.aspx?termid=6019</v>
      </c>
      <c r="P1532" s="6" t="str">
        <f>HYPERLINK("https://ceds.ed.gov/elementComment.aspx?elementName=Assessment Registration Creation Date &amp;elementID=6019", "Click here to submit comment")</f>
        <v>Click here to submit comment</v>
      </c>
    </row>
    <row r="1533" spans="1:16" ht="75">
      <c r="A1533" s="6" t="s">
        <v>6788</v>
      </c>
      <c r="B1533" s="6" t="s">
        <v>6784</v>
      </c>
      <c r="C1533" s="6" t="s">
        <v>6847</v>
      </c>
      <c r="D1533" s="6" t="s">
        <v>1204</v>
      </c>
      <c r="E1533" s="6" t="s">
        <v>1205</v>
      </c>
      <c r="F1533" s="6" t="s">
        <v>13</v>
      </c>
      <c r="G1533" s="6"/>
      <c r="H1533" s="6"/>
      <c r="I1533" s="6" t="s">
        <v>93</v>
      </c>
      <c r="J1533" s="6"/>
      <c r="K1533" s="6" t="s">
        <v>1206</v>
      </c>
      <c r="L1533" s="6" t="s">
        <v>1207</v>
      </c>
      <c r="M1533" s="6"/>
      <c r="N1533" s="6" t="s">
        <v>1208</v>
      </c>
      <c r="O1533" s="6" t="str">
        <f>HYPERLINK("https://ceds.ed.gov/cedselementdetails.aspx?termid=6061")</f>
        <v>https://ceds.ed.gov/cedselementdetails.aspx?termid=6061</v>
      </c>
      <c r="P1533" s="6" t="str">
        <f>HYPERLINK("https://ceds.ed.gov/elementComment.aspx?elementName=Assessment Registration Testing Indicator &amp;elementID=6061", "Click here to submit comment")</f>
        <v>Click here to submit comment</v>
      </c>
    </row>
    <row r="1534" spans="1:16" ht="135">
      <c r="A1534" s="6" t="s">
        <v>6788</v>
      </c>
      <c r="B1534" s="6" t="s">
        <v>6784</v>
      </c>
      <c r="C1534" s="6" t="s">
        <v>6847</v>
      </c>
      <c r="D1534" s="6" t="s">
        <v>1195</v>
      </c>
      <c r="E1534" s="6" t="s">
        <v>1196</v>
      </c>
      <c r="F1534" s="6" t="s">
        <v>13</v>
      </c>
      <c r="G1534" s="6"/>
      <c r="H1534" s="6"/>
      <c r="I1534" s="6" t="s">
        <v>73</v>
      </c>
      <c r="J1534" s="6"/>
      <c r="K1534" s="6"/>
      <c r="L1534" s="6" t="s">
        <v>1197</v>
      </c>
      <c r="M1534" s="6"/>
      <c r="N1534" s="6" t="s">
        <v>1198</v>
      </c>
      <c r="O1534" s="6" t="str">
        <f>HYPERLINK("https://ceds.ed.gov/cedselementdetails.aspx?termid=6062")</f>
        <v>https://ceds.ed.gov/cedselementdetails.aspx?termid=6062</v>
      </c>
      <c r="P1534" s="6" t="str">
        <f>HYPERLINK("https://ceds.ed.gov/elementComment.aspx?elementName=Assessment Registration Score Publish Date &amp;elementID=6062", "Click here to submit comment")</f>
        <v>Click here to submit comment</v>
      </c>
    </row>
    <row r="1535" spans="1:16" ht="409.5">
      <c r="A1535" s="6" t="s">
        <v>6788</v>
      </c>
      <c r="B1535" s="6" t="s">
        <v>6784</v>
      </c>
      <c r="C1535" s="6" t="s">
        <v>6847</v>
      </c>
      <c r="D1535" s="6" t="s">
        <v>1176</v>
      </c>
      <c r="E1535" s="6" t="s">
        <v>1177</v>
      </c>
      <c r="F1535" s="7" t="s">
        <v>6400</v>
      </c>
      <c r="G1535" s="6"/>
      <c r="H1535" s="6" t="s">
        <v>66</v>
      </c>
      <c r="I1535" s="6"/>
      <c r="J1535" s="6" t="s">
        <v>1178</v>
      </c>
      <c r="K1535" s="6" t="s">
        <v>1179</v>
      </c>
      <c r="L1535" s="6" t="s">
        <v>1180</v>
      </c>
      <c r="M1535" s="6"/>
      <c r="N1535" s="6" t="s">
        <v>1181</v>
      </c>
      <c r="O1535" s="6" t="str">
        <f>HYPERLINK("https://ceds.ed.gov/cedselementdetails.aspx?termid=6063")</f>
        <v>https://ceds.ed.gov/cedselementdetails.aspx?termid=6063</v>
      </c>
      <c r="P1535" s="6" t="str">
        <f>HYPERLINK("https://ceds.ed.gov/elementComment.aspx?elementName=Assessment Registration Grade Level To Be Assessed &amp;elementID=6063", "Click here to submit comment")</f>
        <v>Click here to submit comment</v>
      </c>
    </row>
    <row r="1536" spans="1:16" ht="45">
      <c r="A1536" s="6" t="s">
        <v>6788</v>
      </c>
      <c r="B1536" s="6" t="s">
        <v>6784</v>
      </c>
      <c r="C1536" s="6" t="s">
        <v>6847</v>
      </c>
      <c r="D1536" s="6" t="s">
        <v>403</v>
      </c>
      <c r="E1536" s="6" t="s">
        <v>404</v>
      </c>
      <c r="F1536" s="6" t="s">
        <v>13</v>
      </c>
      <c r="G1536" s="6"/>
      <c r="H1536" s="6"/>
      <c r="I1536" s="6" t="s">
        <v>100</v>
      </c>
      <c r="J1536" s="6"/>
      <c r="K1536" s="6"/>
      <c r="L1536" s="6" t="s">
        <v>405</v>
      </c>
      <c r="M1536" s="6"/>
      <c r="N1536" s="6" t="s">
        <v>406</v>
      </c>
      <c r="O1536" s="6" t="str">
        <f>HYPERLINK("https://ceds.ed.gov/cedselementdetails.aspx?termid=6116")</f>
        <v>https://ceds.ed.gov/cedselementdetails.aspx?termid=6116</v>
      </c>
      <c r="P1536" s="6" t="str">
        <f>HYPERLINK("https://ceds.ed.gov/elementComment.aspx?elementName=Assessment Accommodation Other Description &amp;elementID=6116", "Click here to submit comment")</f>
        <v>Click here to submit comment</v>
      </c>
    </row>
    <row r="1537" spans="1:16" ht="75">
      <c r="A1537" s="6" t="s">
        <v>6788</v>
      </c>
      <c r="B1537" s="6" t="s">
        <v>6784</v>
      </c>
      <c r="C1537" s="6" t="s">
        <v>6847</v>
      </c>
      <c r="D1537" s="6" t="s">
        <v>1199</v>
      </c>
      <c r="E1537" s="6" t="s">
        <v>1200</v>
      </c>
      <c r="F1537" s="6" t="s">
        <v>13</v>
      </c>
      <c r="G1537" s="6"/>
      <c r="H1537" s="6"/>
      <c r="I1537" s="6" t="s">
        <v>100</v>
      </c>
      <c r="J1537" s="6"/>
      <c r="K1537" s="6" t="s">
        <v>1201</v>
      </c>
      <c r="L1537" s="6" t="s">
        <v>1202</v>
      </c>
      <c r="M1537" s="6"/>
      <c r="N1537" s="6" t="s">
        <v>1203</v>
      </c>
      <c r="O1537" s="6" t="str">
        <f>HYPERLINK("https://ceds.ed.gov/cedselementdetails.aspx?termid=6119")</f>
        <v>https://ceds.ed.gov/cedselementdetails.aspx?termid=6119</v>
      </c>
      <c r="P1537" s="6" t="str">
        <f>HYPERLINK("https://ceds.ed.gov/elementComment.aspx?elementName=Assessment Registration Test Attempt Identifier &amp;elementID=6119", "Click here to submit comment")</f>
        <v>Click here to submit comment</v>
      </c>
    </row>
    <row r="1538" spans="1:16" ht="165">
      <c r="A1538" s="6" t="s">
        <v>6788</v>
      </c>
      <c r="B1538" s="6" t="s">
        <v>6784</v>
      </c>
      <c r="C1538" s="6" t="s">
        <v>6847</v>
      </c>
      <c r="D1538" s="6" t="s">
        <v>4975</v>
      </c>
      <c r="E1538" s="6" t="s">
        <v>4976</v>
      </c>
      <c r="F1538" s="7" t="s">
        <v>6636</v>
      </c>
      <c r="G1538" s="6"/>
      <c r="H1538" s="6"/>
      <c r="I1538" s="6"/>
      <c r="J1538" s="6"/>
      <c r="K1538" s="6"/>
      <c r="L1538" s="6" t="s">
        <v>4977</v>
      </c>
      <c r="M1538" s="6"/>
      <c r="N1538" s="6" t="s">
        <v>4978</v>
      </c>
      <c r="O1538" s="6" t="str">
        <f>HYPERLINK("https://ceds.ed.gov/cedselementdetails.aspx?termid=5228")</f>
        <v>https://ceds.ed.gov/cedselementdetails.aspx?termid=5228</v>
      </c>
      <c r="P1538" s="6" t="str">
        <f>HYPERLINK("https://ceds.ed.gov/elementComment.aspx?elementName=Reason Not Tested &amp;elementID=5228", "Click here to submit comment")</f>
        <v>Click here to submit comment</v>
      </c>
    </row>
    <row r="1539" spans="1:16" ht="240">
      <c r="A1539" s="6" t="s">
        <v>6788</v>
      </c>
      <c r="B1539" s="6" t="s">
        <v>6784</v>
      </c>
      <c r="C1539" s="6" t="s">
        <v>6786</v>
      </c>
      <c r="D1539" s="6" t="s">
        <v>586</v>
      </c>
      <c r="E1539" s="6" t="s">
        <v>587</v>
      </c>
      <c r="F1539" s="7" t="s">
        <v>6382</v>
      </c>
      <c r="G1539" s="6" t="s">
        <v>6013</v>
      </c>
      <c r="H1539" s="6"/>
      <c r="I1539" s="6"/>
      <c r="J1539" s="6"/>
      <c r="K1539" s="6"/>
      <c r="L1539" s="6" t="s">
        <v>588</v>
      </c>
      <c r="M1539" s="6"/>
      <c r="N1539" s="6" t="s">
        <v>589</v>
      </c>
      <c r="O1539" s="6" t="str">
        <f>HYPERLINK("https://ceds.ed.gov/cedselementdetails.aspx?termid=5158")</f>
        <v>https://ceds.ed.gov/cedselementdetails.aspx?termid=5158</v>
      </c>
      <c r="P1539" s="6" t="str">
        <f>HYPERLINK("https://ceds.ed.gov/elementComment.aspx?elementName=Assessment Identification System &amp;elementID=5158", "Click here to submit comment")</f>
        <v>Click here to submit comment</v>
      </c>
    </row>
    <row r="1540" spans="1:16" ht="45">
      <c r="A1540" s="6" t="s">
        <v>6788</v>
      </c>
      <c r="B1540" s="6" t="s">
        <v>6784</v>
      </c>
      <c r="C1540" s="6" t="s">
        <v>6786</v>
      </c>
      <c r="D1540" s="6" t="s">
        <v>429</v>
      </c>
      <c r="E1540" s="6" t="s">
        <v>430</v>
      </c>
      <c r="F1540" s="6" t="s">
        <v>13</v>
      </c>
      <c r="G1540" s="6"/>
      <c r="H1540" s="6"/>
      <c r="I1540" s="6" t="s">
        <v>100</v>
      </c>
      <c r="J1540" s="6"/>
      <c r="K1540" s="6"/>
      <c r="L1540" s="6" t="s">
        <v>431</v>
      </c>
      <c r="M1540" s="6"/>
      <c r="N1540" s="6" t="s">
        <v>432</v>
      </c>
      <c r="O1540" s="6" t="str">
        <f>HYPERLINK("https://ceds.ed.gov/cedselementdetails.aspx?termid=5978")</f>
        <v>https://ceds.ed.gov/cedselementdetails.aspx?termid=5978</v>
      </c>
      <c r="P1540" s="6" t="str">
        <f>HYPERLINK("https://ceds.ed.gov/elementComment.aspx?elementName=Assessment Administration Name &amp;elementID=5978", "Click here to submit comment")</f>
        <v>Click here to submit comment</v>
      </c>
    </row>
    <row r="1541" spans="1:16" ht="60">
      <c r="A1541" s="6" t="s">
        <v>6788</v>
      </c>
      <c r="B1541" s="6" t="s">
        <v>6784</v>
      </c>
      <c r="C1541" s="6" t="s">
        <v>6786</v>
      </c>
      <c r="D1541" s="6" t="s">
        <v>433</v>
      </c>
      <c r="E1541" s="6" t="s">
        <v>434</v>
      </c>
      <c r="F1541" s="6" t="s">
        <v>13</v>
      </c>
      <c r="G1541" s="6"/>
      <c r="H1541" s="6"/>
      <c r="I1541" s="6" t="s">
        <v>106</v>
      </c>
      <c r="J1541" s="6"/>
      <c r="K1541" s="6"/>
      <c r="L1541" s="6" t="s">
        <v>435</v>
      </c>
      <c r="M1541" s="6"/>
      <c r="N1541" s="6" t="s">
        <v>436</v>
      </c>
      <c r="O1541" s="6" t="str">
        <f>HYPERLINK("https://ceds.ed.gov/cedselementdetails.aspx?termid=5967")</f>
        <v>https://ceds.ed.gov/cedselementdetails.aspx?termid=5967</v>
      </c>
      <c r="P1541" s="6" t="str">
        <f>HYPERLINK("https://ceds.ed.gov/elementComment.aspx?elementName=Assessment Administration Organization Name &amp;elementID=5967", "Click here to submit comment")</f>
        <v>Click here to submit comment</v>
      </c>
    </row>
    <row r="1542" spans="1:16" ht="45">
      <c r="A1542" s="6" t="s">
        <v>6788</v>
      </c>
      <c r="B1542" s="6" t="s">
        <v>6784</v>
      </c>
      <c r="C1542" s="6" t="s">
        <v>6786</v>
      </c>
      <c r="D1542" s="6" t="s">
        <v>416</v>
      </c>
      <c r="E1542" s="6" t="s">
        <v>417</v>
      </c>
      <c r="F1542" s="6" t="s">
        <v>13</v>
      </c>
      <c r="G1542" s="6"/>
      <c r="H1542" s="6"/>
      <c r="I1542" s="6" t="s">
        <v>100</v>
      </c>
      <c r="J1542" s="6"/>
      <c r="K1542" s="6"/>
      <c r="L1542" s="6" t="s">
        <v>418</v>
      </c>
      <c r="M1542" s="6"/>
      <c r="N1542" s="6" t="s">
        <v>419</v>
      </c>
      <c r="O1542" s="6" t="str">
        <f>HYPERLINK("https://ceds.ed.gov/cedselementdetails.aspx?termid=5962")</f>
        <v>https://ceds.ed.gov/cedselementdetails.aspx?termid=5962</v>
      </c>
      <c r="P1542" s="6" t="str">
        <f>HYPERLINK("https://ceds.ed.gov/elementComment.aspx?elementName=Assessment Administration Code &amp;elementID=5962", "Click here to submit comment")</f>
        <v>Click here to submit comment</v>
      </c>
    </row>
    <row r="1543" spans="1:16" ht="45">
      <c r="A1543" s="6" t="s">
        <v>6788</v>
      </c>
      <c r="B1543" s="6" t="s">
        <v>6784</v>
      </c>
      <c r="C1543" s="6" t="s">
        <v>6786</v>
      </c>
      <c r="D1543" s="6" t="s">
        <v>437</v>
      </c>
      <c r="E1543" s="6" t="s">
        <v>438</v>
      </c>
      <c r="F1543" s="6" t="s">
        <v>13</v>
      </c>
      <c r="G1543" s="6"/>
      <c r="H1543" s="6"/>
      <c r="I1543" s="6" t="s">
        <v>73</v>
      </c>
      <c r="J1543" s="6"/>
      <c r="K1543" s="6"/>
      <c r="L1543" s="6" t="s">
        <v>439</v>
      </c>
      <c r="M1543" s="6"/>
      <c r="N1543" s="6" t="s">
        <v>440</v>
      </c>
      <c r="O1543" s="6" t="str">
        <f>HYPERLINK("https://ceds.ed.gov/cedselementdetails.aspx?termid=5963")</f>
        <v>https://ceds.ed.gov/cedselementdetails.aspx?termid=5963</v>
      </c>
      <c r="P1543" s="6" t="str">
        <f>HYPERLINK("https://ceds.ed.gov/elementComment.aspx?elementName=Assessment Administration Start Date &amp;elementID=5963", "Click here to submit comment")</f>
        <v>Click here to submit comment</v>
      </c>
    </row>
    <row r="1544" spans="1:16" ht="45">
      <c r="A1544" s="6" t="s">
        <v>6788</v>
      </c>
      <c r="B1544" s="6" t="s">
        <v>6784</v>
      </c>
      <c r="C1544" s="6" t="s">
        <v>6786</v>
      </c>
      <c r="D1544" s="6" t="s">
        <v>441</v>
      </c>
      <c r="E1544" s="6" t="s">
        <v>442</v>
      </c>
      <c r="F1544" s="6" t="s">
        <v>13</v>
      </c>
      <c r="G1544" s="6"/>
      <c r="H1544" s="6"/>
      <c r="I1544" s="6" t="s">
        <v>426</v>
      </c>
      <c r="J1544" s="6"/>
      <c r="K1544" s="6"/>
      <c r="L1544" s="6" t="s">
        <v>443</v>
      </c>
      <c r="M1544" s="6"/>
      <c r="N1544" s="6" t="s">
        <v>444</v>
      </c>
      <c r="O1544" s="6" t="str">
        <f>HYPERLINK("https://ceds.ed.gov/cedselementdetails.aspx?termid=5964")</f>
        <v>https://ceds.ed.gov/cedselementdetails.aspx?termid=5964</v>
      </c>
      <c r="P1544" s="6" t="str">
        <f>HYPERLINK("https://ceds.ed.gov/elementComment.aspx?elementName=Assessment Administration Start Time &amp;elementID=5964", "Click here to submit comment")</f>
        <v>Click here to submit comment</v>
      </c>
    </row>
    <row r="1545" spans="1:16" ht="45">
      <c r="A1545" s="6" t="s">
        <v>6788</v>
      </c>
      <c r="B1545" s="6" t="s">
        <v>6784</v>
      </c>
      <c r="C1545" s="6" t="s">
        <v>6786</v>
      </c>
      <c r="D1545" s="6" t="s">
        <v>420</v>
      </c>
      <c r="E1545" s="6" t="s">
        <v>421</v>
      </c>
      <c r="F1545" s="6" t="s">
        <v>13</v>
      </c>
      <c r="G1545" s="6"/>
      <c r="H1545" s="6"/>
      <c r="I1545" s="6" t="s">
        <v>73</v>
      </c>
      <c r="J1545" s="6"/>
      <c r="K1545" s="6"/>
      <c r="L1545" s="6" t="s">
        <v>422</v>
      </c>
      <c r="M1545" s="6"/>
      <c r="N1545" s="6" t="s">
        <v>423</v>
      </c>
      <c r="O1545" s="6" t="str">
        <f>HYPERLINK("https://ceds.ed.gov/cedselementdetails.aspx?termid=5965")</f>
        <v>https://ceds.ed.gov/cedselementdetails.aspx?termid=5965</v>
      </c>
      <c r="P1545" s="6" t="str">
        <f>HYPERLINK("https://ceds.ed.gov/elementComment.aspx?elementName=Assessment Administration Finish Date &amp;elementID=5965", "Click here to submit comment")</f>
        <v>Click here to submit comment</v>
      </c>
    </row>
    <row r="1546" spans="1:16" ht="45">
      <c r="A1546" s="6" t="s">
        <v>6788</v>
      </c>
      <c r="B1546" s="6" t="s">
        <v>6784</v>
      </c>
      <c r="C1546" s="6" t="s">
        <v>6786</v>
      </c>
      <c r="D1546" s="6" t="s">
        <v>424</v>
      </c>
      <c r="E1546" s="6" t="s">
        <v>425</v>
      </c>
      <c r="F1546" s="6" t="s">
        <v>13</v>
      </c>
      <c r="G1546" s="6"/>
      <c r="H1546" s="6"/>
      <c r="I1546" s="6" t="s">
        <v>426</v>
      </c>
      <c r="J1546" s="6"/>
      <c r="K1546" s="6"/>
      <c r="L1546" s="6" t="s">
        <v>427</v>
      </c>
      <c r="M1546" s="6"/>
      <c r="N1546" s="6" t="s">
        <v>428</v>
      </c>
      <c r="O1546" s="6" t="str">
        <f>HYPERLINK("https://ceds.ed.gov/cedselementdetails.aspx?termid=5966")</f>
        <v>https://ceds.ed.gov/cedselementdetails.aspx?termid=5966</v>
      </c>
      <c r="P1546" s="6" t="str">
        <f>HYPERLINK("https://ceds.ed.gov/elementComment.aspx?elementName=Assessment Administration Finish Time &amp;elementID=5966", "Click here to submit comment")</f>
        <v>Click here to submit comment</v>
      </c>
    </row>
    <row r="1547" spans="1:16" ht="45">
      <c r="A1547" s="6" t="s">
        <v>6788</v>
      </c>
      <c r="B1547" s="6" t="s">
        <v>6784</v>
      </c>
      <c r="C1547" s="6" t="s">
        <v>6786</v>
      </c>
      <c r="D1547" s="6" t="s">
        <v>1224</v>
      </c>
      <c r="E1547" s="6" t="s">
        <v>1225</v>
      </c>
      <c r="F1547" s="6" t="s">
        <v>5963</v>
      </c>
      <c r="G1547" s="6" t="s">
        <v>5992</v>
      </c>
      <c r="H1547" s="6" t="s">
        <v>3</v>
      </c>
      <c r="I1547" s="6"/>
      <c r="J1547" s="6"/>
      <c r="K1547" s="6"/>
      <c r="L1547" s="6" t="s">
        <v>1226</v>
      </c>
      <c r="M1547" s="6"/>
      <c r="N1547" s="6" t="s">
        <v>1227</v>
      </c>
      <c r="O1547" s="6" t="str">
        <f>HYPERLINK("https://ceds.ed.gov/cedselementdetails.aspx?termid=5375")</f>
        <v>https://ceds.ed.gov/cedselementdetails.aspx?termid=5375</v>
      </c>
      <c r="P1547" s="6" t="str">
        <f>HYPERLINK("https://ceds.ed.gov/elementComment.aspx?elementName=Assessment Secure Indicator &amp;elementID=5375", "Click here to submit comment")</f>
        <v>Click here to submit comment</v>
      </c>
    </row>
    <row r="1548" spans="1:16" ht="285">
      <c r="A1548" s="6" t="s">
        <v>6788</v>
      </c>
      <c r="B1548" s="6" t="s">
        <v>6784</v>
      </c>
      <c r="C1548" s="6" t="s">
        <v>6786</v>
      </c>
      <c r="D1548" s="6" t="s">
        <v>4017</v>
      </c>
      <c r="E1548" s="6" t="s">
        <v>4018</v>
      </c>
      <c r="F1548" s="7" t="s">
        <v>6577</v>
      </c>
      <c r="G1548" s="6" t="s">
        <v>6252</v>
      </c>
      <c r="H1548" s="6"/>
      <c r="I1548" s="6"/>
      <c r="J1548" s="6"/>
      <c r="K1548" s="6"/>
      <c r="L1548" s="6" t="s">
        <v>4019</v>
      </c>
      <c r="M1548" s="6" t="s">
        <v>4020</v>
      </c>
      <c r="N1548" s="6" t="s">
        <v>4021</v>
      </c>
      <c r="O1548" s="6" t="str">
        <f>HYPERLINK("https://ceds.ed.gov/cedselementdetails.aspx?termid=5159")</f>
        <v>https://ceds.ed.gov/cedselementdetails.aspx?termid=5159</v>
      </c>
      <c r="P1548" s="6" t="str">
        <f>HYPERLINK("https://ceds.ed.gov/elementComment.aspx?elementName=Local Education Agency Identification System &amp;elementID=5159", "Click here to submit comment")</f>
        <v>Click here to submit comment</v>
      </c>
    </row>
    <row r="1549" spans="1:16" ht="120">
      <c r="A1549" s="6" t="s">
        <v>6788</v>
      </c>
      <c r="B1549" s="6" t="s">
        <v>6784</v>
      </c>
      <c r="C1549" s="6" t="s">
        <v>6786</v>
      </c>
      <c r="D1549" s="6" t="s">
        <v>4022</v>
      </c>
      <c r="E1549" s="6" t="s">
        <v>4023</v>
      </c>
      <c r="F1549" s="6" t="s">
        <v>13</v>
      </c>
      <c r="G1549" s="6" t="s">
        <v>6252</v>
      </c>
      <c r="H1549" s="6"/>
      <c r="I1549" s="6" t="s">
        <v>100</v>
      </c>
      <c r="J1549" s="6"/>
      <c r="K1549" s="6"/>
      <c r="L1549" s="6" t="s">
        <v>4024</v>
      </c>
      <c r="M1549" s="6" t="s">
        <v>4025</v>
      </c>
      <c r="N1549" s="6" t="s">
        <v>4026</v>
      </c>
      <c r="O1549" s="6" t="str">
        <f>HYPERLINK("https://ceds.ed.gov/cedselementdetails.aspx?termid=5153")</f>
        <v>https://ceds.ed.gov/cedselementdetails.aspx?termid=5153</v>
      </c>
      <c r="P1549" s="6" t="str">
        <f>HYPERLINK("https://ceds.ed.gov/elementComment.aspx?elementName=Local Education Agency Identifier &amp;elementID=5153", "Click here to submit comment")</f>
        <v>Click here to submit comment</v>
      </c>
    </row>
    <row r="1550" spans="1:16" ht="360">
      <c r="A1550" s="6" t="s">
        <v>6788</v>
      </c>
      <c r="B1550" s="6" t="s">
        <v>6784</v>
      </c>
      <c r="C1550" s="6" t="s">
        <v>6786</v>
      </c>
      <c r="D1550" s="6" t="s">
        <v>5221</v>
      </c>
      <c r="E1550" s="6" t="s">
        <v>265</v>
      </c>
      <c r="F1550" s="7" t="s">
        <v>6645</v>
      </c>
      <c r="G1550" s="6" t="s">
        <v>6308</v>
      </c>
      <c r="H1550" s="6"/>
      <c r="I1550" s="6"/>
      <c r="J1550" s="6"/>
      <c r="K1550" s="6"/>
      <c r="L1550" s="6" t="s">
        <v>5222</v>
      </c>
      <c r="M1550" s="6"/>
      <c r="N1550" s="6" t="s">
        <v>5223</v>
      </c>
      <c r="O1550" s="6" t="str">
        <f>HYPERLINK("https://ceds.ed.gov/cedselementdetails.aspx?termid=5161")</f>
        <v>https://ceds.ed.gov/cedselementdetails.aspx?termid=5161</v>
      </c>
      <c r="P1550" s="6" t="str">
        <f>HYPERLINK("https://ceds.ed.gov/elementComment.aspx?elementName=School Identification System &amp;elementID=5161", "Click here to submit comment")</f>
        <v>Click here to submit comment</v>
      </c>
    </row>
    <row r="1551" spans="1:16" ht="165">
      <c r="A1551" s="6" t="s">
        <v>6788</v>
      </c>
      <c r="B1551" s="6" t="s">
        <v>6784</v>
      </c>
      <c r="C1551" s="6" t="s">
        <v>6786</v>
      </c>
      <c r="D1551" s="6" t="s">
        <v>5224</v>
      </c>
      <c r="E1551" s="6" t="s">
        <v>269</v>
      </c>
      <c r="F1551" s="6" t="s">
        <v>13</v>
      </c>
      <c r="G1551" s="6" t="s">
        <v>6308</v>
      </c>
      <c r="H1551" s="6"/>
      <c r="I1551" s="6" t="s">
        <v>100</v>
      </c>
      <c r="J1551" s="6"/>
      <c r="K1551" s="6"/>
      <c r="L1551" s="6" t="s">
        <v>5225</v>
      </c>
      <c r="M1551" s="6"/>
      <c r="N1551" s="6" t="s">
        <v>5226</v>
      </c>
      <c r="O1551" s="6" t="str">
        <f>HYPERLINK("https://ceds.ed.gov/cedselementdetails.aspx?termid=5155")</f>
        <v>https://ceds.ed.gov/cedselementdetails.aspx?termid=5155</v>
      </c>
      <c r="P1551" s="6" t="str">
        <f>HYPERLINK("https://ceds.ed.gov/elementComment.aspx?elementName=School Identifier &amp;elementID=5155", "Click here to submit comment")</f>
        <v>Click here to submit comment</v>
      </c>
    </row>
    <row r="1552" spans="1:16" ht="75">
      <c r="A1552" s="6" t="s">
        <v>6788</v>
      </c>
      <c r="B1552" s="6" t="s">
        <v>6784</v>
      </c>
      <c r="C1552" s="6" t="s">
        <v>6786</v>
      </c>
      <c r="D1552" s="6" t="s">
        <v>411</v>
      </c>
      <c r="E1552" s="6" t="s">
        <v>412</v>
      </c>
      <c r="F1552" s="6" t="s">
        <v>13</v>
      </c>
      <c r="G1552" s="6"/>
      <c r="H1552" s="6"/>
      <c r="I1552" s="6" t="s">
        <v>106</v>
      </c>
      <c r="J1552" s="6"/>
      <c r="K1552" s="6" t="s">
        <v>413</v>
      </c>
      <c r="L1552" s="6" t="s">
        <v>414</v>
      </c>
      <c r="M1552" s="6"/>
      <c r="N1552" s="6" t="s">
        <v>415</v>
      </c>
      <c r="O1552" s="6" t="str">
        <f>HYPERLINK("https://ceds.ed.gov/cedselementdetails.aspx?termid=5968")</f>
        <v>https://ceds.ed.gov/cedselementdetails.aspx?termid=5968</v>
      </c>
      <c r="P1552" s="6" t="str">
        <f>HYPERLINK("https://ceds.ed.gov/elementComment.aspx?elementName=Assessment Administration Assessment Family &amp;elementID=5968", "Click here to submit comment")</f>
        <v>Click here to submit comment</v>
      </c>
    </row>
    <row r="1553" spans="1:16" ht="45">
      <c r="A1553" s="6" t="s">
        <v>6788</v>
      </c>
      <c r="B1553" s="6" t="s">
        <v>6784</v>
      </c>
      <c r="C1553" s="6" t="s">
        <v>6848</v>
      </c>
      <c r="D1553" s="6" t="s">
        <v>1000</v>
      </c>
      <c r="E1553" s="6" t="s">
        <v>1001</v>
      </c>
      <c r="F1553" s="5" t="s">
        <v>939</v>
      </c>
      <c r="G1553" s="6"/>
      <c r="H1553" s="6"/>
      <c r="I1553" s="6"/>
      <c r="J1553" s="6"/>
      <c r="K1553" s="6"/>
      <c r="L1553" s="6" t="s">
        <v>1002</v>
      </c>
      <c r="M1553" s="6"/>
      <c r="N1553" s="6" t="s">
        <v>1003</v>
      </c>
      <c r="O1553" s="6" t="str">
        <f>HYPERLINK("https://ceds.ed.gov/cedselementdetails.aspx?termid=6025")</f>
        <v>https://ceds.ed.gov/cedselementdetails.aspx?termid=6025</v>
      </c>
      <c r="P1553" s="6" t="str">
        <f>HYPERLINK("https://ceds.ed.gov/elementComment.aspx?elementName=Assessment Need Language Type &amp;elementID=6025", "Click here to submit comment")</f>
        <v>Click here to submit comment</v>
      </c>
    </row>
    <row r="1554" spans="1:16" ht="30">
      <c r="A1554" s="6" t="s">
        <v>6788</v>
      </c>
      <c r="B1554" s="6" t="s">
        <v>6784</v>
      </c>
      <c r="C1554" s="6" t="s">
        <v>6848</v>
      </c>
      <c r="D1554" s="6" t="s">
        <v>1070</v>
      </c>
      <c r="E1554" s="6" t="s">
        <v>1071</v>
      </c>
      <c r="F1554" s="6" t="s">
        <v>13</v>
      </c>
      <c r="G1554" s="6"/>
      <c r="H1554" s="6"/>
      <c r="I1554" s="6" t="s">
        <v>319</v>
      </c>
      <c r="J1554" s="6"/>
      <c r="K1554" s="6"/>
      <c r="L1554" s="6" t="s">
        <v>1072</v>
      </c>
      <c r="M1554" s="6"/>
      <c r="N1554" s="6" t="s">
        <v>1073</v>
      </c>
      <c r="O1554" s="6" t="str">
        <f>HYPERLINK("https://ceds.ed.gov/cedselementdetails.aspx?termid=6101")</f>
        <v>https://ceds.ed.gov/cedselementdetails.aspx?termid=6101</v>
      </c>
      <c r="P1554" s="6" t="str">
        <f>HYPERLINK("https://ceds.ed.gov/elementComment.aspx?elementName=Assessment Need Type &amp;elementID=6101", "Click here to submit comment")</f>
        <v>Click here to submit comment</v>
      </c>
    </row>
    <row r="1555" spans="1:16" ht="60">
      <c r="A1555" s="6" t="s">
        <v>6788</v>
      </c>
      <c r="B1555" s="6" t="s">
        <v>6784</v>
      </c>
      <c r="C1555" s="6" t="s">
        <v>6848</v>
      </c>
      <c r="D1555" s="6" t="s">
        <v>1142</v>
      </c>
      <c r="E1555" s="6" t="s">
        <v>1143</v>
      </c>
      <c r="F1555" s="6" t="s">
        <v>5963</v>
      </c>
      <c r="G1555" s="6"/>
      <c r="H1555" s="6"/>
      <c r="I1555" s="6"/>
      <c r="J1555" s="6"/>
      <c r="K1555" s="6" t="s">
        <v>1144</v>
      </c>
      <c r="L1555" s="6" t="s">
        <v>1145</v>
      </c>
      <c r="M1555" s="6"/>
      <c r="N1555" s="6" t="s">
        <v>1146</v>
      </c>
      <c r="O1555" s="6" t="str">
        <f>HYPERLINK("https://ceds.ed.gov/cedselementdetails.aspx?termid=6008")</f>
        <v>https://ceds.ed.gov/cedselementdetails.aspx?termid=6008</v>
      </c>
      <c r="P1555" s="6" t="str">
        <f>HYPERLINK("https://ceds.ed.gov/elementComment.aspx?elementName=Assessment Personal Needs Profile Activate By Default &amp;elementID=6008", "Click here to submit comment")</f>
        <v>Click here to submit comment</v>
      </c>
    </row>
    <row r="1556" spans="1:16" ht="60">
      <c r="A1556" s="6" t="s">
        <v>6788</v>
      </c>
      <c r="B1556" s="6" t="s">
        <v>6784</v>
      </c>
      <c r="C1556" s="6" t="s">
        <v>6848</v>
      </c>
      <c r="D1556" s="6" t="s">
        <v>1147</v>
      </c>
      <c r="E1556" s="6" t="s">
        <v>1148</v>
      </c>
      <c r="F1556" s="6" t="s">
        <v>5963</v>
      </c>
      <c r="G1556" s="6"/>
      <c r="H1556" s="6"/>
      <c r="I1556" s="6"/>
      <c r="J1556" s="6"/>
      <c r="K1556" s="6" t="s">
        <v>1144</v>
      </c>
      <c r="L1556" s="6" t="s">
        <v>1149</v>
      </c>
      <c r="M1556" s="6"/>
      <c r="N1556" s="6" t="s">
        <v>1150</v>
      </c>
      <c r="O1556" s="6" t="str">
        <f>HYPERLINK("https://ceds.ed.gov/cedselementdetails.aspx?termid=6007")</f>
        <v>https://ceds.ed.gov/cedselementdetails.aspx?termid=6007</v>
      </c>
      <c r="P1556" s="6" t="str">
        <f>HYPERLINK("https://ceds.ed.gov/elementComment.aspx?elementName=Assessment Personal Needs Profile Assigned Support &amp;elementID=6007", "Click here to submit comment")</f>
        <v>Click here to submit comment</v>
      </c>
    </row>
    <row r="1557" spans="1:16" ht="90">
      <c r="A1557" s="6" t="s">
        <v>6788</v>
      </c>
      <c r="B1557" s="6" t="s">
        <v>6784</v>
      </c>
      <c r="C1557" s="6" t="s">
        <v>6849</v>
      </c>
      <c r="D1557" s="6" t="s">
        <v>946</v>
      </c>
      <c r="E1557" s="6" t="s">
        <v>947</v>
      </c>
      <c r="F1557" s="6" t="s">
        <v>6031</v>
      </c>
      <c r="G1557" s="6"/>
      <c r="H1557" s="6"/>
      <c r="I1557" s="6"/>
      <c r="J1557" s="6"/>
      <c r="K1557" s="6"/>
      <c r="L1557" s="6" t="s">
        <v>948</v>
      </c>
      <c r="M1557" s="6"/>
      <c r="N1557" s="6" t="s">
        <v>949</v>
      </c>
      <c r="O1557" s="6" t="str">
        <f>HYPERLINK("https://ceds.ed.gov/cedselementdetails.aspx?termid=6045")</f>
        <v>https://ceds.ed.gov/cedselementdetails.aspx?termid=6045</v>
      </c>
      <c r="P1557" s="6" t="str">
        <f>HYPERLINK("https://ceds.ed.gov/elementComment.aspx?elementName=Assessment Need Alternative Representation Type &amp;elementID=6045", "Click here to submit comment")</f>
        <v>Click here to submit comment</v>
      </c>
    </row>
    <row r="1558" spans="1:16" ht="75">
      <c r="A1558" s="6" t="s">
        <v>6788</v>
      </c>
      <c r="B1558" s="6" t="s">
        <v>6784</v>
      </c>
      <c r="C1558" s="6" t="s">
        <v>6849</v>
      </c>
      <c r="D1558" s="6" t="s">
        <v>972</v>
      </c>
      <c r="E1558" s="6" t="s">
        <v>973</v>
      </c>
      <c r="F1558" s="6" t="s">
        <v>5963</v>
      </c>
      <c r="G1558" s="6"/>
      <c r="H1558" s="6"/>
      <c r="I1558" s="6"/>
      <c r="J1558" s="6"/>
      <c r="K1558" s="6"/>
      <c r="L1558" s="6" t="s">
        <v>974</v>
      </c>
      <c r="M1558" s="6"/>
      <c r="N1558" s="6" t="s">
        <v>975</v>
      </c>
      <c r="O1558" s="6" t="str">
        <f>HYPERLINK("https://ceds.ed.gov/cedselementdetails.aspx?termid=6050")</f>
        <v>https://ceds.ed.gov/cedselementdetails.aspx?termid=6050</v>
      </c>
      <c r="P1558" s="6" t="str">
        <f>HYPERLINK("https://ceds.ed.gov/elementComment.aspx?elementName=Assessment Need Directions Only &amp;elementID=6050", "Click here to submit comment")</f>
        <v>Click here to submit comment</v>
      </c>
    </row>
    <row r="1559" spans="1:16" ht="90">
      <c r="A1559" s="6" t="s">
        <v>6788</v>
      </c>
      <c r="B1559" s="6" t="s">
        <v>6784</v>
      </c>
      <c r="C1559" s="6" t="s">
        <v>6849</v>
      </c>
      <c r="D1559" s="6" t="s">
        <v>980</v>
      </c>
      <c r="E1559" s="6" t="s">
        <v>981</v>
      </c>
      <c r="F1559" s="7" t="s">
        <v>6391</v>
      </c>
      <c r="G1559" s="6"/>
      <c r="H1559" s="6"/>
      <c r="I1559" s="6"/>
      <c r="J1559" s="6"/>
      <c r="K1559" s="6"/>
      <c r="L1559" s="6" t="s">
        <v>982</v>
      </c>
      <c r="M1559" s="6"/>
      <c r="N1559" s="6" t="s">
        <v>983</v>
      </c>
      <c r="O1559" s="6" t="str">
        <f>HYPERLINK("https://ceds.ed.gov/cedselementdetails.aspx?termid=6026")</f>
        <v>https://ceds.ed.gov/cedselementdetails.aspx?termid=6026</v>
      </c>
      <c r="P1559" s="6" t="str">
        <f>HYPERLINK("https://ceds.ed.gov/elementComment.aspx?elementName=Assessment Need Hazard Type &amp;elementID=6026", "Click here to submit comment")</f>
        <v>Click here to submit comment</v>
      </c>
    </row>
    <row r="1560" spans="1:16" ht="60">
      <c r="A1560" s="6" t="s">
        <v>6788</v>
      </c>
      <c r="B1560" s="6" t="s">
        <v>6784</v>
      </c>
      <c r="C1560" s="6" t="s">
        <v>6849</v>
      </c>
      <c r="D1560" s="6" t="s">
        <v>992</v>
      </c>
      <c r="E1560" s="6" t="s">
        <v>993</v>
      </c>
      <c r="F1560" s="5" t="s">
        <v>939</v>
      </c>
      <c r="G1560" s="6"/>
      <c r="H1560" s="6"/>
      <c r="I1560" s="6"/>
      <c r="J1560" s="6"/>
      <c r="K1560" s="6"/>
      <c r="L1560" s="6" t="s">
        <v>994</v>
      </c>
      <c r="M1560" s="6"/>
      <c r="N1560" s="6" t="s">
        <v>995</v>
      </c>
      <c r="O1560" s="6" t="str">
        <f>HYPERLINK("https://ceds.ed.gov/cedselementdetails.aspx?termid=6042")</f>
        <v>https://ceds.ed.gov/cedselementdetails.aspx?termid=6042</v>
      </c>
      <c r="P1560" s="6" t="str">
        <f>HYPERLINK("https://ceds.ed.gov/elementComment.aspx?elementName=Assessment Need Item Translation Display Language Type &amp;elementID=6042", "Click here to submit comment")</f>
        <v>Click here to submit comment</v>
      </c>
    </row>
    <row r="1561" spans="1:16" ht="60">
      <c r="A1561" s="6" t="s">
        <v>6788</v>
      </c>
      <c r="B1561" s="6" t="s">
        <v>6784</v>
      </c>
      <c r="C1561" s="6" t="s">
        <v>6849</v>
      </c>
      <c r="D1561" s="6" t="s">
        <v>996</v>
      </c>
      <c r="E1561" s="6" t="s">
        <v>997</v>
      </c>
      <c r="F1561" s="5" t="s">
        <v>939</v>
      </c>
      <c r="G1561" s="6"/>
      <c r="H1561" s="6"/>
      <c r="I1561" s="6"/>
      <c r="J1561" s="6"/>
      <c r="K1561" s="6"/>
      <c r="L1561" s="6" t="s">
        <v>998</v>
      </c>
      <c r="M1561" s="6"/>
      <c r="N1561" s="6" t="s">
        <v>999</v>
      </c>
      <c r="O1561" s="6" t="str">
        <f>HYPERLINK("https://ceds.ed.gov/cedselementdetails.aspx?termid=6043")</f>
        <v>https://ceds.ed.gov/cedselementdetails.aspx?termid=6043</v>
      </c>
      <c r="P1561" s="6" t="str">
        <f>HYPERLINK("https://ceds.ed.gov/elementComment.aspx?elementName=Assessment Need Keyword Translation Language Type &amp;elementID=6043", "Click here to submit comment")</f>
        <v>Click here to submit comment</v>
      </c>
    </row>
    <row r="1562" spans="1:16" ht="225">
      <c r="A1562" s="6" t="s">
        <v>6788</v>
      </c>
      <c r="B1562" s="6" t="s">
        <v>6784</v>
      </c>
      <c r="C1562" s="6" t="s">
        <v>6849</v>
      </c>
      <c r="D1562" s="6" t="s">
        <v>1057</v>
      </c>
      <c r="E1562" s="6" t="s">
        <v>1058</v>
      </c>
      <c r="F1562" s="7" t="s">
        <v>6395</v>
      </c>
      <c r="G1562" s="6"/>
      <c r="H1562" s="6"/>
      <c r="I1562" s="6"/>
      <c r="J1562" s="6"/>
      <c r="K1562" s="6"/>
      <c r="L1562" s="6" t="s">
        <v>1059</v>
      </c>
      <c r="M1562" s="6"/>
      <c r="N1562" s="6" t="s">
        <v>1060</v>
      </c>
      <c r="O1562" s="6" t="str">
        <f>HYPERLINK("https://ceds.ed.gov/cedselementdetails.aspx?termid=6027")</f>
        <v>https://ceds.ed.gov/cedselementdetails.aspx?termid=6027</v>
      </c>
      <c r="P1562" s="6" t="str">
        <f>HYPERLINK("https://ceds.ed.gov/elementComment.aspx?elementName=Assessment Need Support Tool Type &amp;elementID=6027", "Click here to submit comment")</f>
        <v>Click here to submit comment</v>
      </c>
    </row>
    <row r="1563" spans="1:16" ht="105">
      <c r="A1563" s="6" t="s">
        <v>6788</v>
      </c>
      <c r="B1563" s="6" t="s">
        <v>6784</v>
      </c>
      <c r="C1563" s="6" t="s">
        <v>6849</v>
      </c>
      <c r="D1563" s="6" t="s">
        <v>1078</v>
      </c>
      <c r="E1563" s="6" t="s">
        <v>1079</v>
      </c>
      <c r="F1563" s="7" t="s">
        <v>6397</v>
      </c>
      <c r="G1563" s="6"/>
      <c r="H1563" s="6"/>
      <c r="I1563" s="6"/>
      <c r="J1563" s="6"/>
      <c r="K1563" s="6"/>
      <c r="L1563" s="6" t="s">
        <v>1080</v>
      </c>
      <c r="M1563" s="6"/>
      <c r="N1563" s="6" t="s">
        <v>1081</v>
      </c>
      <c r="O1563" s="6" t="str">
        <f>HYPERLINK("https://ceds.ed.gov/cedselementdetails.aspx?termid=6049")</f>
        <v>https://ceds.ed.gov/cedselementdetails.aspx?termid=6049</v>
      </c>
      <c r="P1563" s="6" t="str">
        <f>HYPERLINK("https://ceds.ed.gov/elementComment.aspx?elementName=Assessment Need User Spoken Preference Type &amp;elementID=6049", "Click here to submit comment")</f>
        <v>Click here to submit comment</v>
      </c>
    </row>
    <row r="1564" spans="1:16" ht="105">
      <c r="A1564" s="6" t="s">
        <v>6788</v>
      </c>
      <c r="B1564" s="6" t="s">
        <v>6784</v>
      </c>
      <c r="C1564" s="6" t="s">
        <v>6850</v>
      </c>
      <c r="D1564" s="6" t="s">
        <v>1065</v>
      </c>
      <c r="E1564" s="6" t="s">
        <v>1066</v>
      </c>
      <c r="F1564" s="6" t="s">
        <v>13</v>
      </c>
      <c r="G1564" s="6"/>
      <c r="H1564" s="6"/>
      <c r="I1564" s="6" t="s">
        <v>1067</v>
      </c>
      <c r="J1564" s="6"/>
      <c r="K1564" s="6"/>
      <c r="L1564" s="6" t="s">
        <v>1068</v>
      </c>
      <c r="M1564" s="6"/>
      <c r="N1564" s="6" t="s">
        <v>1069</v>
      </c>
      <c r="O1564" s="6" t="str">
        <f>HYPERLINK("https://ceds.ed.gov/cedselementdetails.aspx?termid=6055")</f>
        <v>https://ceds.ed.gov/cedselementdetails.aspx?termid=6055</v>
      </c>
      <c r="P1564" s="6" t="str">
        <f>HYPERLINK("https://ceds.ed.gov/elementComment.aspx?elementName=Assessment Need Time Multiplier &amp;elementID=6055", "Click here to submit comment")</f>
        <v>Click here to submit comment</v>
      </c>
    </row>
    <row r="1565" spans="1:16" ht="60">
      <c r="A1565" s="6" t="s">
        <v>6788</v>
      </c>
      <c r="B1565" s="6" t="s">
        <v>6784</v>
      </c>
      <c r="C1565" s="6" t="s">
        <v>6851</v>
      </c>
      <c r="D1565" s="6" t="s">
        <v>955</v>
      </c>
      <c r="E1565" s="6" t="s">
        <v>956</v>
      </c>
      <c r="F1565" s="6" t="s">
        <v>13</v>
      </c>
      <c r="G1565" s="6"/>
      <c r="H1565" s="6"/>
      <c r="I1565" s="6" t="s">
        <v>957</v>
      </c>
      <c r="J1565" s="6"/>
      <c r="K1565" s="6"/>
      <c r="L1565" s="6" t="s">
        <v>958</v>
      </c>
      <c r="M1565" s="6"/>
      <c r="N1565" s="6" t="s">
        <v>959</v>
      </c>
      <c r="O1565" s="6" t="str">
        <f>HYPERLINK("https://ceds.ed.gov/cedselementdetails.aspx?termid=6040")</f>
        <v>https://ceds.ed.gov/cedselementdetails.aspx?termid=6040</v>
      </c>
      <c r="P1565" s="6" t="str">
        <f>HYPERLINK("https://ceds.ed.gov/elementComment.aspx?elementName=Assessment Need Braille Dot Pressure &amp;elementID=6040", "Click here to submit comment")</f>
        <v>Click here to submit comment</v>
      </c>
    </row>
    <row r="1566" spans="1:16" ht="60">
      <c r="A1566" s="6" t="s">
        <v>6788</v>
      </c>
      <c r="B1566" s="6" t="s">
        <v>6784</v>
      </c>
      <c r="C1566" s="6" t="s">
        <v>6851</v>
      </c>
      <c r="D1566" s="6" t="s">
        <v>960</v>
      </c>
      <c r="E1566" s="6" t="s">
        <v>961</v>
      </c>
      <c r="F1566" s="6" t="s">
        <v>6035</v>
      </c>
      <c r="G1566" s="6"/>
      <c r="H1566" s="6"/>
      <c r="I1566" s="6"/>
      <c r="J1566" s="6"/>
      <c r="K1566" s="6"/>
      <c r="L1566" s="6" t="s">
        <v>962</v>
      </c>
      <c r="M1566" s="6"/>
      <c r="N1566" s="6" t="s">
        <v>963</v>
      </c>
      <c r="O1566" s="6" t="str">
        <f>HYPERLINK("https://ceds.ed.gov/cedselementdetails.aspx?termid=6035")</f>
        <v>https://ceds.ed.gov/cedselementdetails.aspx?termid=6035</v>
      </c>
      <c r="P1566" s="6" t="str">
        <f>HYPERLINK("https://ceds.ed.gov/elementComment.aspx?elementName=Assessment Need Braille Grade Type &amp;elementID=6035", "Click here to submit comment")</f>
        <v>Click here to submit comment</v>
      </c>
    </row>
    <row r="1567" spans="1:16" ht="105">
      <c r="A1567" s="6" t="s">
        <v>6788</v>
      </c>
      <c r="B1567" s="6" t="s">
        <v>6784</v>
      </c>
      <c r="C1567" s="6" t="s">
        <v>6851</v>
      </c>
      <c r="D1567" s="6" t="s">
        <v>964</v>
      </c>
      <c r="E1567" s="6" t="s">
        <v>965</v>
      </c>
      <c r="F1567" s="6" t="s">
        <v>6036</v>
      </c>
      <c r="G1567" s="6"/>
      <c r="H1567" s="6"/>
      <c r="I1567" s="6"/>
      <c r="J1567" s="6"/>
      <c r="K1567" s="6"/>
      <c r="L1567" s="6" t="s">
        <v>966</v>
      </c>
      <c r="M1567" s="6"/>
      <c r="N1567" s="6" t="s">
        <v>967</v>
      </c>
      <c r="O1567" s="6" t="str">
        <f>HYPERLINK("https://ceds.ed.gov/cedselementdetails.aspx?termid=6038")</f>
        <v>https://ceds.ed.gov/cedselementdetails.aspx?termid=6038</v>
      </c>
      <c r="P1567" s="6" t="str">
        <f>HYPERLINK("https://ceds.ed.gov/elementComment.aspx?elementName=Assessment Need Braille Mark Type &amp;elementID=6038", "Click here to submit comment")</f>
        <v>Click here to submit comment</v>
      </c>
    </row>
    <row r="1568" spans="1:16" ht="60">
      <c r="A1568" s="6" t="s">
        <v>6788</v>
      </c>
      <c r="B1568" s="6" t="s">
        <v>6784</v>
      </c>
      <c r="C1568" s="6" t="s">
        <v>6851</v>
      </c>
      <c r="D1568" s="6" t="s">
        <v>968</v>
      </c>
      <c r="E1568" s="6" t="s">
        <v>969</v>
      </c>
      <c r="F1568" s="6" t="s">
        <v>6037</v>
      </c>
      <c r="G1568" s="6"/>
      <c r="H1568" s="6"/>
      <c r="I1568" s="6"/>
      <c r="J1568" s="6"/>
      <c r="K1568" s="6"/>
      <c r="L1568" s="6" t="s">
        <v>970</v>
      </c>
      <c r="M1568" s="6"/>
      <c r="N1568" s="6" t="s">
        <v>971</v>
      </c>
      <c r="O1568" s="6" t="str">
        <f>HYPERLINK("https://ceds.ed.gov/cedselementdetails.aspx?termid=6041")</f>
        <v>https://ceds.ed.gov/cedselementdetails.aspx?termid=6041</v>
      </c>
      <c r="P1568" s="6" t="str">
        <f>HYPERLINK("https://ceds.ed.gov/elementComment.aspx?elementName=Assessment Need Braille Status Cell Type &amp;elementID=6041", "Click here to submit comment")</f>
        <v>Click here to submit comment</v>
      </c>
    </row>
    <row r="1569" spans="1:16" ht="60">
      <c r="A1569" s="6" t="s">
        <v>6788</v>
      </c>
      <c r="B1569" s="6" t="s">
        <v>6784</v>
      </c>
      <c r="C1569" s="6" t="s">
        <v>6851</v>
      </c>
      <c r="D1569" s="6" t="s">
        <v>988</v>
      </c>
      <c r="E1569" s="6" t="s">
        <v>989</v>
      </c>
      <c r="F1569" s="6" t="s">
        <v>5963</v>
      </c>
      <c r="G1569" s="6"/>
      <c r="H1569" s="6"/>
      <c r="I1569" s="6"/>
      <c r="J1569" s="6"/>
      <c r="K1569" s="6"/>
      <c r="L1569" s="6" t="s">
        <v>990</v>
      </c>
      <c r="M1569" s="6"/>
      <c r="N1569" s="6" t="s">
        <v>991</v>
      </c>
      <c r="O1569" s="6" t="str">
        <f>HYPERLINK("https://ceds.ed.gov/cedselementdetails.aspx?termid=6033")</f>
        <v>https://ceds.ed.gov/cedselementdetails.aspx?termid=6033</v>
      </c>
      <c r="P1569" s="6" t="str">
        <f>HYPERLINK("https://ceds.ed.gov/elementComment.aspx?elementName=Assessment Need Invert Color Choice &amp;elementID=6033", "Click here to submit comment")</f>
        <v>Click here to submit comment</v>
      </c>
    </row>
    <row r="1570" spans="1:16" ht="60">
      <c r="A1570" s="6" t="s">
        <v>6788</v>
      </c>
      <c r="B1570" s="6" t="s">
        <v>6784</v>
      </c>
      <c r="C1570" s="6" t="s">
        <v>6851</v>
      </c>
      <c r="D1570" s="6" t="s">
        <v>1004</v>
      </c>
      <c r="E1570" s="6" t="s">
        <v>1005</v>
      </c>
      <c r="F1570" s="6" t="s">
        <v>13</v>
      </c>
      <c r="G1570" s="6"/>
      <c r="H1570" s="6"/>
      <c r="I1570" s="6" t="s">
        <v>952</v>
      </c>
      <c r="J1570" s="6"/>
      <c r="K1570" s="6"/>
      <c r="L1570" s="6" t="s">
        <v>1006</v>
      </c>
      <c r="M1570" s="6"/>
      <c r="N1570" s="6" t="s">
        <v>1007</v>
      </c>
      <c r="O1570" s="6" t="str">
        <f>HYPERLINK("https://ceds.ed.gov/cedselementdetails.aspx?termid=6056")</f>
        <v>https://ceds.ed.gov/cedselementdetails.aspx?termid=6056</v>
      </c>
      <c r="P1570" s="6" t="str">
        <f>HYPERLINK("https://ceds.ed.gov/elementComment.aspx?elementName=Assessment Need Line Reader Highlight Color &amp;elementID=6056", "Click here to submit comment")</f>
        <v>Click here to submit comment</v>
      </c>
    </row>
    <row r="1571" spans="1:16" ht="105">
      <c r="A1571" s="6" t="s">
        <v>6788</v>
      </c>
      <c r="B1571" s="6" t="s">
        <v>6784</v>
      </c>
      <c r="C1571" s="6" t="s">
        <v>6851</v>
      </c>
      <c r="D1571" s="6" t="s">
        <v>1008</v>
      </c>
      <c r="E1571" s="6" t="s">
        <v>1009</v>
      </c>
      <c r="F1571" s="7" t="s">
        <v>6392</v>
      </c>
      <c r="G1571" s="6"/>
      <c r="H1571" s="6"/>
      <c r="I1571" s="6"/>
      <c r="J1571" s="6"/>
      <c r="K1571" s="6"/>
      <c r="L1571" s="6" t="s">
        <v>1010</v>
      </c>
      <c r="M1571" s="6"/>
      <c r="N1571" s="6" t="s">
        <v>1011</v>
      </c>
      <c r="O1571" s="6" t="str">
        <f>HYPERLINK("https://ceds.ed.gov/cedselementdetails.aspx?termid=6029")</f>
        <v>https://ceds.ed.gov/cedselementdetails.aspx?termid=6029</v>
      </c>
      <c r="P1571" s="6" t="str">
        <f>HYPERLINK("https://ceds.ed.gov/elementComment.aspx?elementName=Assessment Need Link Indication Type &amp;elementID=6029", "Click here to submit comment")</f>
        <v>Click here to submit comment</v>
      </c>
    </row>
    <row r="1572" spans="1:16" ht="60">
      <c r="A1572" s="6" t="s">
        <v>6788</v>
      </c>
      <c r="B1572" s="6" t="s">
        <v>6784</v>
      </c>
      <c r="C1572" s="6" t="s">
        <v>6851</v>
      </c>
      <c r="D1572" s="6" t="s">
        <v>1012</v>
      </c>
      <c r="E1572" s="6" t="s">
        <v>1013</v>
      </c>
      <c r="F1572" s="6" t="s">
        <v>13</v>
      </c>
      <c r="G1572" s="6"/>
      <c r="H1572" s="6"/>
      <c r="I1572" s="6" t="s">
        <v>957</v>
      </c>
      <c r="J1572" s="6"/>
      <c r="K1572" s="6"/>
      <c r="L1572" s="6" t="s">
        <v>1014</v>
      </c>
      <c r="M1572" s="6"/>
      <c r="N1572" s="6" t="s">
        <v>1015</v>
      </c>
      <c r="O1572" s="6" t="str">
        <f>HYPERLINK("https://ceds.ed.gov/cedselementdetails.aspx?termid=6034")</f>
        <v>https://ceds.ed.gov/cedselementdetails.aspx?termid=6034</v>
      </c>
      <c r="P1572" s="6" t="str">
        <f>HYPERLINK("https://ceds.ed.gov/elementComment.aspx?elementName=Assessment Need Magnification &amp;elementID=6034", "Click here to submit comment")</f>
        <v>Click here to submit comment</v>
      </c>
    </row>
    <row r="1573" spans="1:16" ht="75">
      <c r="A1573" s="6" t="s">
        <v>6788</v>
      </c>
      <c r="B1573" s="6" t="s">
        <v>6784</v>
      </c>
      <c r="C1573" s="6" t="s">
        <v>6851</v>
      </c>
      <c r="D1573" s="6" t="s">
        <v>1016</v>
      </c>
      <c r="E1573" s="6" t="s">
        <v>1017</v>
      </c>
      <c r="F1573" s="7" t="s">
        <v>6393</v>
      </c>
      <c r="G1573" s="6"/>
      <c r="H1573" s="6"/>
      <c r="I1573" s="6"/>
      <c r="J1573" s="6"/>
      <c r="K1573" s="6"/>
      <c r="L1573" s="6" t="s">
        <v>1018</v>
      </c>
      <c r="M1573" s="6"/>
      <c r="N1573" s="6" t="s">
        <v>1019</v>
      </c>
      <c r="O1573" s="6" t="str">
        <f>HYPERLINK("https://ceds.ed.gov/cedselementdetails.aspx?termid=6051")</f>
        <v>https://ceds.ed.gov/cedselementdetails.aspx?termid=6051</v>
      </c>
      <c r="P1573" s="6" t="str">
        <f>HYPERLINK("https://ceds.ed.gov/elementComment.aspx?elementName=Assessment Need Masking Type &amp;elementID=6051", "Click here to submit comment")</f>
        <v>Click here to submit comment</v>
      </c>
    </row>
    <row r="1574" spans="1:16" ht="60">
      <c r="A1574" s="6" t="s">
        <v>6788</v>
      </c>
      <c r="B1574" s="6" t="s">
        <v>6784</v>
      </c>
      <c r="C1574" s="6" t="s">
        <v>6851</v>
      </c>
      <c r="D1574" s="6" t="s">
        <v>1020</v>
      </c>
      <c r="E1574" s="6" t="s">
        <v>1021</v>
      </c>
      <c r="F1574" s="6" t="s">
        <v>13</v>
      </c>
      <c r="G1574" s="6"/>
      <c r="H1574" s="6"/>
      <c r="I1574" s="6" t="s">
        <v>1022</v>
      </c>
      <c r="J1574" s="6"/>
      <c r="K1574" s="6"/>
      <c r="L1574" s="6" t="s">
        <v>1023</v>
      </c>
      <c r="M1574" s="6"/>
      <c r="N1574" s="6" t="s">
        <v>1024</v>
      </c>
      <c r="O1574" s="6" t="str">
        <f>HYPERLINK("https://ceds.ed.gov/cedselementdetails.aspx?termid=6037")</f>
        <v>https://ceds.ed.gov/cedselementdetails.aspx?termid=6037</v>
      </c>
      <c r="P1574" s="6" t="str">
        <f>HYPERLINK("https://ceds.ed.gov/elementComment.aspx?elementName=Assessment Need Number of Braille Cells &amp;elementID=6037", "Click here to submit comment")</f>
        <v>Click here to submit comment</v>
      </c>
    </row>
    <row r="1575" spans="1:16" ht="60">
      <c r="A1575" s="6" t="s">
        <v>6788</v>
      </c>
      <c r="B1575" s="6" t="s">
        <v>6784</v>
      </c>
      <c r="C1575" s="6" t="s">
        <v>6851</v>
      </c>
      <c r="D1575" s="6" t="s">
        <v>1025</v>
      </c>
      <c r="E1575" s="6" t="s">
        <v>1026</v>
      </c>
      <c r="F1575" s="6" t="s">
        <v>6040</v>
      </c>
      <c r="G1575" s="6"/>
      <c r="H1575" s="6"/>
      <c r="I1575" s="6"/>
      <c r="J1575" s="6"/>
      <c r="K1575" s="6"/>
      <c r="L1575" s="6" t="s">
        <v>1027</v>
      </c>
      <c r="M1575" s="6"/>
      <c r="N1575" s="6" t="s">
        <v>1028</v>
      </c>
      <c r="O1575" s="6" t="str">
        <f>HYPERLINK("https://ceds.ed.gov/cedselementdetails.aspx?termid=6036")</f>
        <v>https://ceds.ed.gov/cedselementdetails.aspx?termid=6036</v>
      </c>
      <c r="P1575" s="6" t="str">
        <f>HYPERLINK("https://ceds.ed.gov/elementComment.aspx?elementName=Assessment Need Number of Braille Dots Type &amp;elementID=6036", "Click here to submit comment")</f>
        <v>Click here to submit comment</v>
      </c>
    </row>
    <row r="1576" spans="1:16" ht="60">
      <c r="A1576" s="6" t="s">
        <v>6788</v>
      </c>
      <c r="B1576" s="6" t="s">
        <v>6784</v>
      </c>
      <c r="C1576" s="6" t="s">
        <v>6851</v>
      </c>
      <c r="D1576" s="6" t="s">
        <v>1033</v>
      </c>
      <c r="E1576" s="6" t="s">
        <v>1034</v>
      </c>
      <c r="F1576" s="6" t="s">
        <v>13</v>
      </c>
      <c r="G1576" s="6"/>
      <c r="H1576" s="6"/>
      <c r="I1576" s="6" t="s">
        <v>957</v>
      </c>
      <c r="J1576" s="6"/>
      <c r="K1576" s="6"/>
      <c r="L1576" s="6" t="s">
        <v>1035</v>
      </c>
      <c r="M1576" s="6"/>
      <c r="N1576" s="6" t="s">
        <v>1036</v>
      </c>
      <c r="O1576" s="6" t="str">
        <f>HYPERLINK("https://ceds.ed.gov/cedselementdetails.aspx?termid=6031")</f>
        <v>https://ceds.ed.gov/cedselementdetails.aspx?termid=6031</v>
      </c>
      <c r="P1576" s="6" t="str">
        <f>HYPERLINK("https://ceds.ed.gov/elementComment.aspx?elementName=Assessment Need Pitch &amp;elementID=6031", "Click here to submit comment")</f>
        <v>Click here to submit comment</v>
      </c>
    </row>
    <row r="1577" spans="1:16" ht="60">
      <c r="A1577" s="6" t="s">
        <v>6788</v>
      </c>
      <c r="B1577" s="6" t="s">
        <v>6784</v>
      </c>
      <c r="C1577" s="6" t="s">
        <v>6851</v>
      </c>
      <c r="D1577" s="6" t="s">
        <v>1037</v>
      </c>
      <c r="E1577" s="6" t="s">
        <v>1038</v>
      </c>
      <c r="F1577" s="6" t="s">
        <v>5963</v>
      </c>
      <c r="G1577" s="6"/>
      <c r="H1577" s="6"/>
      <c r="I1577" s="6"/>
      <c r="J1577" s="6"/>
      <c r="K1577" s="6"/>
      <c r="L1577" s="6" t="s">
        <v>1039</v>
      </c>
      <c r="M1577" s="6"/>
      <c r="N1577" s="6" t="s">
        <v>1040</v>
      </c>
      <c r="O1577" s="6" t="str">
        <f>HYPERLINK("https://ceds.ed.gov/cedselementdetails.aspx?termid=6048")</f>
        <v>https://ceds.ed.gov/cedselementdetails.aspx?termid=6048</v>
      </c>
      <c r="P1577" s="6" t="str">
        <f>HYPERLINK("https://ceds.ed.gov/elementComment.aspx?elementName=Assessment Need Read At Start Preference &amp;elementID=6048", "Click here to submit comment")</f>
        <v>Click here to submit comment</v>
      </c>
    </row>
    <row r="1578" spans="1:16" ht="75">
      <c r="A1578" s="6" t="s">
        <v>6788</v>
      </c>
      <c r="B1578" s="6" t="s">
        <v>6784</v>
      </c>
      <c r="C1578" s="6" t="s">
        <v>6851</v>
      </c>
      <c r="D1578" s="6" t="s">
        <v>1041</v>
      </c>
      <c r="E1578" s="6" t="s">
        <v>1042</v>
      </c>
      <c r="F1578" s="7" t="s">
        <v>6394</v>
      </c>
      <c r="G1578" s="6"/>
      <c r="H1578" s="6"/>
      <c r="I1578" s="6"/>
      <c r="J1578" s="6"/>
      <c r="K1578" s="6"/>
      <c r="L1578" s="6" t="s">
        <v>1043</v>
      </c>
      <c r="M1578" s="6"/>
      <c r="N1578" s="6" t="s">
        <v>1044</v>
      </c>
      <c r="O1578" s="6" t="str">
        <f>HYPERLINK("https://ceds.ed.gov/cedselementdetails.aspx?termid=6044")</f>
        <v>https://ceds.ed.gov/cedselementdetails.aspx?termid=6044</v>
      </c>
      <c r="P1578" s="6" t="str">
        <f>HYPERLINK("https://ceds.ed.gov/elementComment.aspx?elementName=Assessment Need Signing Type &amp;elementID=6044", "Click here to submit comment")</f>
        <v>Click here to submit comment</v>
      </c>
    </row>
    <row r="1579" spans="1:16" ht="105">
      <c r="A1579" s="6" t="s">
        <v>6788</v>
      </c>
      <c r="B1579" s="6" t="s">
        <v>6784</v>
      </c>
      <c r="C1579" s="6" t="s">
        <v>6851</v>
      </c>
      <c r="D1579" s="6" t="s">
        <v>1045</v>
      </c>
      <c r="E1579" s="6" t="s">
        <v>1046</v>
      </c>
      <c r="F1579" s="6" t="s">
        <v>13</v>
      </c>
      <c r="G1579" s="6"/>
      <c r="H1579" s="6"/>
      <c r="I1579" s="6" t="s">
        <v>93</v>
      </c>
      <c r="J1579" s="6"/>
      <c r="K1579" s="6"/>
      <c r="L1579" s="6" t="s">
        <v>1047</v>
      </c>
      <c r="M1579" s="6"/>
      <c r="N1579" s="6" t="s">
        <v>1048</v>
      </c>
      <c r="O1579" s="6" t="str">
        <f>HYPERLINK("https://ceds.ed.gov/cedselementdetails.aspx?termid=6053")</f>
        <v>https://ceds.ed.gov/cedselementdetails.aspx?termid=6053</v>
      </c>
      <c r="P1579" s="6" t="str">
        <f>HYPERLINK("https://ceds.ed.gov/elementComment.aspx?elementName=Assessment Need Sound File URL &amp;elementID=6053", "Click here to submit comment")</f>
        <v>Click here to submit comment</v>
      </c>
    </row>
    <row r="1580" spans="1:16" ht="60">
      <c r="A1580" s="6" t="s">
        <v>6788</v>
      </c>
      <c r="B1580" s="6" t="s">
        <v>6784</v>
      </c>
      <c r="C1580" s="6" t="s">
        <v>6851</v>
      </c>
      <c r="D1580" s="6" t="s">
        <v>1049</v>
      </c>
      <c r="E1580" s="6" t="s">
        <v>1050</v>
      </c>
      <c r="F1580" s="6" t="s">
        <v>13</v>
      </c>
      <c r="G1580" s="6"/>
      <c r="H1580" s="6"/>
      <c r="I1580" s="6" t="s">
        <v>1022</v>
      </c>
      <c r="J1580" s="6"/>
      <c r="K1580" s="6"/>
      <c r="L1580" s="6" t="s">
        <v>1051</v>
      </c>
      <c r="M1580" s="6"/>
      <c r="N1580" s="6" t="s">
        <v>1052</v>
      </c>
      <c r="O1580" s="6" t="str">
        <f>HYPERLINK("https://ceds.ed.gov/cedselementdetails.aspx?termid=6030")</f>
        <v>https://ceds.ed.gov/cedselementdetails.aspx?termid=6030</v>
      </c>
      <c r="P1580" s="6" t="str">
        <f>HYPERLINK("https://ceds.ed.gov/elementComment.aspx?elementName=Assessment Need Speech Rate &amp;elementID=6030", "Click here to submit comment")</f>
        <v>Click here to submit comment</v>
      </c>
    </row>
    <row r="1581" spans="1:16" ht="60">
      <c r="A1581" s="6" t="s">
        <v>6788</v>
      </c>
      <c r="B1581" s="6" t="s">
        <v>6784</v>
      </c>
      <c r="C1581" s="6" t="s">
        <v>6851</v>
      </c>
      <c r="D1581" s="6" t="s">
        <v>1053</v>
      </c>
      <c r="E1581" s="6" t="s">
        <v>1054</v>
      </c>
      <c r="F1581" s="6" t="s">
        <v>6041</v>
      </c>
      <c r="G1581" s="6"/>
      <c r="H1581" s="6"/>
      <c r="I1581" s="6"/>
      <c r="J1581" s="6"/>
      <c r="K1581" s="6"/>
      <c r="L1581" s="6" t="s">
        <v>1055</v>
      </c>
      <c r="M1581" s="6"/>
      <c r="N1581" s="6" t="s">
        <v>1056</v>
      </c>
      <c r="O1581" s="6" t="str">
        <f>HYPERLINK("https://ceds.ed.gov/cedselementdetails.aspx?termid=6046")</f>
        <v>https://ceds.ed.gov/cedselementdetails.aspx?termid=6046</v>
      </c>
      <c r="P1581" s="6" t="str">
        <f>HYPERLINK("https://ceds.ed.gov/elementComment.aspx?elementName=Assessment Need Spoken Source Preference Type &amp;elementID=6046", "Click here to submit comment")</f>
        <v>Click here to submit comment</v>
      </c>
    </row>
    <row r="1582" spans="1:16" ht="105">
      <c r="A1582" s="6" t="s">
        <v>6788</v>
      </c>
      <c r="B1582" s="6" t="s">
        <v>6784</v>
      </c>
      <c r="C1582" s="6" t="s">
        <v>6851</v>
      </c>
      <c r="D1582" s="6" t="s">
        <v>1061</v>
      </c>
      <c r="E1582" s="6" t="s">
        <v>1062</v>
      </c>
      <c r="F1582" s="6" t="s">
        <v>13</v>
      </c>
      <c r="G1582" s="6"/>
      <c r="H1582" s="6"/>
      <c r="I1582" s="6" t="s">
        <v>319</v>
      </c>
      <c r="J1582" s="6"/>
      <c r="K1582" s="6"/>
      <c r="L1582" s="6" t="s">
        <v>1063</v>
      </c>
      <c r="M1582" s="6"/>
      <c r="N1582" s="6" t="s">
        <v>1064</v>
      </c>
      <c r="O1582" s="6" t="str">
        <f>HYPERLINK("https://ceds.ed.gov/cedselementdetails.aspx?termid=6052")</f>
        <v>https://ceds.ed.gov/cedselementdetails.aspx?termid=6052</v>
      </c>
      <c r="P1582" s="6" t="str">
        <f>HYPERLINK("https://ceds.ed.gov/elementComment.aspx?elementName=Assessment Need Text Messaging String &amp;elementID=6052", "Click here to submit comment")</f>
        <v>Click here to submit comment</v>
      </c>
    </row>
    <row r="1583" spans="1:16" ht="90">
      <c r="A1583" s="6" t="s">
        <v>6788</v>
      </c>
      <c r="B1583" s="6" t="s">
        <v>6784</v>
      </c>
      <c r="C1583" s="6" t="s">
        <v>6851</v>
      </c>
      <c r="D1583" s="6" t="s">
        <v>1074</v>
      </c>
      <c r="E1583" s="6" t="s">
        <v>1075</v>
      </c>
      <c r="F1583" s="7" t="s">
        <v>6396</v>
      </c>
      <c r="G1583" s="6"/>
      <c r="H1583" s="6"/>
      <c r="I1583" s="6"/>
      <c r="J1583" s="6"/>
      <c r="K1583" s="6"/>
      <c r="L1583" s="6" t="s">
        <v>1076</v>
      </c>
      <c r="M1583" s="6"/>
      <c r="N1583" s="6" t="s">
        <v>1077</v>
      </c>
      <c r="O1583" s="6" t="str">
        <f>HYPERLINK("https://ceds.ed.gov/cedselementdetails.aspx?termid=6028")</f>
        <v>https://ceds.ed.gov/cedselementdetails.aspx?termid=6028</v>
      </c>
      <c r="P1583" s="6" t="str">
        <f>HYPERLINK("https://ceds.ed.gov/elementComment.aspx?elementName=Assessment Need Usage Type &amp;elementID=6028", "Click here to submit comment")</f>
        <v>Click here to submit comment</v>
      </c>
    </row>
    <row r="1584" spans="1:16" ht="60">
      <c r="A1584" s="6" t="s">
        <v>6788</v>
      </c>
      <c r="B1584" s="6" t="s">
        <v>6784</v>
      </c>
      <c r="C1584" s="6" t="s">
        <v>6851</v>
      </c>
      <c r="D1584" s="6" t="s">
        <v>1082</v>
      </c>
      <c r="E1584" s="6" t="s">
        <v>1083</v>
      </c>
      <c r="F1584" s="6" t="s">
        <v>13</v>
      </c>
      <c r="G1584" s="6"/>
      <c r="H1584" s="6"/>
      <c r="I1584" s="6" t="s">
        <v>957</v>
      </c>
      <c r="J1584" s="6"/>
      <c r="K1584" s="6"/>
      <c r="L1584" s="6" t="s">
        <v>1084</v>
      </c>
      <c r="M1584" s="6"/>
      <c r="N1584" s="6" t="s">
        <v>1085</v>
      </c>
      <c r="O1584" s="6" t="str">
        <f>HYPERLINK("https://ceds.ed.gov/cedselementdetails.aspx?termid=6032")</f>
        <v>https://ceds.ed.gov/cedselementdetails.aspx?termid=6032</v>
      </c>
      <c r="P1584" s="6" t="str">
        <f>HYPERLINK("https://ceds.ed.gov/elementComment.aspx?elementName=Assessment Need Volume &amp;elementID=6032", "Click here to submit comment")</f>
        <v>Click here to submit comment</v>
      </c>
    </row>
    <row r="1585" spans="1:16" ht="60">
      <c r="A1585" s="6" t="s">
        <v>6788</v>
      </c>
      <c r="B1585" s="6" t="s">
        <v>6784</v>
      </c>
      <c r="C1585" s="6" t="s">
        <v>6852</v>
      </c>
      <c r="D1585" s="6" t="s">
        <v>950</v>
      </c>
      <c r="E1585" s="6" t="s">
        <v>951</v>
      </c>
      <c r="F1585" s="6" t="s">
        <v>13</v>
      </c>
      <c r="G1585" s="6"/>
      <c r="H1585" s="6"/>
      <c r="I1585" s="6" t="s">
        <v>952</v>
      </c>
      <c r="J1585" s="6"/>
      <c r="K1585" s="6"/>
      <c r="L1585" s="6" t="s">
        <v>953</v>
      </c>
      <c r="M1585" s="6"/>
      <c r="N1585" s="6" t="s">
        <v>954</v>
      </c>
      <c r="O1585" s="6" t="str">
        <f>HYPERLINK("https://ceds.ed.gov/cedselementdetails.aspx?termid=6059")</f>
        <v>https://ceds.ed.gov/cedselementdetails.aspx?termid=6059</v>
      </c>
      <c r="P1585" s="6" t="str">
        <f>HYPERLINK("https://ceds.ed.gov/elementComment.aspx?elementName=Assessment Need Background Color &amp;elementID=6059", "Click here to submit comment")</f>
        <v>Click here to submit comment</v>
      </c>
    </row>
    <row r="1586" spans="1:16" ht="60">
      <c r="A1586" s="6" t="s">
        <v>6788</v>
      </c>
      <c r="B1586" s="6" t="s">
        <v>6784</v>
      </c>
      <c r="C1586" s="6" t="s">
        <v>6852</v>
      </c>
      <c r="D1586" s="6" t="s">
        <v>976</v>
      </c>
      <c r="E1586" s="6" t="s">
        <v>977</v>
      </c>
      <c r="F1586" s="6" t="s">
        <v>13</v>
      </c>
      <c r="G1586" s="6"/>
      <c r="H1586" s="6"/>
      <c r="I1586" s="6" t="s">
        <v>952</v>
      </c>
      <c r="J1586" s="6"/>
      <c r="K1586" s="6"/>
      <c r="L1586" s="6" t="s">
        <v>978</v>
      </c>
      <c r="M1586" s="6"/>
      <c r="N1586" s="6" t="s">
        <v>979</v>
      </c>
      <c r="O1586" s="6" t="str">
        <f>HYPERLINK("https://ceds.ed.gov/cedselementdetails.aspx?termid=6058")</f>
        <v>https://ceds.ed.gov/cedselementdetails.aspx?termid=6058</v>
      </c>
      <c r="P1586" s="6" t="str">
        <f>HYPERLINK("https://ceds.ed.gov/elementComment.aspx?elementName=Assessment Need Foreground Color &amp;elementID=6058", "Click here to submit comment")</f>
        <v>Click here to submit comment</v>
      </c>
    </row>
    <row r="1587" spans="1:16" ht="60">
      <c r="A1587" s="6" t="s">
        <v>6788</v>
      </c>
      <c r="B1587" s="6" t="s">
        <v>6784</v>
      </c>
      <c r="C1587" s="6" t="s">
        <v>6852</v>
      </c>
      <c r="D1587" s="6" t="s">
        <v>984</v>
      </c>
      <c r="E1587" s="6" t="s">
        <v>985</v>
      </c>
      <c r="F1587" s="6" t="s">
        <v>6038</v>
      </c>
      <c r="G1587" s="6"/>
      <c r="H1587" s="6"/>
      <c r="I1587" s="6"/>
      <c r="J1587" s="6"/>
      <c r="K1587" s="6"/>
      <c r="L1587" s="6" t="s">
        <v>986</v>
      </c>
      <c r="M1587" s="6"/>
      <c r="N1587" s="6" t="s">
        <v>987</v>
      </c>
      <c r="O1587" s="6" t="str">
        <f>HYPERLINK("https://ceds.ed.gov/cedselementdetails.aspx?termid=6060")</f>
        <v>https://ceds.ed.gov/cedselementdetails.aspx?termid=6060</v>
      </c>
      <c r="P1587" s="6" t="str">
        <f>HYPERLINK("https://ceds.ed.gov/elementComment.aspx?elementName=Assessment Need Increased Whitespacing Type &amp;elementID=6060", "Click here to submit comment")</f>
        <v>Click here to submit comment</v>
      </c>
    </row>
    <row r="1588" spans="1:16" ht="60">
      <c r="A1588" s="6" t="s">
        <v>6788</v>
      </c>
      <c r="B1588" s="6" t="s">
        <v>6784</v>
      </c>
      <c r="C1588" s="6" t="s">
        <v>6852</v>
      </c>
      <c r="D1588" s="6" t="s">
        <v>1029</v>
      </c>
      <c r="E1588" s="6" t="s">
        <v>1030</v>
      </c>
      <c r="F1588" s="6" t="s">
        <v>13</v>
      </c>
      <c r="G1588" s="6"/>
      <c r="H1588" s="6"/>
      <c r="I1588" s="6" t="s">
        <v>952</v>
      </c>
      <c r="J1588" s="6"/>
      <c r="K1588" s="6"/>
      <c r="L1588" s="6" t="s">
        <v>1031</v>
      </c>
      <c r="M1588" s="6"/>
      <c r="N1588" s="6" t="s">
        <v>1032</v>
      </c>
      <c r="O1588" s="6" t="str">
        <f>HYPERLINK("https://ceds.ed.gov/cedselementdetails.aspx?termid=6057")</f>
        <v>https://ceds.ed.gov/cedselementdetails.aspx?termid=6057</v>
      </c>
      <c r="P1588" s="6" t="str">
        <f>HYPERLINK("https://ceds.ed.gov/elementComment.aspx?elementName=Assessment Need Overlay Color &amp;elementID=6057", "Click here to submit comment")</f>
        <v>Click here to submit comment</v>
      </c>
    </row>
    <row r="1589" spans="1:16" ht="285">
      <c r="A1589" s="6" t="s">
        <v>6788</v>
      </c>
      <c r="B1589" s="6" t="s">
        <v>6784</v>
      </c>
      <c r="C1589" s="6" t="s">
        <v>6853</v>
      </c>
      <c r="D1589" s="6" t="s">
        <v>399</v>
      </c>
      <c r="E1589" s="6" t="s">
        <v>400</v>
      </c>
      <c r="F1589" s="7" t="s">
        <v>6376</v>
      </c>
      <c r="G1589" s="6" t="s">
        <v>5992</v>
      </c>
      <c r="H1589" s="6" t="s">
        <v>3</v>
      </c>
      <c r="I1589" s="6"/>
      <c r="J1589" s="6"/>
      <c r="K1589" s="6"/>
      <c r="L1589" s="6" t="s">
        <v>401</v>
      </c>
      <c r="M1589" s="6"/>
      <c r="N1589" s="6" t="s">
        <v>402</v>
      </c>
      <c r="O1589" s="6" t="str">
        <f>HYPERLINK("https://ceds.ed.gov/cedselementdetails.aspx?termid=5374")</f>
        <v>https://ceds.ed.gov/cedselementdetails.aspx?termid=5374</v>
      </c>
      <c r="P1589" s="6" t="str">
        <f>HYPERLINK("https://ceds.ed.gov/elementComment.aspx?elementName=Assessment Accommodation Category &amp;elementID=5374", "Click here to submit comment")</f>
        <v>Click here to submit comment</v>
      </c>
    </row>
    <row r="1590" spans="1:16" ht="45">
      <c r="A1590" s="6" t="s">
        <v>6788</v>
      </c>
      <c r="B1590" s="6" t="s">
        <v>6784</v>
      </c>
      <c r="C1590" s="6" t="s">
        <v>6853</v>
      </c>
      <c r="D1590" s="6" t="s">
        <v>403</v>
      </c>
      <c r="E1590" s="6" t="s">
        <v>404</v>
      </c>
      <c r="F1590" s="6" t="s">
        <v>13</v>
      </c>
      <c r="G1590" s="6"/>
      <c r="H1590" s="6"/>
      <c r="I1590" s="6" t="s">
        <v>100</v>
      </c>
      <c r="J1590" s="6"/>
      <c r="K1590" s="6"/>
      <c r="L1590" s="6" t="s">
        <v>405</v>
      </c>
      <c r="M1590" s="6"/>
      <c r="N1590" s="6" t="s">
        <v>406</v>
      </c>
      <c r="O1590" s="6" t="str">
        <f>HYPERLINK("https://ceds.ed.gov/cedselementdetails.aspx?termid=6116")</f>
        <v>https://ceds.ed.gov/cedselementdetails.aspx?termid=6116</v>
      </c>
      <c r="P1590" s="6" t="str">
        <f>HYPERLINK("https://ceds.ed.gov/elementComment.aspx?elementName=Assessment Accommodation Other Description &amp;elementID=6116", "Click here to submit comment")</f>
        <v>Click here to submit comment</v>
      </c>
    </row>
    <row r="1591" spans="1:16" ht="409.5">
      <c r="A1591" s="6" t="s">
        <v>6788</v>
      </c>
      <c r="B1591" s="6" t="s">
        <v>6784</v>
      </c>
      <c r="C1591" s="6" t="s">
        <v>6853</v>
      </c>
      <c r="D1591" s="6" t="s">
        <v>407</v>
      </c>
      <c r="E1591" s="6" t="s">
        <v>408</v>
      </c>
      <c r="F1591" s="7" t="s">
        <v>6377</v>
      </c>
      <c r="G1591" s="6" t="s">
        <v>5992</v>
      </c>
      <c r="H1591" s="6"/>
      <c r="I1591" s="6"/>
      <c r="J1591" s="6"/>
      <c r="K1591" s="6"/>
      <c r="L1591" s="6" t="s">
        <v>409</v>
      </c>
      <c r="M1591" s="6"/>
      <c r="N1591" s="6" t="s">
        <v>410</v>
      </c>
      <c r="O1591" s="6" t="str">
        <f>HYPERLINK("https://ceds.ed.gov/cedselementdetails.aspx?termid=5376")</f>
        <v>https://ceds.ed.gov/cedselementdetails.aspx?termid=5376</v>
      </c>
      <c r="P1591" s="6" t="str">
        <f>HYPERLINK("https://ceds.ed.gov/elementComment.aspx?elementName=Assessment Accommodation Type &amp;elementID=5376", "Click here to submit comment")</f>
        <v>Click here to submit comment</v>
      </c>
    </row>
    <row r="1592" spans="1:16" ht="60">
      <c r="A1592" s="6" t="s">
        <v>6788</v>
      </c>
      <c r="B1592" s="6" t="s">
        <v>6784</v>
      </c>
      <c r="C1592" s="6" t="s">
        <v>6853</v>
      </c>
      <c r="D1592" s="6" t="s">
        <v>1090</v>
      </c>
      <c r="E1592" s="6" t="s">
        <v>1091</v>
      </c>
      <c r="F1592" s="6" t="s">
        <v>13</v>
      </c>
      <c r="G1592" s="6"/>
      <c r="H1592" s="6"/>
      <c r="I1592" s="6" t="s">
        <v>93</v>
      </c>
      <c r="J1592" s="6"/>
      <c r="K1592" s="6" t="s">
        <v>1092</v>
      </c>
      <c r="L1592" s="6" t="s">
        <v>1093</v>
      </c>
      <c r="M1592" s="6"/>
      <c r="N1592" s="6" t="s">
        <v>1094</v>
      </c>
      <c r="O1592" s="6" t="str">
        <f>HYPERLINK("https://ceds.ed.gov/cedselementdetails.aspx?termid=6006")</f>
        <v>https://ceds.ed.gov/cedselementdetails.aspx?termid=6006</v>
      </c>
      <c r="P1592" s="6" t="str">
        <f>HYPERLINK("https://ceds.ed.gov/elementComment.aspx?elementName=Assessment Participant Session Delivery Device Details &amp;elementID=6006", "Click here to submit comment")</f>
        <v>Click here to submit comment</v>
      </c>
    </row>
    <row r="1593" spans="1:16" ht="45">
      <c r="A1593" s="6" t="s">
        <v>6788</v>
      </c>
      <c r="B1593" s="6" t="s">
        <v>6784</v>
      </c>
      <c r="C1593" s="6" t="s">
        <v>6853</v>
      </c>
      <c r="D1593" s="6" t="s">
        <v>1095</v>
      </c>
      <c r="E1593" s="6" t="s">
        <v>1096</v>
      </c>
      <c r="F1593" s="5" t="s">
        <v>939</v>
      </c>
      <c r="G1593" s="6" t="s">
        <v>5992</v>
      </c>
      <c r="H1593" s="6"/>
      <c r="I1593" s="6"/>
      <c r="J1593" s="6"/>
      <c r="K1593" s="6"/>
      <c r="L1593" s="6" t="s">
        <v>1097</v>
      </c>
      <c r="M1593" s="6"/>
      <c r="N1593" s="6" t="s">
        <v>1098</v>
      </c>
      <c r="O1593" s="6" t="str">
        <f>HYPERLINK("https://ceds.ed.gov/cedselementdetails.aspx?termid=5370")</f>
        <v>https://ceds.ed.gov/cedselementdetails.aspx?termid=5370</v>
      </c>
      <c r="P1593" s="6" t="str">
        <f>HYPERLINK("https://ceds.ed.gov/elementComment.aspx?elementName=Assessment Participant Session Language &amp;elementID=5370", "Click here to submit comment")</f>
        <v>Click here to submit comment</v>
      </c>
    </row>
    <row r="1594" spans="1:16" ht="120">
      <c r="A1594" s="6" t="s">
        <v>6788</v>
      </c>
      <c r="B1594" s="6" t="s">
        <v>6784</v>
      </c>
      <c r="C1594" s="6" t="s">
        <v>6853</v>
      </c>
      <c r="D1594" s="6" t="s">
        <v>1099</v>
      </c>
      <c r="E1594" s="6" t="s">
        <v>1100</v>
      </c>
      <c r="F1594" s="6" t="s">
        <v>6044</v>
      </c>
      <c r="G1594" s="6" t="s">
        <v>6018</v>
      </c>
      <c r="H1594" s="6"/>
      <c r="I1594" s="6"/>
      <c r="J1594" s="6"/>
      <c r="K1594" s="6"/>
      <c r="L1594" s="6" t="s">
        <v>1101</v>
      </c>
      <c r="M1594" s="6"/>
      <c r="N1594" s="6" t="s">
        <v>1102</v>
      </c>
      <c r="O1594" s="6" t="str">
        <f>HYPERLINK("https://ceds.ed.gov/cedselementdetails.aspx?termid=5377")</f>
        <v>https://ceds.ed.gov/cedselementdetails.aspx?termid=5377</v>
      </c>
      <c r="P1594" s="6" t="str">
        <f>HYPERLINK("https://ceds.ed.gov/elementComment.aspx?elementName=Assessment Participant Session Platform Type &amp;elementID=5377", "Click here to submit comment")</f>
        <v>Click here to submit comment</v>
      </c>
    </row>
    <row r="1595" spans="1:16" ht="135">
      <c r="A1595" s="6" t="s">
        <v>6788</v>
      </c>
      <c r="B1595" s="6" t="s">
        <v>6784</v>
      </c>
      <c r="C1595" s="6" t="s">
        <v>6853</v>
      </c>
      <c r="D1595" s="6" t="s">
        <v>1103</v>
      </c>
      <c r="E1595" s="6" t="s">
        <v>1104</v>
      </c>
      <c r="F1595" s="6" t="s">
        <v>13</v>
      </c>
      <c r="G1595" s="6"/>
      <c r="H1595" s="6"/>
      <c r="I1595" s="6" t="s">
        <v>1105</v>
      </c>
      <c r="J1595" s="6"/>
      <c r="K1595" s="6" t="s">
        <v>1106</v>
      </c>
      <c r="L1595" s="6" t="s">
        <v>1107</v>
      </c>
      <c r="M1595" s="6"/>
      <c r="N1595" s="6" t="s">
        <v>1108</v>
      </c>
      <c r="O1595" s="6" t="str">
        <f>HYPERLINK("https://ceds.ed.gov/cedselementdetails.aspx?termid=6112")</f>
        <v>https://ceds.ed.gov/cedselementdetails.aspx?termid=6112</v>
      </c>
      <c r="P1595" s="6" t="str">
        <f>HYPERLINK("https://ceds.ed.gov/elementComment.aspx?elementName=Assessment Participant Session Platform User Agent &amp;elementID=6112", "Click here to submit comment")</f>
        <v>Click here to submit comment</v>
      </c>
    </row>
    <row r="1596" spans="1:16" ht="75">
      <c r="A1596" s="6" t="s">
        <v>6788</v>
      </c>
      <c r="B1596" s="6" t="s">
        <v>6784</v>
      </c>
      <c r="C1596" s="6" t="s">
        <v>6853</v>
      </c>
      <c r="D1596" s="6" t="s">
        <v>1109</v>
      </c>
      <c r="E1596" s="6" t="s">
        <v>1110</v>
      </c>
      <c r="F1596" s="6" t="s">
        <v>13</v>
      </c>
      <c r="G1596" s="6"/>
      <c r="H1596" s="6"/>
      <c r="I1596" s="6" t="s">
        <v>319</v>
      </c>
      <c r="J1596" s="6"/>
      <c r="K1596" s="6"/>
      <c r="L1596" s="6" t="s">
        <v>1111</v>
      </c>
      <c r="M1596" s="6"/>
      <c r="N1596" s="6" t="s">
        <v>1112</v>
      </c>
      <c r="O1596" s="6" t="str">
        <f>HYPERLINK("https://ceds.ed.gov/cedselementdetails.aspx?termid=6102")</f>
        <v>https://ceds.ed.gov/cedselementdetails.aspx?termid=6102</v>
      </c>
      <c r="P1596" s="6" t="str">
        <f>HYPERLINK("https://ceds.ed.gov/elementComment.aspx?elementName=Assessment Participant Session Security Issue &amp;elementID=6102", "Click here to submit comment")</f>
        <v>Click here to submit comment</v>
      </c>
    </row>
    <row r="1597" spans="1:16" ht="45">
      <c r="A1597" s="6" t="s">
        <v>6788</v>
      </c>
      <c r="B1597" s="6" t="s">
        <v>6784</v>
      </c>
      <c r="C1597" s="6" t="s">
        <v>6853</v>
      </c>
      <c r="D1597" s="6" t="s">
        <v>1113</v>
      </c>
      <c r="E1597" s="6" t="s">
        <v>1114</v>
      </c>
      <c r="F1597" s="6" t="s">
        <v>13</v>
      </c>
      <c r="G1597" s="6" t="s">
        <v>5992</v>
      </c>
      <c r="H1597" s="6"/>
      <c r="I1597" s="6" t="s">
        <v>100</v>
      </c>
      <c r="J1597" s="6"/>
      <c r="K1597" s="6"/>
      <c r="L1597" s="6" t="s">
        <v>1115</v>
      </c>
      <c r="M1597" s="6"/>
      <c r="N1597" s="6" t="s">
        <v>1116</v>
      </c>
      <c r="O1597" s="6" t="str">
        <f>HYPERLINK("https://ceds.ed.gov/cedselementdetails.aspx?termid=5398")</f>
        <v>https://ceds.ed.gov/cedselementdetails.aspx?termid=5398</v>
      </c>
      <c r="P1597" s="6" t="str">
        <f>HYPERLINK("https://ceds.ed.gov/elementComment.aspx?elementName=Assessment Participant Session Time Assessed &amp;elementID=5398", "Click here to submit comment")</f>
        <v>Click here to submit comment</v>
      </c>
    </row>
    <row r="1598" spans="1:16" ht="90">
      <c r="A1598" s="6" t="s">
        <v>6788</v>
      </c>
      <c r="B1598" s="6" t="s">
        <v>6784</v>
      </c>
      <c r="C1598" s="6" t="s">
        <v>6853</v>
      </c>
      <c r="D1598" s="6" t="s">
        <v>1228</v>
      </c>
      <c r="E1598" s="6" t="s">
        <v>1229</v>
      </c>
      <c r="F1598" s="6" t="s">
        <v>13</v>
      </c>
      <c r="G1598" s="6"/>
      <c r="H1598" s="6"/>
      <c r="I1598" s="6" t="s">
        <v>1168</v>
      </c>
      <c r="J1598" s="6"/>
      <c r="K1598" s="6" t="s">
        <v>1230</v>
      </c>
      <c r="L1598" s="6" t="s">
        <v>1231</v>
      </c>
      <c r="M1598" s="6"/>
      <c r="N1598" s="6" t="s">
        <v>1232</v>
      </c>
      <c r="O1598" s="6" t="str">
        <f>HYPERLINK("https://ceds.ed.gov/cedselementdetails.aspx?termid=6024")</f>
        <v>https://ceds.ed.gov/cedselementdetails.aspx?termid=6024</v>
      </c>
      <c r="P1598" s="6" t="str">
        <f>HYPERLINK("https://ceds.ed.gov/elementComment.aspx?elementName=Assessment Session Actual End Date Time &amp;elementID=6024", "Click here to submit comment")</f>
        <v>Click here to submit comment</v>
      </c>
    </row>
    <row r="1599" spans="1:16" ht="90">
      <c r="A1599" s="6" t="s">
        <v>6788</v>
      </c>
      <c r="B1599" s="6" t="s">
        <v>6784</v>
      </c>
      <c r="C1599" s="6" t="s">
        <v>6853</v>
      </c>
      <c r="D1599" s="6" t="s">
        <v>1233</v>
      </c>
      <c r="E1599" s="6" t="s">
        <v>1234</v>
      </c>
      <c r="F1599" s="6" t="s">
        <v>13</v>
      </c>
      <c r="G1599" s="6"/>
      <c r="H1599" s="6"/>
      <c r="I1599" s="6" t="s">
        <v>1168</v>
      </c>
      <c r="J1599" s="6"/>
      <c r="K1599" s="6" t="s">
        <v>1235</v>
      </c>
      <c r="L1599" s="6" t="s">
        <v>1236</v>
      </c>
      <c r="M1599" s="6"/>
      <c r="N1599" s="6" t="s">
        <v>1237</v>
      </c>
      <c r="O1599" s="6" t="str">
        <f>HYPERLINK("https://ceds.ed.gov/cedselementdetails.aspx?termid=6023")</f>
        <v>https://ceds.ed.gov/cedselementdetails.aspx?termid=6023</v>
      </c>
      <c r="P1599" s="6" t="str">
        <f>HYPERLINK("https://ceds.ed.gov/elementComment.aspx?elementName=Assessment Session Actual Start Date Time &amp;elementID=6023", "Click here to submit comment")</f>
        <v>Click here to submit comment</v>
      </c>
    </row>
    <row r="1600" spans="1:16" ht="45">
      <c r="A1600" s="6" t="s">
        <v>6788</v>
      </c>
      <c r="B1600" s="6" t="s">
        <v>6784</v>
      </c>
      <c r="C1600" s="6" t="s">
        <v>6853</v>
      </c>
      <c r="D1600" s="6" t="s">
        <v>1247</v>
      </c>
      <c r="E1600" s="6" t="s">
        <v>1248</v>
      </c>
      <c r="F1600" s="6" t="s">
        <v>13</v>
      </c>
      <c r="G1600" s="6" t="s">
        <v>5992</v>
      </c>
      <c r="H1600" s="6"/>
      <c r="I1600" s="6" t="s">
        <v>1249</v>
      </c>
      <c r="J1600" s="6"/>
      <c r="K1600" s="6"/>
      <c r="L1600" s="6" t="s">
        <v>1250</v>
      </c>
      <c r="M1600" s="6"/>
      <c r="N1600" s="6" t="s">
        <v>1251</v>
      </c>
      <c r="O1600" s="6" t="str">
        <f>HYPERLINK("https://ceds.ed.gov/cedselementdetails.aspx?termid=5590")</f>
        <v>https://ceds.ed.gov/cedselementdetails.aspx?termid=5590</v>
      </c>
      <c r="P1600" s="6" t="str">
        <f>HYPERLINK("https://ceds.ed.gov/elementComment.aspx?elementName=Assessment Session Location &amp;elementID=5590", "Click here to submit comment")</f>
        <v>Click here to submit comment</v>
      </c>
    </row>
    <row r="1601" spans="1:16" ht="150">
      <c r="A1601" s="6" t="s">
        <v>6788</v>
      </c>
      <c r="B1601" s="6" t="s">
        <v>6784</v>
      </c>
      <c r="C1601" s="6" t="s">
        <v>6853</v>
      </c>
      <c r="D1601" s="6" t="s">
        <v>1265</v>
      </c>
      <c r="E1601" s="6" t="s">
        <v>1266</v>
      </c>
      <c r="F1601" s="6" t="s">
        <v>13</v>
      </c>
      <c r="G1601" s="6"/>
      <c r="H1601" s="6"/>
      <c r="I1601" s="6" t="s">
        <v>93</v>
      </c>
      <c r="J1601" s="6"/>
      <c r="K1601" s="6" t="s">
        <v>835</v>
      </c>
      <c r="L1601" s="6" t="s">
        <v>1267</v>
      </c>
      <c r="M1601" s="6"/>
      <c r="N1601" s="6" t="s">
        <v>1268</v>
      </c>
      <c r="O1601" s="6" t="str">
        <f>HYPERLINK("https://ceds.ed.gov/cedselementdetails.aspx?termid=5969")</f>
        <v>https://ceds.ed.gov/cedselementdetails.aspx?termid=5969</v>
      </c>
      <c r="P1601" s="6" t="str">
        <f>HYPERLINK("https://ceds.ed.gov/elementComment.aspx?elementName=Assessment Session Security Issue &amp;elementID=5969", "Click here to submit comment")</f>
        <v>Click here to submit comment</v>
      </c>
    </row>
    <row r="1602" spans="1:16" ht="409.5">
      <c r="A1602" s="6" t="s">
        <v>6788</v>
      </c>
      <c r="B1602" s="6" t="s">
        <v>6784</v>
      </c>
      <c r="C1602" s="6" t="s">
        <v>6853</v>
      </c>
      <c r="D1602" s="6" t="s">
        <v>1269</v>
      </c>
      <c r="E1602" s="6" t="s">
        <v>1270</v>
      </c>
      <c r="F1602" s="7" t="s">
        <v>6403</v>
      </c>
      <c r="G1602" s="6" t="s">
        <v>5992</v>
      </c>
      <c r="H1602" s="6"/>
      <c r="I1602" s="6"/>
      <c r="J1602" s="6"/>
      <c r="K1602" s="6"/>
      <c r="L1602" s="6" t="s">
        <v>1271</v>
      </c>
      <c r="M1602" s="6"/>
      <c r="N1602" s="6" t="s">
        <v>1272</v>
      </c>
      <c r="O1602" s="6" t="str">
        <f>HYPERLINK("https://ceds.ed.gov/cedselementdetails.aspx?termid=5380")</f>
        <v>https://ceds.ed.gov/cedselementdetails.aspx?termid=5380</v>
      </c>
      <c r="P1602" s="6" t="str">
        <f>HYPERLINK("https://ceds.ed.gov/elementComment.aspx?elementName=Assessment Session Special Circumstance Type &amp;elementID=5380", "Click here to submit comment")</f>
        <v>Click here to submit comment</v>
      </c>
    </row>
    <row r="1603" spans="1:16" ht="90">
      <c r="A1603" s="6" t="s">
        <v>6788</v>
      </c>
      <c r="B1603" s="6" t="s">
        <v>6784</v>
      </c>
      <c r="C1603" s="6" t="s">
        <v>6853</v>
      </c>
      <c r="D1603" s="6" t="s">
        <v>1273</v>
      </c>
      <c r="E1603" s="6" t="s">
        <v>1274</v>
      </c>
      <c r="F1603" s="6" t="s">
        <v>13</v>
      </c>
      <c r="G1603" s="6"/>
      <c r="H1603" s="6"/>
      <c r="I1603" s="6" t="s">
        <v>106</v>
      </c>
      <c r="J1603" s="6"/>
      <c r="K1603" s="6"/>
      <c r="L1603" s="6" t="s">
        <v>1275</v>
      </c>
      <c r="M1603" s="6"/>
      <c r="N1603" s="6" t="s">
        <v>1276</v>
      </c>
      <c r="O1603" s="6" t="str">
        <f>HYPERLINK("https://ceds.ed.gov/cedselementdetails.aspx?termid=6077")</f>
        <v>https://ceds.ed.gov/cedselementdetails.aspx?termid=6077</v>
      </c>
      <c r="P1603" s="6" t="str">
        <f>HYPERLINK("https://ceds.ed.gov/elementComment.aspx?elementName=Assessment Session Special Event Description &amp;elementID=6077", "Click here to submit comment")</f>
        <v>Click here to submit comment</v>
      </c>
    </row>
    <row r="1604" spans="1:16" ht="30">
      <c r="A1604" s="6" t="s">
        <v>6788</v>
      </c>
      <c r="B1604" s="6" t="s">
        <v>6784</v>
      </c>
      <c r="C1604" s="6" t="s">
        <v>6854</v>
      </c>
      <c r="D1604" s="6" t="s">
        <v>143</v>
      </c>
      <c r="E1604" s="6" t="s">
        <v>144</v>
      </c>
      <c r="F1604" s="6" t="s">
        <v>13</v>
      </c>
      <c r="G1604" s="6"/>
      <c r="H1604" s="6"/>
      <c r="I1604" s="6" t="s">
        <v>93</v>
      </c>
      <c r="J1604" s="6"/>
      <c r="K1604" s="6"/>
      <c r="L1604" s="6" t="s">
        <v>145</v>
      </c>
      <c r="M1604" s="6"/>
      <c r="N1604" s="6" t="s">
        <v>146</v>
      </c>
      <c r="O1604" s="6" t="str">
        <f>HYPERLINK("https://ceds.ed.gov/cedselementdetails.aspx?termid=5893")</f>
        <v>https://ceds.ed.gov/cedselementdetails.aspx?termid=5893</v>
      </c>
      <c r="P1604" s="6" t="str">
        <f>HYPERLINK("https://ceds.ed.gov/elementComment.aspx?elementName=Achievement Title &amp;elementID=5893", "Click here to submit comment")</f>
        <v>Click here to submit comment</v>
      </c>
    </row>
    <row r="1605" spans="1:16" ht="30">
      <c r="A1605" s="6" t="s">
        <v>6788</v>
      </c>
      <c r="B1605" s="6" t="s">
        <v>6784</v>
      </c>
      <c r="C1605" s="6" t="s">
        <v>6854</v>
      </c>
      <c r="D1605" s="6" t="s">
        <v>122</v>
      </c>
      <c r="E1605" s="6" t="s">
        <v>123</v>
      </c>
      <c r="F1605" s="6" t="s">
        <v>13</v>
      </c>
      <c r="G1605" s="6"/>
      <c r="H1605" s="6"/>
      <c r="I1605" s="6" t="s">
        <v>93</v>
      </c>
      <c r="J1605" s="6"/>
      <c r="K1605" s="6"/>
      <c r="L1605" s="6" t="s">
        <v>124</v>
      </c>
      <c r="M1605" s="6"/>
      <c r="N1605" s="6" t="s">
        <v>125</v>
      </c>
      <c r="O1605" s="6" t="str">
        <f>HYPERLINK("https://ceds.ed.gov/cedselementdetails.aspx?termid=5895")</f>
        <v>https://ceds.ed.gov/cedselementdetails.aspx?termid=5895</v>
      </c>
      <c r="P1605" s="6" t="str">
        <f>HYPERLINK("https://ceds.ed.gov/elementComment.aspx?elementName=Achievement Description &amp;elementID=5895", "Click here to submit comment")</f>
        <v>Click here to submit comment</v>
      </c>
    </row>
    <row r="1606" spans="1:16" ht="30">
      <c r="A1606" s="6" t="s">
        <v>6788</v>
      </c>
      <c r="B1606" s="6" t="s">
        <v>6784</v>
      </c>
      <c r="C1606" s="6" t="s">
        <v>6854</v>
      </c>
      <c r="D1606" s="6" t="s">
        <v>139</v>
      </c>
      <c r="E1606" s="6" t="s">
        <v>140</v>
      </c>
      <c r="F1606" s="6" t="s">
        <v>13</v>
      </c>
      <c r="G1606" s="6"/>
      <c r="H1606" s="6"/>
      <c r="I1606" s="6" t="s">
        <v>73</v>
      </c>
      <c r="J1606" s="6"/>
      <c r="K1606" s="6"/>
      <c r="L1606" s="6" t="s">
        <v>141</v>
      </c>
      <c r="M1606" s="6"/>
      <c r="N1606" s="6" t="s">
        <v>142</v>
      </c>
      <c r="O1606" s="6" t="str">
        <f>HYPERLINK("https://ceds.ed.gov/cedselementdetails.aspx?termid=6120")</f>
        <v>https://ceds.ed.gov/cedselementdetails.aspx?termid=6120</v>
      </c>
      <c r="P1606" s="6" t="str">
        <f>HYPERLINK("https://ceds.ed.gov/elementComment.aspx?elementName=Achievement Start Date &amp;elementID=6120", "Click here to submit comment")</f>
        <v>Click here to submit comment</v>
      </c>
    </row>
    <row r="1607" spans="1:16" ht="45">
      <c r="A1607" s="6" t="s">
        <v>6788</v>
      </c>
      <c r="B1607" s="6" t="s">
        <v>6784</v>
      </c>
      <c r="C1607" s="6" t="s">
        <v>6854</v>
      </c>
      <c r="D1607" s="6" t="s">
        <v>126</v>
      </c>
      <c r="E1607" s="6" t="s">
        <v>127</v>
      </c>
      <c r="F1607" s="6" t="s">
        <v>13</v>
      </c>
      <c r="G1607" s="6"/>
      <c r="H1607" s="6"/>
      <c r="I1607" s="6" t="s">
        <v>73</v>
      </c>
      <c r="J1607" s="6"/>
      <c r="K1607" s="6"/>
      <c r="L1607" s="6" t="s">
        <v>128</v>
      </c>
      <c r="M1607" s="6"/>
      <c r="N1607" s="6" t="s">
        <v>129</v>
      </c>
      <c r="O1607" s="6" t="str">
        <f>HYPERLINK("https://ceds.ed.gov/cedselementdetails.aspx?termid=6121")</f>
        <v>https://ceds.ed.gov/cedselementdetails.aspx?termid=6121</v>
      </c>
      <c r="P1607" s="6" t="str">
        <f>HYPERLINK("https://ceds.ed.gov/elementComment.aspx?elementName=Achievement End Date &amp;elementID=6121", "Click here to submit comment")</f>
        <v>Click here to submit comment</v>
      </c>
    </row>
    <row r="1608" spans="1:16" ht="45">
      <c r="A1608" s="6" t="s">
        <v>6788</v>
      </c>
      <c r="B1608" s="6" t="s">
        <v>6784</v>
      </c>
      <c r="C1608" s="6" t="s">
        <v>6854</v>
      </c>
      <c r="D1608" s="6" t="s">
        <v>86</v>
      </c>
      <c r="E1608" s="6" t="s">
        <v>87</v>
      </c>
      <c r="F1608" s="6" t="s">
        <v>13</v>
      </c>
      <c r="G1608" s="6"/>
      <c r="H1608" s="6"/>
      <c r="I1608" s="6" t="s">
        <v>88</v>
      </c>
      <c r="J1608" s="6"/>
      <c r="K1608" s="6"/>
      <c r="L1608" s="6" t="s">
        <v>89</v>
      </c>
      <c r="M1608" s="6"/>
      <c r="N1608" s="6" t="s">
        <v>90</v>
      </c>
      <c r="O1608" s="6" t="str">
        <f>HYPERLINK("https://ceds.ed.gov/cedselementdetails.aspx?termid=5898")</f>
        <v>https://ceds.ed.gov/cedselementdetails.aspx?termid=5898</v>
      </c>
      <c r="P1608" s="6" t="str">
        <f>HYPERLINK("https://ceds.ed.gov/elementComment.aspx?elementName=Achievement Award Issuer Name &amp;elementID=5898", "Click here to submit comment")</f>
        <v>Click here to submit comment</v>
      </c>
    </row>
    <row r="1609" spans="1:16" ht="45">
      <c r="A1609" s="6" t="s">
        <v>6788</v>
      </c>
      <c r="B1609" s="6" t="s">
        <v>6784</v>
      </c>
      <c r="C1609" s="6" t="s">
        <v>6854</v>
      </c>
      <c r="D1609" s="6" t="s">
        <v>91</v>
      </c>
      <c r="E1609" s="6" t="s">
        <v>92</v>
      </c>
      <c r="F1609" s="6" t="s">
        <v>13</v>
      </c>
      <c r="G1609" s="6"/>
      <c r="H1609" s="6" t="s">
        <v>66</v>
      </c>
      <c r="I1609" s="6" t="s">
        <v>93</v>
      </c>
      <c r="J1609" s="6" t="s">
        <v>94</v>
      </c>
      <c r="K1609" s="6" t="s">
        <v>95</v>
      </c>
      <c r="L1609" s="6" t="s">
        <v>96</v>
      </c>
      <c r="M1609" s="6"/>
      <c r="N1609" s="6" t="s">
        <v>97</v>
      </c>
      <c r="O1609" s="6" t="str">
        <f>HYPERLINK("https://ceds.ed.gov/cedselementdetails.aspx?termid=5900")</f>
        <v>https://ceds.ed.gov/cedselementdetails.aspx?termid=5900</v>
      </c>
      <c r="P1609" s="6" t="str">
        <f>HYPERLINK("https://ceds.ed.gov/elementComment.aspx?elementName=Achievement Award Issuer Origin URL &amp;elementID=5900", "Click here to submit comment")</f>
        <v>Click here to submit comment</v>
      </c>
    </row>
    <row r="1610" spans="1:16" ht="75">
      <c r="A1610" s="6" t="s">
        <v>6788</v>
      </c>
      <c r="B1610" s="6" t="s">
        <v>6784</v>
      </c>
      <c r="C1610" s="6" t="s">
        <v>6854</v>
      </c>
      <c r="D1610" s="6" t="s">
        <v>98</v>
      </c>
      <c r="E1610" s="6" t="s">
        <v>99</v>
      </c>
      <c r="F1610" s="6" t="s">
        <v>13</v>
      </c>
      <c r="G1610" s="6"/>
      <c r="H1610" s="6"/>
      <c r="I1610" s="6" t="s">
        <v>100</v>
      </c>
      <c r="J1610" s="6"/>
      <c r="K1610" s="6" t="s">
        <v>101</v>
      </c>
      <c r="L1610" s="6" t="s">
        <v>102</v>
      </c>
      <c r="M1610" s="6"/>
      <c r="N1610" s="6" t="s">
        <v>103</v>
      </c>
      <c r="O1610" s="6" t="str">
        <f>HYPERLINK("https://ceds.ed.gov/cedselementdetails.aspx?termid=6211")</f>
        <v>https://ceds.ed.gov/cedselementdetails.aspx?termid=6211</v>
      </c>
      <c r="P1610" s="6" t="str">
        <f>HYPERLINK("https://ceds.ed.gov/elementComment.aspx?elementName=Achievement Category System &amp;elementID=6211", "Click here to submit comment")</f>
        <v>Click here to submit comment</v>
      </c>
    </row>
    <row r="1611" spans="1:16" ht="270">
      <c r="A1611" s="6" t="s">
        <v>6788</v>
      </c>
      <c r="B1611" s="6" t="s">
        <v>6784</v>
      </c>
      <c r="C1611" s="6" t="s">
        <v>6854</v>
      </c>
      <c r="D1611" s="6" t="s">
        <v>104</v>
      </c>
      <c r="E1611" s="6" t="s">
        <v>105</v>
      </c>
      <c r="F1611" s="6" t="s">
        <v>13</v>
      </c>
      <c r="G1611" s="6"/>
      <c r="H1611" s="6"/>
      <c r="I1611" s="6" t="s">
        <v>106</v>
      </c>
      <c r="J1611" s="6"/>
      <c r="K1611" s="6" t="s">
        <v>107</v>
      </c>
      <c r="L1611" s="6" t="s">
        <v>108</v>
      </c>
      <c r="M1611" s="6"/>
      <c r="N1611" s="6" t="s">
        <v>109</v>
      </c>
      <c r="O1611" s="6" t="str">
        <f>HYPERLINK("https://ceds.ed.gov/cedselementdetails.aspx?termid=5892")</f>
        <v>https://ceds.ed.gov/cedselementdetails.aspx?termid=5892</v>
      </c>
      <c r="P1611" s="6" t="str">
        <f>HYPERLINK("https://ceds.ed.gov/elementComment.aspx?elementName=Achievement Category Type &amp;elementID=5892", "Click here to submit comment")</f>
        <v>Click here to submit comment</v>
      </c>
    </row>
    <row r="1612" spans="1:16" ht="60">
      <c r="A1612" s="6" t="s">
        <v>6788</v>
      </c>
      <c r="B1612" s="6" t="s">
        <v>6784</v>
      </c>
      <c r="C1612" s="6" t="s">
        <v>6854</v>
      </c>
      <c r="D1612" s="6" t="s">
        <v>134</v>
      </c>
      <c r="E1612" s="6" t="s">
        <v>135</v>
      </c>
      <c r="F1612" s="6" t="s">
        <v>13</v>
      </c>
      <c r="G1612" s="6"/>
      <c r="H1612" s="6"/>
      <c r="I1612" s="6" t="s">
        <v>93</v>
      </c>
      <c r="J1612" s="6"/>
      <c r="K1612" s="6" t="s">
        <v>136</v>
      </c>
      <c r="L1612" s="6" t="s">
        <v>137</v>
      </c>
      <c r="M1612" s="6"/>
      <c r="N1612" s="6" t="s">
        <v>138</v>
      </c>
      <c r="O1612" s="6" t="str">
        <f>HYPERLINK("https://ceds.ed.gov/cedselementdetails.aspx?termid=5894")</f>
        <v>https://ceds.ed.gov/cedselementdetails.aspx?termid=5894</v>
      </c>
      <c r="P1612" s="6" t="str">
        <f>HYPERLINK("https://ceds.ed.gov/elementComment.aspx?elementName=Achievement Image URL &amp;elementID=5894", "Click here to submit comment")</f>
        <v>Click here to submit comment</v>
      </c>
    </row>
    <row r="1613" spans="1:16" ht="30">
      <c r="A1613" s="6" t="s">
        <v>6788</v>
      </c>
      <c r="B1613" s="6" t="s">
        <v>6784</v>
      </c>
      <c r="C1613" s="6" t="s">
        <v>6854</v>
      </c>
      <c r="D1613" s="6" t="s">
        <v>110</v>
      </c>
      <c r="E1613" s="6" t="s">
        <v>111</v>
      </c>
      <c r="F1613" s="6" t="s">
        <v>13</v>
      </c>
      <c r="G1613" s="6"/>
      <c r="H1613" s="6"/>
      <c r="I1613" s="6" t="s">
        <v>93</v>
      </c>
      <c r="J1613" s="6"/>
      <c r="K1613" s="6"/>
      <c r="L1613" s="6" t="s">
        <v>112</v>
      </c>
      <c r="M1613" s="6"/>
      <c r="N1613" s="6" t="s">
        <v>113</v>
      </c>
      <c r="O1613" s="6" t="str">
        <f>HYPERLINK("https://ceds.ed.gov/cedselementdetails.aspx?termid=5896")</f>
        <v>https://ceds.ed.gov/cedselementdetails.aspx?termid=5896</v>
      </c>
      <c r="P1613" s="6" t="str">
        <f>HYPERLINK("https://ceds.ed.gov/elementComment.aspx?elementName=Achievement Criteria &amp;elementID=5896", "Click here to submit comment")</f>
        <v>Click here to submit comment</v>
      </c>
    </row>
    <row r="1614" spans="1:16" ht="75">
      <c r="A1614" s="6" t="s">
        <v>6788</v>
      </c>
      <c r="B1614" s="6" t="s">
        <v>6784</v>
      </c>
      <c r="C1614" s="6" t="s">
        <v>6854</v>
      </c>
      <c r="D1614" s="6" t="s">
        <v>114</v>
      </c>
      <c r="E1614" s="6" t="s">
        <v>115</v>
      </c>
      <c r="F1614" s="6" t="s">
        <v>13</v>
      </c>
      <c r="G1614" s="6"/>
      <c r="H1614" s="6"/>
      <c r="I1614" s="6" t="s">
        <v>93</v>
      </c>
      <c r="J1614" s="6"/>
      <c r="K1614" s="6"/>
      <c r="L1614" s="6" t="s">
        <v>116</v>
      </c>
      <c r="M1614" s="6"/>
      <c r="N1614" s="6" t="s">
        <v>117</v>
      </c>
      <c r="O1614" s="6" t="str">
        <f>HYPERLINK("https://ceds.ed.gov/cedselementdetails.aspx?termid=6113")</f>
        <v>https://ceds.ed.gov/cedselementdetails.aspx?termid=6113</v>
      </c>
      <c r="P1614" s="6" t="str">
        <f>HYPERLINK("https://ceds.ed.gov/elementComment.aspx?elementName=Achievement Criteria URL &amp;elementID=6113", "Click here to submit comment")</f>
        <v>Click here to submit comment</v>
      </c>
    </row>
    <row r="1615" spans="1:16" ht="60">
      <c r="A1615" s="6" t="s">
        <v>6788</v>
      </c>
      <c r="B1615" s="6" t="s">
        <v>6784</v>
      </c>
      <c r="C1615" s="6" t="s">
        <v>6854</v>
      </c>
      <c r="D1615" s="6" t="s">
        <v>130</v>
      </c>
      <c r="E1615" s="6" t="s">
        <v>131</v>
      </c>
      <c r="F1615" s="6" t="s">
        <v>13</v>
      </c>
      <c r="G1615" s="6"/>
      <c r="H1615" s="6"/>
      <c r="I1615" s="6" t="s">
        <v>93</v>
      </c>
      <c r="J1615" s="6"/>
      <c r="K1615" s="6"/>
      <c r="L1615" s="6" t="s">
        <v>132</v>
      </c>
      <c r="M1615" s="6"/>
      <c r="N1615" s="6" t="s">
        <v>133</v>
      </c>
      <c r="O1615" s="6" t="str">
        <f>HYPERLINK("https://ceds.ed.gov/cedselementdetails.aspx?termid=5901")</f>
        <v>https://ceds.ed.gov/cedselementdetails.aspx?termid=5901</v>
      </c>
      <c r="P1615" s="6" t="str">
        <f>HYPERLINK("https://ceds.ed.gov/elementComment.aspx?elementName=Achievement Evidence Statement &amp;elementID=5901", "Click here to submit comment")</f>
        <v>Click here to submit comment</v>
      </c>
    </row>
    <row r="1616" spans="1:16" ht="45">
      <c r="A1616" s="6" t="s">
        <v>6788</v>
      </c>
      <c r="B1616" s="6" t="s">
        <v>6784</v>
      </c>
      <c r="C1616" s="6" t="s">
        <v>6855</v>
      </c>
      <c r="D1616" s="6" t="s">
        <v>3524</v>
      </c>
      <c r="E1616" s="6" t="s">
        <v>3525</v>
      </c>
      <c r="F1616" s="6" t="s">
        <v>13</v>
      </c>
      <c r="G1616" s="6"/>
      <c r="H1616" s="6"/>
      <c r="I1616" s="6" t="s">
        <v>93</v>
      </c>
      <c r="J1616" s="6"/>
      <c r="K1616" s="6"/>
      <c r="L1616" s="6" t="s">
        <v>3526</v>
      </c>
      <c r="M1616" s="6"/>
      <c r="N1616" s="6" t="s">
        <v>3527</v>
      </c>
      <c r="O1616" s="6" t="str">
        <f>HYPERLINK("https://ceds.ed.gov/cedselementdetails.aspx?termid=5903")</f>
        <v>https://ceds.ed.gov/cedselementdetails.aspx?termid=5903</v>
      </c>
      <c r="P1616" s="6" t="str">
        <f>HYPERLINK("https://ceds.ed.gov/elementComment.aspx?elementName=Learning Goal Description &amp;elementID=5903", "Click here to submit comment")</f>
        <v>Click here to submit comment</v>
      </c>
    </row>
    <row r="1617" spans="1:16" ht="135">
      <c r="A1617" s="6" t="s">
        <v>6788</v>
      </c>
      <c r="B1617" s="6" t="s">
        <v>6784</v>
      </c>
      <c r="C1617" s="6" t="s">
        <v>6855</v>
      </c>
      <c r="D1617" s="6" t="s">
        <v>3536</v>
      </c>
      <c r="E1617" s="6" t="s">
        <v>3537</v>
      </c>
      <c r="F1617" s="6" t="s">
        <v>13</v>
      </c>
      <c r="G1617" s="6"/>
      <c r="H1617" s="6"/>
      <c r="I1617" s="6" t="s">
        <v>93</v>
      </c>
      <c r="J1617" s="6"/>
      <c r="K1617" s="6"/>
      <c r="L1617" s="6" t="s">
        <v>3538</v>
      </c>
      <c r="M1617" s="6"/>
      <c r="N1617" s="6" t="s">
        <v>3539</v>
      </c>
      <c r="O1617" s="6" t="str">
        <f>HYPERLINK("https://ceds.ed.gov/cedselementdetails.aspx?termid=5902")</f>
        <v>https://ceds.ed.gov/cedselementdetails.aspx?termid=5902</v>
      </c>
      <c r="P1617" s="6" t="str">
        <f>HYPERLINK("https://ceds.ed.gov/elementComment.aspx?elementName=Learning Goal Success Criteria &amp;elementID=5902", "Click here to submit comment")</f>
        <v>Click here to submit comment</v>
      </c>
    </row>
    <row r="1618" spans="1:16" ht="75">
      <c r="A1618" s="6" t="s">
        <v>6788</v>
      </c>
      <c r="B1618" s="6" t="s">
        <v>6784</v>
      </c>
      <c r="C1618" s="6" t="s">
        <v>6856</v>
      </c>
      <c r="D1618" s="6" t="s">
        <v>3919</v>
      </c>
      <c r="E1618" s="6" t="s">
        <v>3920</v>
      </c>
      <c r="F1618" s="6" t="s">
        <v>13</v>
      </c>
      <c r="G1618" s="6"/>
      <c r="H1618" s="6"/>
      <c r="I1618" s="6" t="s">
        <v>545</v>
      </c>
      <c r="J1618" s="6"/>
      <c r="K1618" s="6"/>
      <c r="L1618" s="6" t="s">
        <v>3921</v>
      </c>
      <c r="M1618" s="6"/>
      <c r="N1618" s="6" t="s">
        <v>3922</v>
      </c>
      <c r="O1618" s="6" t="str">
        <f>HYPERLINK("https://ceds.ed.gov/cedselementdetails.aspx?termid=6115")</f>
        <v>https://ceds.ed.gov/cedselementdetails.aspx?termid=6115</v>
      </c>
      <c r="P1618" s="6" t="str">
        <f>HYPERLINK("https://ceds.ed.gov/elementComment.aspx?elementName=Learning Standard Item Text Complexity Maximum Value &amp;elementID=6115", "Click here to submit comment")</f>
        <v>Click here to submit comment</v>
      </c>
    </row>
    <row r="1619" spans="1:16" ht="75">
      <c r="A1619" s="6" t="s">
        <v>6788</v>
      </c>
      <c r="B1619" s="6" t="s">
        <v>6784</v>
      </c>
      <c r="C1619" s="6" t="s">
        <v>6856</v>
      </c>
      <c r="D1619" s="6" t="s">
        <v>3923</v>
      </c>
      <c r="E1619" s="6" t="s">
        <v>3924</v>
      </c>
      <c r="F1619" s="6" t="s">
        <v>13</v>
      </c>
      <c r="G1619" s="6"/>
      <c r="H1619" s="6"/>
      <c r="I1619" s="6" t="s">
        <v>545</v>
      </c>
      <c r="J1619" s="6"/>
      <c r="K1619" s="6"/>
      <c r="L1619" s="6" t="s">
        <v>3925</v>
      </c>
      <c r="M1619" s="6"/>
      <c r="N1619" s="6" t="s">
        <v>3926</v>
      </c>
      <c r="O1619" s="6" t="str">
        <f>HYPERLINK("https://ceds.ed.gov/cedselementdetails.aspx?termid=6114")</f>
        <v>https://ceds.ed.gov/cedselementdetails.aspx?termid=6114</v>
      </c>
      <c r="P1619" s="6" t="str">
        <f>HYPERLINK("https://ceds.ed.gov/elementComment.aspx?elementName=Learning Standard Item Text Complexity Minimum Value &amp;elementID=6114", "Click here to submit comment")</f>
        <v>Click here to submit comment</v>
      </c>
    </row>
    <row r="1620" spans="1:16" ht="30">
      <c r="A1620" s="6" t="s">
        <v>6788</v>
      </c>
      <c r="B1620" s="6" t="s">
        <v>6784</v>
      </c>
      <c r="C1620" s="6" t="s">
        <v>6857</v>
      </c>
      <c r="D1620" s="6" t="s">
        <v>3439</v>
      </c>
      <c r="E1620" s="6" t="s">
        <v>3440</v>
      </c>
      <c r="F1620" s="6" t="s">
        <v>13</v>
      </c>
      <c r="G1620" s="6"/>
      <c r="H1620" s="6"/>
      <c r="I1620" s="6" t="s">
        <v>73</v>
      </c>
      <c r="J1620" s="6"/>
      <c r="K1620" s="6"/>
      <c r="L1620" s="6" t="s">
        <v>3441</v>
      </c>
      <c r="M1620" s="6"/>
      <c r="N1620" s="6" t="s">
        <v>3442</v>
      </c>
      <c r="O1620" s="6" t="str">
        <f>HYPERLINK("https://ceds.ed.gov/cedselementdetails.aspx?termid=5938")</f>
        <v>https://ceds.ed.gov/cedselementdetails.aspx?termid=5938</v>
      </c>
      <c r="P1620" s="6" t="str">
        <f>HYPERLINK("https://ceds.ed.gov/elementComment.aspx?elementName=Learner Action Date &amp;elementID=5938", "Click here to submit comment")</f>
        <v>Click here to submit comment</v>
      </c>
    </row>
    <row r="1621" spans="1:16" ht="30">
      <c r="A1621" s="6" t="s">
        <v>6788</v>
      </c>
      <c r="B1621" s="6" t="s">
        <v>6784</v>
      </c>
      <c r="C1621" s="6" t="s">
        <v>6857</v>
      </c>
      <c r="D1621" s="6" t="s">
        <v>3443</v>
      </c>
      <c r="E1621" s="6" t="s">
        <v>3444</v>
      </c>
      <c r="F1621" s="6" t="s">
        <v>13</v>
      </c>
      <c r="G1621" s="6"/>
      <c r="H1621" s="6"/>
      <c r="I1621" s="6" t="s">
        <v>3445</v>
      </c>
      <c r="J1621" s="6"/>
      <c r="K1621" s="6"/>
      <c r="L1621" s="6" t="s">
        <v>3446</v>
      </c>
      <c r="M1621" s="6"/>
      <c r="N1621" s="6" t="s">
        <v>3447</v>
      </c>
      <c r="O1621" s="6" t="str">
        <f>HYPERLINK("https://ceds.ed.gov/cedselementdetails.aspx?termid=5937")</f>
        <v>https://ceds.ed.gov/cedselementdetails.aspx?termid=5937</v>
      </c>
      <c r="P1621" s="6" t="str">
        <f>HYPERLINK("https://ceds.ed.gov/elementComment.aspx?elementName=Learner Action Time &amp;elementID=5937", "Click here to submit comment")</f>
        <v>Click here to submit comment</v>
      </c>
    </row>
    <row r="1622" spans="1:16" ht="225">
      <c r="A1622" s="6" t="s">
        <v>6788</v>
      </c>
      <c r="B1622" s="6" t="s">
        <v>6784</v>
      </c>
      <c r="C1622" s="6" t="s">
        <v>6857</v>
      </c>
      <c r="D1622" s="6" t="s">
        <v>3448</v>
      </c>
      <c r="E1622" s="6" t="s">
        <v>3449</v>
      </c>
      <c r="F1622" s="7" t="s">
        <v>6564</v>
      </c>
      <c r="G1622" s="6"/>
      <c r="H1622" s="6"/>
      <c r="I1622" s="6"/>
      <c r="J1622" s="6"/>
      <c r="K1622" s="6"/>
      <c r="L1622" s="6" t="s">
        <v>3450</v>
      </c>
      <c r="M1622" s="6"/>
      <c r="N1622" s="6" t="s">
        <v>3451</v>
      </c>
      <c r="O1622" s="6" t="str">
        <f>HYPERLINK("https://ceds.ed.gov/cedselementdetails.aspx?termid=5935")</f>
        <v>https://ceds.ed.gov/cedselementdetails.aspx?termid=5935</v>
      </c>
      <c r="P1622" s="6" t="str">
        <f>HYPERLINK("https://ceds.ed.gov/elementComment.aspx?elementName=Learner Action Type &amp;elementID=5935", "Click here to submit comment")</f>
        <v>Click here to submit comment</v>
      </c>
    </row>
    <row r="1623" spans="1:16" ht="75">
      <c r="A1623" s="6" t="s">
        <v>6788</v>
      </c>
      <c r="B1623" s="6" t="s">
        <v>6784</v>
      </c>
      <c r="C1623" s="6" t="s">
        <v>6857</v>
      </c>
      <c r="D1623" s="6" t="s">
        <v>3452</v>
      </c>
      <c r="E1623" s="6" t="s">
        <v>3453</v>
      </c>
      <c r="F1623" s="6" t="s">
        <v>13</v>
      </c>
      <c r="G1623" s="6"/>
      <c r="H1623" s="6"/>
      <c r="I1623" s="6" t="s">
        <v>319</v>
      </c>
      <c r="J1623" s="6"/>
      <c r="K1623" s="6"/>
      <c r="L1623" s="6" t="s">
        <v>3454</v>
      </c>
      <c r="M1623" s="6"/>
      <c r="N1623" s="6" t="s">
        <v>3455</v>
      </c>
      <c r="O1623" s="6" t="str">
        <f>HYPERLINK("https://ceds.ed.gov/cedselementdetails.aspx?termid=5936")</f>
        <v>https://ceds.ed.gov/cedselementdetails.aspx?termid=5936</v>
      </c>
      <c r="P1623" s="6" t="str">
        <f>HYPERLINK("https://ceds.ed.gov/elementComment.aspx?elementName=Learner Action Value &amp;elementID=5936", "Click here to submit comment")</f>
        <v>Click here to submit comment</v>
      </c>
    </row>
    <row r="1624" spans="1:16" ht="45">
      <c r="A1624" s="6" t="s">
        <v>6788</v>
      </c>
      <c r="B1624" s="6" t="s">
        <v>6784</v>
      </c>
      <c r="C1624" s="6" t="s">
        <v>6858</v>
      </c>
      <c r="D1624" s="6" t="s">
        <v>3512</v>
      </c>
      <c r="E1624" s="6" t="s">
        <v>3513</v>
      </c>
      <c r="F1624" s="6" t="s">
        <v>13</v>
      </c>
      <c r="G1624" s="6"/>
      <c r="H1624" s="6"/>
      <c r="I1624" s="6" t="s">
        <v>100</v>
      </c>
      <c r="J1624" s="6"/>
      <c r="K1624" s="6"/>
      <c r="L1624" s="6" t="s">
        <v>3514</v>
      </c>
      <c r="M1624" s="6"/>
      <c r="N1624" s="6" t="s">
        <v>3515</v>
      </c>
      <c r="O1624" s="6" t="str">
        <f>HYPERLINK("https://ceds.ed.gov/cedselementdetails.aspx?termid=5940")</f>
        <v>https://ceds.ed.gov/cedselementdetails.aspx?termid=5940</v>
      </c>
      <c r="P1624" s="6" t="str">
        <f>HYPERLINK("https://ceds.ed.gov/elementComment.aspx?elementName=Learner Activity Title &amp;elementID=5940", "Click here to submit comment")</f>
        <v>Click here to submit comment</v>
      </c>
    </row>
    <row r="1625" spans="1:16" ht="45">
      <c r="A1625" s="6" t="s">
        <v>6788</v>
      </c>
      <c r="B1625" s="6" t="s">
        <v>6784</v>
      </c>
      <c r="C1625" s="6" t="s">
        <v>6858</v>
      </c>
      <c r="D1625" s="6" t="s">
        <v>3464</v>
      </c>
      <c r="E1625" s="6" t="s">
        <v>3465</v>
      </c>
      <c r="F1625" s="6" t="s">
        <v>13</v>
      </c>
      <c r="G1625" s="6"/>
      <c r="H1625" s="6"/>
      <c r="I1625" s="6" t="s">
        <v>93</v>
      </c>
      <c r="J1625" s="6"/>
      <c r="K1625" s="6"/>
      <c r="L1625" s="6" t="s">
        <v>3466</v>
      </c>
      <c r="M1625" s="6"/>
      <c r="N1625" s="6" t="s">
        <v>3467</v>
      </c>
      <c r="O1625" s="6" t="str">
        <f>HYPERLINK("https://ceds.ed.gov/cedselementdetails.aspx?termid=5941")</f>
        <v>https://ceds.ed.gov/cedselementdetails.aspx?termid=5941</v>
      </c>
      <c r="P1625" s="6" t="str">
        <f>HYPERLINK("https://ceds.ed.gov/elementComment.aspx?elementName=Learner Activity Description &amp;elementID=5941", "Click here to submit comment")</f>
        <v>Click here to submit comment</v>
      </c>
    </row>
    <row r="1626" spans="1:16" ht="120">
      <c r="A1626" s="6" t="s">
        <v>6788</v>
      </c>
      <c r="B1626" s="6" t="s">
        <v>6784</v>
      </c>
      <c r="C1626" s="6" t="s">
        <v>6858</v>
      </c>
      <c r="D1626" s="6" t="s">
        <v>3499</v>
      </c>
      <c r="E1626" s="6" t="s">
        <v>3500</v>
      </c>
      <c r="F1626" s="6" t="s">
        <v>13</v>
      </c>
      <c r="G1626" s="6"/>
      <c r="H1626" s="6"/>
      <c r="I1626" s="6" t="s">
        <v>93</v>
      </c>
      <c r="J1626" s="6"/>
      <c r="K1626" s="6" t="s">
        <v>3501</v>
      </c>
      <c r="L1626" s="6" t="s">
        <v>3502</v>
      </c>
      <c r="M1626" s="6"/>
      <c r="N1626" s="6" t="s">
        <v>3503</v>
      </c>
      <c r="O1626" s="6" t="str">
        <f>HYPERLINK("https://ceds.ed.gov/cedselementdetails.aspx?termid=5942")</f>
        <v>https://ceds.ed.gov/cedselementdetails.aspx?termid=5942</v>
      </c>
      <c r="P1626" s="6" t="str">
        <f>HYPERLINK("https://ceds.ed.gov/elementComment.aspx?elementName=Learner Activity Prerequisite &amp;elementID=5942", "Click here to submit comment")</f>
        <v>Click here to submit comment</v>
      </c>
    </row>
    <row r="1627" spans="1:16" ht="75">
      <c r="A1627" s="6" t="s">
        <v>6788</v>
      </c>
      <c r="B1627" s="6" t="s">
        <v>6784</v>
      </c>
      <c r="C1627" s="6" t="s">
        <v>6858</v>
      </c>
      <c r="D1627" s="6" t="s">
        <v>3516</v>
      </c>
      <c r="E1627" s="6" t="s">
        <v>3517</v>
      </c>
      <c r="F1627" s="6" t="s">
        <v>6222</v>
      </c>
      <c r="G1627" s="6"/>
      <c r="H1627" s="6"/>
      <c r="I1627" s="6"/>
      <c r="J1627" s="6"/>
      <c r="K1627" s="6"/>
      <c r="L1627" s="6" t="s">
        <v>3518</v>
      </c>
      <c r="M1627" s="6"/>
      <c r="N1627" s="6" t="s">
        <v>3519</v>
      </c>
      <c r="O1627" s="6" t="str">
        <f>HYPERLINK("https://ceds.ed.gov/cedselementdetails.aspx?termid=5943")</f>
        <v>https://ceds.ed.gov/cedselementdetails.aspx?termid=5943</v>
      </c>
      <c r="P1627" s="6" t="str">
        <f>HYPERLINK("https://ceds.ed.gov/elementComment.aspx?elementName=Learner Activity Type &amp;elementID=5943", "Click here to submit comment")</f>
        <v>Click here to submit comment</v>
      </c>
    </row>
    <row r="1628" spans="1:16" ht="30">
      <c r="A1628" s="6" t="s">
        <v>6788</v>
      </c>
      <c r="B1628" s="6" t="s">
        <v>6784</v>
      </c>
      <c r="C1628" s="6" t="s">
        <v>6858</v>
      </c>
      <c r="D1628" s="6" t="s">
        <v>3460</v>
      </c>
      <c r="E1628" s="6" t="s">
        <v>3461</v>
      </c>
      <c r="F1628" s="6" t="s">
        <v>13</v>
      </c>
      <c r="G1628" s="6"/>
      <c r="H1628" s="6"/>
      <c r="I1628" s="6" t="s">
        <v>73</v>
      </c>
      <c r="J1628" s="6"/>
      <c r="K1628" s="6"/>
      <c r="L1628" s="6" t="s">
        <v>3462</v>
      </c>
      <c r="M1628" s="6"/>
      <c r="N1628" s="6" t="s">
        <v>3463</v>
      </c>
      <c r="O1628" s="6" t="str">
        <f>HYPERLINK("https://ceds.ed.gov/cedselementdetails.aspx?termid=5944")</f>
        <v>https://ceds.ed.gov/cedselementdetails.aspx?termid=5944</v>
      </c>
      <c r="P1628" s="6" t="str">
        <f>HYPERLINK("https://ceds.ed.gov/elementComment.aspx?elementName=Learner Activity Creation Date &amp;elementID=5944", "Click here to submit comment")</f>
        <v>Click here to submit comment</v>
      </c>
    </row>
    <row r="1629" spans="1:16" ht="45">
      <c r="A1629" s="6" t="s">
        <v>6788</v>
      </c>
      <c r="B1629" s="6" t="s">
        <v>6784</v>
      </c>
      <c r="C1629" s="6" t="s">
        <v>6858</v>
      </c>
      <c r="D1629" s="6" t="s">
        <v>3485</v>
      </c>
      <c r="E1629" s="6" t="s">
        <v>3486</v>
      </c>
      <c r="F1629" s="6" t="s">
        <v>13</v>
      </c>
      <c r="G1629" s="6"/>
      <c r="H1629" s="6"/>
      <c r="I1629" s="6" t="s">
        <v>308</v>
      </c>
      <c r="J1629" s="6"/>
      <c r="K1629" s="6" t="s">
        <v>3487</v>
      </c>
      <c r="L1629" s="6" t="s">
        <v>3488</v>
      </c>
      <c r="M1629" s="6"/>
      <c r="N1629" s="6" t="s">
        <v>3489</v>
      </c>
      <c r="O1629" s="6" t="str">
        <f>HYPERLINK("https://ceds.ed.gov/cedselementdetails.aspx?termid=5945")</f>
        <v>https://ceds.ed.gov/cedselementdetails.aspx?termid=5945</v>
      </c>
      <c r="P1629" s="6" t="str">
        <f>HYPERLINK("https://ceds.ed.gov/elementComment.aspx?elementName=Learner Activity Maximum Time Allowed &amp;elementID=5945", "Click here to submit comment")</f>
        <v>Click here to submit comment</v>
      </c>
    </row>
    <row r="1630" spans="1:16" ht="90">
      <c r="A1630" s="6" t="s">
        <v>6788</v>
      </c>
      <c r="B1630" s="6" t="s">
        <v>6784</v>
      </c>
      <c r="C1630" s="6" t="s">
        <v>6858</v>
      </c>
      <c r="D1630" s="6" t="s">
        <v>3490</v>
      </c>
      <c r="E1630" s="6" t="s">
        <v>3491</v>
      </c>
      <c r="F1630" s="6" t="s">
        <v>6221</v>
      </c>
      <c r="G1630" s="6"/>
      <c r="H1630" s="6"/>
      <c r="I1630" s="6"/>
      <c r="J1630" s="6"/>
      <c r="K1630" s="6"/>
      <c r="L1630" s="6" t="s">
        <v>3492</v>
      </c>
      <c r="M1630" s="6"/>
      <c r="N1630" s="6" t="s">
        <v>3493</v>
      </c>
      <c r="O1630" s="6" t="str">
        <f>HYPERLINK("https://ceds.ed.gov/cedselementdetails.aspx?termid=5946")</f>
        <v>https://ceds.ed.gov/cedselementdetails.aspx?termid=5946</v>
      </c>
      <c r="P1630" s="6" t="str">
        <f>HYPERLINK("https://ceds.ed.gov/elementComment.aspx?elementName=Learner Activity Maximum Time Allowed Unit &amp;elementID=5946", "Click here to submit comment")</f>
        <v>Click here to submit comment</v>
      </c>
    </row>
    <row r="1631" spans="1:16" ht="30">
      <c r="A1631" s="6" t="s">
        <v>6788</v>
      </c>
      <c r="B1631" s="6" t="s">
        <v>6784</v>
      </c>
      <c r="C1631" s="6" t="s">
        <v>6858</v>
      </c>
      <c r="D1631" s="6" t="s">
        <v>3468</v>
      </c>
      <c r="E1631" s="6" t="s">
        <v>3469</v>
      </c>
      <c r="F1631" s="6" t="s">
        <v>13</v>
      </c>
      <c r="G1631" s="6"/>
      <c r="H1631" s="6"/>
      <c r="I1631" s="6" t="s">
        <v>73</v>
      </c>
      <c r="J1631" s="6"/>
      <c r="K1631" s="6"/>
      <c r="L1631" s="6" t="s">
        <v>3470</v>
      </c>
      <c r="M1631" s="6"/>
      <c r="N1631" s="6" t="s">
        <v>3471</v>
      </c>
      <c r="O1631" s="6" t="str">
        <f>HYPERLINK("https://ceds.ed.gov/cedselementdetails.aspx?termid=5947")</f>
        <v>https://ceds.ed.gov/cedselementdetails.aspx?termid=5947</v>
      </c>
      <c r="P1631" s="6" t="str">
        <f>HYPERLINK("https://ceds.ed.gov/elementComment.aspx?elementName=Learner Activity Due Date &amp;elementID=5947", "Click here to submit comment")</f>
        <v>Click here to submit comment</v>
      </c>
    </row>
    <row r="1632" spans="1:16" ht="30">
      <c r="A1632" s="6" t="s">
        <v>6788</v>
      </c>
      <c r="B1632" s="6" t="s">
        <v>6784</v>
      </c>
      <c r="C1632" s="6" t="s">
        <v>6858</v>
      </c>
      <c r="D1632" s="6" t="s">
        <v>3472</v>
      </c>
      <c r="E1632" s="6" t="s">
        <v>3473</v>
      </c>
      <c r="F1632" s="6" t="s">
        <v>13</v>
      </c>
      <c r="G1632" s="6"/>
      <c r="H1632" s="6"/>
      <c r="I1632" s="6" t="s">
        <v>426</v>
      </c>
      <c r="J1632" s="6"/>
      <c r="K1632" s="6"/>
      <c r="L1632" s="6" t="s">
        <v>3474</v>
      </c>
      <c r="M1632" s="6"/>
      <c r="N1632" s="6" t="s">
        <v>3475</v>
      </c>
      <c r="O1632" s="6" t="str">
        <f>HYPERLINK("https://ceds.ed.gov/cedselementdetails.aspx?termid=5948")</f>
        <v>https://ceds.ed.gov/cedselementdetails.aspx?termid=5948</v>
      </c>
      <c r="P1632" s="6" t="str">
        <f>HYPERLINK("https://ceds.ed.gov/elementComment.aspx?elementName=Learner Activity Due Time &amp;elementID=5948", "Click here to submit comment")</f>
        <v>Click here to submit comment</v>
      </c>
    </row>
    <row r="1633" spans="1:16" ht="45">
      <c r="A1633" s="6" t="s">
        <v>6788</v>
      </c>
      <c r="B1633" s="6" t="s">
        <v>6784</v>
      </c>
      <c r="C1633" s="6" t="s">
        <v>6858</v>
      </c>
      <c r="D1633" s="6" t="s">
        <v>3481</v>
      </c>
      <c r="E1633" s="6" t="s">
        <v>3482</v>
      </c>
      <c r="F1633" s="6" t="s">
        <v>13</v>
      </c>
      <c r="G1633" s="6"/>
      <c r="H1633" s="6"/>
      <c r="I1633" s="6" t="s">
        <v>308</v>
      </c>
      <c r="J1633" s="6"/>
      <c r="K1633" s="6"/>
      <c r="L1633" s="6" t="s">
        <v>3483</v>
      </c>
      <c r="M1633" s="6"/>
      <c r="N1633" s="6" t="s">
        <v>3484</v>
      </c>
      <c r="O1633" s="6" t="str">
        <f>HYPERLINK("https://ceds.ed.gov/cedselementdetails.aspx?termid=5949")</f>
        <v>https://ceds.ed.gov/cedselementdetails.aspx?termid=5949</v>
      </c>
      <c r="P1633" s="6" t="str">
        <f>HYPERLINK("https://ceds.ed.gov/elementComment.aspx?elementName=Learner Activity Maximum Attempts Allowed &amp;elementID=5949", "Click here to submit comment")</f>
        <v>Click here to submit comment</v>
      </c>
    </row>
    <row r="1634" spans="1:16" ht="75">
      <c r="A1634" s="6" t="s">
        <v>6788</v>
      </c>
      <c r="B1634" s="6" t="s">
        <v>6784</v>
      </c>
      <c r="C1634" s="6" t="s">
        <v>6858</v>
      </c>
      <c r="D1634" s="6" t="s">
        <v>3456</v>
      </c>
      <c r="E1634" s="6" t="s">
        <v>3457</v>
      </c>
      <c r="F1634" s="7" t="s">
        <v>6373</v>
      </c>
      <c r="G1634" s="6"/>
      <c r="H1634" s="6"/>
      <c r="I1634" s="6"/>
      <c r="J1634" s="6"/>
      <c r="K1634" s="6"/>
      <c r="L1634" s="6" t="s">
        <v>3458</v>
      </c>
      <c r="M1634" s="6"/>
      <c r="N1634" s="6" t="s">
        <v>3459</v>
      </c>
      <c r="O1634" s="6" t="str">
        <f>HYPERLINK("https://ceds.ed.gov/cedselementdetails.aspx?termid=5950")</f>
        <v>https://ceds.ed.gov/cedselementdetails.aspx?termid=5950</v>
      </c>
      <c r="P1634" s="6" t="str">
        <f>HYPERLINK("https://ceds.ed.gov/elementComment.aspx?elementName=Learner Activity Add To Grade Book Flag &amp;elementID=5950", "Click here to submit comment")</f>
        <v>Click here to submit comment</v>
      </c>
    </row>
    <row r="1635" spans="1:16" ht="60">
      <c r="A1635" s="6" t="s">
        <v>6788</v>
      </c>
      <c r="B1635" s="6" t="s">
        <v>6784</v>
      </c>
      <c r="C1635" s="6" t="s">
        <v>6858</v>
      </c>
      <c r="D1635" s="6" t="s">
        <v>3504</v>
      </c>
      <c r="E1635" s="6" t="s">
        <v>3505</v>
      </c>
      <c r="F1635" s="6" t="s">
        <v>13</v>
      </c>
      <c r="G1635" s="6"/>
      <c r="H1635" s="6"/>
      <c r="I1635" s="6" t="s">
        <v>73</v>
      </c>
      <c r="J1635" s="6"/>
      <c r="K1635" s="6"/>
      <c r="L1635" s="6" t="s">
        <v>3506</v>
      </c>
      <c r="M1635" s="6"/>
      <c r="N1635" s="6" t="s">
        <v>3507</v>
      </c>
      <c r="O1635" s="6" t="str">
        <f>HYPERLINK("https://ceds.ed.gov/cedselementdetails.aspx?termid=5951")</f>
        <v>https://ceds.ed.gov/cedselementdetails.aspx?termid=5951</v>
      </c>
      <c r="P1635" s="6" t="str">
        <f>HYPERLINK("https://ceds.ed.gov/elementComment.aspx?elementName=Learner Activity Release Date &amp;elementID=5951", "Click here to submit comment")</f>
        <v>Click here to submit comment</v>
      </c>
    </row>
    <row r="1636" spans="1:16" ht="45">
      <c r="A1636" s="6" t="s">
        <v>6788</v>
      </c>
      <c r="B1636" s="6" t="s">
        <v>6784</v>
      </c>
      <c r="C1636" s="6" t="s">
        <v>6858</v>
      </c>
      <c r="D1636" s="6" t="s">
        <v>3520</v>
      </c>
      <c r="E1636" s="6" t="s">
        <v>3521</v>
      </c>
      <c r="F1636" s="6" t="s">
        <v>13</v>
      </c>
      <c r="G1636" s="6"/>
      <c r="H1636" s="6"/>
      <c r="I1636" s="6" t="s">
        <v>740</v>
      </c>
      <c r="J1636" s="6"/>
      <c r="K1636" s="6"/>
      <c r="L1636" s="6" t="s">
        <v>3522</v>
      </c>
      <c r="M1636" s="6"/>
      <c r="N1636" s="6" t="s">
        <v>3523</v>
      </c>
      <c r="O1636" s="6" t="str">
        <f>HYPERLINK("https://ceds.ed.gov/cedselementdetails.aspx?termid=5952")</f>
        <v>https://ceds.ed.gov/cedselementdetails.aspx?termid=5952</v>
      </c>
      <c r="P1636" s="6" t="str">
        <f>HYPERLINK("https://ceds.ed.gov/elementComment.aspx?elementName=Learner Activity Weight &amp;elementID=5952", "Click here to submit comment")</f>
        <v>Click here to submit comment</v>
      </c>
    </row>
    <row r="1637" spans="1:16" ht="30">
      <c r="A1637" s="6" t="s">
        <v>6788</v>
      </c>
      <c r="B1637" s="6" t="s">
        <v>6784</v>
      </c>
      <c r="C1637" s="6" t="s">
        <v>6858</v>
      </c>
      <c r="D1637" s="6" t="s">
        <v>3494</v>
      </c>
      <c r="E1637" s="6" t="s">
        <v>3495</v>
      </c>
      <c r="F1637" s="6" t="s">
        <v>13</v>
      </c>
      <c r="G1637" s="6"/>
      <c r="H1637" s="6"/>
      <c r="I1637" s="6" t="s">
        <v>3496</v>
      </c>
      <c r="J1637" s="6"/>
      <c r="K1637" s="6"/>
      <c r="L1637" s="6" t="s">
        <v>3497</v>
      </c>
      <c r="M1637" s="6"/>
      <c r="N1637" s="6" t="s">
        <v>3498</v>
      </c>
      <c r="O1637" s="6" t="str">
        <f>HYPERLINK("https://ceds.ed.gov/cedselementdetails.aspx?termid=5953")</f>
        <v>https://ceds.ed.gov/cedselementdetails.aspx?termid=5953</v>
      </c>
      <c r="P1637" s="6" t="str">
        <f>HYPERLINK("https://ceds.ed.gov/elementComment.aspx?elementName=Learner Activity Possible Points &amp;elementID=5953", "Click here to submit comment")</f>
        <v>Click here to submit comment</v>
      </c>
    </row>
    <row r="1638" spans="1:16" ht="60">
      <c r="A1638" s="6" t="s">
        <v>6788</v>
      </c>
      <c r="B1638" s="6" t="s">
        <v>6784</v>
      </c>
      <c r="C1638" s="6" t="s">
        <v>6858</v>
      </c>
      <c r="D1638" s="6" t="s">
        <v>3508</v>
      </c>
      <c r="E1638" s="6" t="s">
        <v>3509</v>
      </c>
      <c r="F1638" s="6" t="s">
        <v>13</v>
      </c>
      <c r="G1638" s="6"/>
      <c r="H1638" s="6"/>
      <c r="I1638" s="6" t="s">
        <v>93</v>
      </c>
      <c r="J1638" s="6"/>
      <c r="K1638" s="6"/>
      <c r="L1638" s="6" t="s">
        <v>3510</v>
      </c>
      <c r="M1638" s="6"/>
      <c r="N1638" s="6" t="s">
        <v>3511</v>
      </c>
      <c r="O1638" s="6" t="str">
        <f>HYPERLINK("https://ceds.ed.gov/cedselementdetails.aspx?termid=5954")</f>
        <v>https://ceds.ed.gov/cedselementdetails.aspx?termid=5954</v>
      </c>
      <c r="P1638" s="6" t="str">
        <f>HYPERLINK("https://ceds.ed.gov/elementComment.aspx?elementName=Learner Activity Rubric URL &amp;elementID=5954", "Click here to submit comment")</f>
        <v>Click here to submit comment</v>
      </c>
    </row>
    <row r="1639" spans="1:16" ht="75">
      <c r="A1639" s="6" t="s">
        <v>6788</v>
      </c>
      <c r="B1639" s="6" t="s">
        <v>6784</v>
      </c>
      <c r="C1639" s="6" t="s">
        <v>6858</v>
      </c>
      <c r="D1639" s="6" t="s">
        <v>3476</v>
      </c>
      <c r="E1639" s="6" t="s">
        <v>3477</v>
      </c>
      <c r="F1639" s="5" t="s">
        <v>939</v>
      </c>
      <c r="G1639" s="6"/>
      <c r="H1639" s="6"/>
      <c r="I1639" s="6"/>
      <c r="J1639" s="6"/>
      <c r="K1639" s="6" t="s">
        <v>3478</v>
      </c>
      <c r="L1639" s="6" t="s">
        <v>3479</v>
      </c>
      <c r="M1639" s="6"/>
      <c r="N1639" s="6" t="s">
        <v>3480</v>
      </c>
      <c r="O1639" s="6" t="str">
        <f>HYPERLINK("https://ceds.ed.gov/cedselementdetails.aspx?termid=5939")</f>
        <v>https://ceds.ed.gov/cedselementdetails.aspx?termid=5939</v>
      </c>
      <c r="P1639" s="6" t="str">
        <f>HYPERLINK("https://ceds.ed.gov/elementComment.aspx?elementName=Learner Activity Language &amp;elementID=5939", "Click here to submit comment")</f>
        <v>Click here to submit comment</v>
      </c>
    </row>
    <row r="1640" spans="1:16" ht="45">
      <c r="A1640" s="6" t="s">
        <v>6788</v>
      </c>
      <c r="B1640" s="6" t="s">
        <v>6784</v>
      </c>
      <c r="C1640" s="6" t="s">
        <v>6859</v>
      </c>
      <c r="D1640" s="6" t="s">
        <v>1121</v>
      </c>
      <c r="E1640" s="6" t="s">
        <v>1122</v>
      </c>
      <c r="F1640" s="6" t="s">
        <v>13</v>
      </c>
      <c r="G1640" s="6" t="s">
        <v>493</v>
      </c>
      <c r="H1640" s="6"/>
      <c r="I1640" s="6" t="s">
        <v>100</v>
      </c>
      <c r="J1640" s="6"/>
      <c r="K1640" s="6"/>
      <c r="L1640" s="6" t="s">
        <v>1123</v>
      </c>
      <c r="M1640" s="6"/>
      <c r="N1640" s="6" t="s">
        <v>1124</v>
      </c>
      <c r="O1640" s="6" t="str">
        <f>HYPERLINK("https://ceds.ed.gov/cedselementdetails.aspx?termid=5693")</f>
        <v>https://ceds.ed.gov/cedselementdetails.aspx?termid=5693</v>
      </c>
      <c r="P1640" s="6" t="str">
        <f>HYPERLINK("https://ceds.ed.gov/elementComment.aspx?elementName=Assessment Performance Level Identifier &amp;elementID=5693", "Click here to submit comment")</f>
        <v>Click here to submit comment</v>
      </c>
    </row>
    <row r="1641" spans="1:16" ht="45">
      <c r="A1641" s="6" t="s">
        <v>6788</v>
      </c>
      <c r="B1641" s="6" t="s">
        <v>6784</v>
      </c>
      <c r="C1641" s="6" t="s">
        <v>6859</v>
      </c>
      <c r="D1641" s="6" t="s">
        <v>1125</v>
      </c>
      <c r="E1641" s="6" t="s">
        <v>1126</v>
      </c>
      <c r="F1641" s="6" t="s">
        <v>13</v>
      </c>
      <c r="G1641" s="6" t="s">
        <v>493</v>
      </c>
      <c r="H1641" s="6"/>
      <c r="I1641" s="6" t="s">
        <v>1127</v>
      </c>
      <c r="J1641" s="6"/>
      <c r="K1641" s="6"/>
      <c r="L1641" s="6" t="s">
        <v>1128</v>
      </c>
      <c r="M1641" s="6"/>
      <c r="N1641" s="6" t="s">
        <v>1129</v>
      </c>
      <c r="O1641" s="6" t="str">
        <f>HYPERLINK("https://ceds.ed.gov/cedselementdetails.aspx?termid=5694")</f>
        <v>https://ceds.ed.gov/cedselementdetails.aspx?termid=5694</v>
      </c>
      <c r="P1641" s="6" t="str">
        <f>HYPERLINK("https://ceds.ed.gov/elementComment.aspx?elementName=Assessment Performance Level Label &amp;elementID=5694", "Click here to submit comment")</f>
        <v>Click here to submit comment</v>
      </c>
    </row>
    <row r="1642" spans="1:16" ht="45">
      <c r="A1642" s="6" t="s">
        <v>6788</v>
      </c>
      <c r="B1642" s="6" t="s">
        <v>6784</v>
      </c>
      <c r="C1642" s="6" t="s">
        <v>6859</v>
      </c>
      <c r="D1642" s="6" t="s">
        <v>1130</v>
      </c>
      <c r="E1642" s="6" t="s">
        <v>1131</v>
      </c>
      <c r="F1642" s="6" t="s">
        <v>13</v>
      </c>
      <c r="G1642" s="6" t="s">
        <v>5992</v>
      </c>
      <c r="H1642" s="6"/>
      <c r="I1642" s="6" t="s">
        <v>100</v>
      </c>
      <c r="J1642" s="6"/>
      <c r="K1642" s="6"/>
      <c r="L1642" s="6" t="s">
        <v>1132</v>
      </c>
      <c r="M1642" s="6"/>
      <c r="N1642" s="6" t="s">
        <v>1133</v>
      </c>
      <c r="O1642" s="6" t="str">
        <f>HYPERLINK("https://ceds.ed.gov/cedselementdetails.aspx?termid=5408")</f>
        <v>https://ceds.ed.gov/cedselementdetails.aspx?termid=5408</v>
      </c>
      <c r="P1642" s="6" t="str">
        <f>HYPERLINK("https://ceds.ed.gov/elementComment.aspx?elementName=Assessment Performance Level Lower Cut Score &amp;elementID=5408", "Click here to submit comment")</f>
        <v>Click here to submit comment</v>
      </c>
    </row>
    <row r="1643" spans="1:16" ht="409.5">
      <c r="A1643" s="6" t="s">
        <v>6788</v>
      </c>
      <c r="B1643" s="6" t="s">
        <v>6784</v>
      </c>
      <c r="C1643" s="6" t="s">
        <v>6859</v>
      </c>
      <c r="D1643" s="6" t="s">
        <v>1134</v>
      </c>
      <c r="E1643" s="6" t="s">
        <v>1135</v>
      </c>
      <c r="F1643" s="7" t="s">
        <v>6398</v>
      </c>
      <c r="G1643" s="6" t="s">
        <v>5992</v>
      </c>
      <c r="H1643" s="6"/>
      <c r="I1643" s="6" t="s">
        <v>100</v>
      </c>
      <c r="J1643" s="6"/>
      <c r="K1643" s="6"/>
      <c r="L1643" s="6" t="s">
        <v>1136</v>
      </c>
      <c r="M1643" s="6"/>
      <c r="N1643" s="6" t="s">
        <v>1137</v>
      </c>
      <c r="O1643" s="6" t="str">
        <f>HYPERLINK("https://ceds.ed.gov/cedselementdetails.aspx?termid=5407")</f>
        <v>https://ceds.ed.gov/cedselementdetails.aspx?termid=5407</v>
      </c>
      <c r="P1643" s="6" t="str">
        <f>HYPERLINK("https://ceds.ed.gov/elementComment.aspx?elementName=Assessment Performance Level Score Metric &amp;elementID=5407", "Click here to submit comment")</f>
        <v>Click here to submit comment</v>
      </c>
    </row>
    <row r="1644" spans="1:16" ht="45">
      <c r="A1644" s="6" t="s">
        <v>6788</v>
      </c>
      <c r="B1644" s="6" t="s">
        <v>6784</v>
      </c>
      <c r="C1644" s="6" t="s">
        <v>6859</v>
      </c>
      <c r="D1644" s="6" t="s">
        <v>1138</v>
      </c>
      <c r="E1644" s="6" t="s">
        <v>1139</v>
      </c>
      <c r="F1644" s="6" t="s">
        <v>13</v>
      </c>
      <c r="G1644" s="6" t="s">
        <v>5992</v>
      </c>
      <c r="H1644" s="6"/>
      <c r="I1644" s="6" t="s">
        <v>100</v>
      </c>
      <c r="J1644" s="6"/>
      <c r="K1644" s="6"/>
      <c r="L1644" s="6" t="s">
        <v>1140</v>
      </c>
      <c r="M1644" s="6"/>
      <c r="N1644" s="6" t="s">
        <v>1141</v>
      </c>
      <c r="O1644" s="6" t="str">
        <f>HYPERLINK("https://ceds.ed.gov/cedselementdetails.aspx?termid=5409")</f>
        <v>https://ceds.ed.gov/cedselementdetails.aspx?termid=5409</v>
      </c>
      <c r="P1644" s="6" t="str">
        <f>HYPERLINK("https://ceds.ed.gov/elementComment.aspx?elementName=Assessment Performance Level Upper Cut Score &amp;elementID=5409", "Click here to submit comment")</f>
        <v>Click here to submit comment</v>
      </c>
    </row>
    <row r="1645" spans="1:16" ht="60">
      <c r="A1645" s="6" t="s">
        <v>6788</v>
      </c>
      <c r="B1645" s="6" t="s">
        <v>6784</v>
      </c>
      <c r="C1645" s="6" t="s">
        <v>6859</v>
      </c>
      <c r="D1645" s="6" t="s">
        <v>1117</v>
      </c>
      <c r="E1645" s="6" t="s">
        <v>1118</v>
      </c>
      <c r="F1645" s="6" t="s">
        <v>13</v>
      </c>
      <c r="G1645" s="6"/>
      <c r="H1645" s="6"/>
      <c r="I1645" s="6" t="s">
        <v>319</v>
      </c>
      <c r="J1645" s="6"/>
      <c r="K1645" s="6"/>
      <c r="L1645" s="6" t="s">
        <v>1119</v>
      </c>
      <c r="M1645" s="6"/>
      <c r="N1645" s="6" t="s">
        <v>1120</v>
      </c>
      <c r="O1645" s="6" t="str">
        <f>HYPERLINK("https://ceds.ed.gov/cedselementdetails.aspx?termid=6184")</f>
        <v>https://ceds.ed.gov/cedselementdetails.aspx?termid=6184</v>
      </c>
      <c r="P1645" s="6" t="str">
        <f>HYPERLINK("https://ceds.ed.gov/elementComment.aspx?elementName=Assessment Performance Level Descriptive Feedback &amp;elementID=6184", "Click here to submit comment")</f>
        <v>Click here to submit comment</v>
      </c>
    </row>
    <row r="1646" spans="1:16" ht="30">
      <c r="A1646" s="6" t="s">
        <v>6788</v>
      </c>
      <c r="B1646" s="6" t="s">
        <v>6784</v>
      </c>
      <c r="C1646" s="6" t="s">
        <v>6860</v>
      </c>
      <c r="D1646" s="6" t="s">
        <v>1209</v>
      </c>
      <c r="E1646" s="6" t="s">
        <v>1210</v>
      </c>
      <c r="F1646" s="6" t="s">
        <v>13</v>
      </c>
      <c r="G1646" s="6" t="s">
        <v>6018</v>
      </c>
      <c r="H1646" s="6" t="s">
        <v>66</v>
      </c>
      <c r="I1646" s="6" t="s">
        <v>100</v>
      </c>
      <c r="J1646" s="6" t="s">
        <v>1211</v>
      </c>
      <c r="K1646" s="6"/>
      <c r="L1646" s="6" t="s">
        <v>1212</v>
      </c>
      <c r="M1646" s="6"/>
      <c r="N1646" s="6" t="s">
        <v>1213</v>
      </c>
      <c r="O1646" s="6" t="str">
        <f>HYPERLINK("https://ceds.ed.gov/cedselementdetails.aspx?termid=5412")</f>
        <v>https://ceds.ed.gov/cedselementdetails.aspx?termid=5412</v>
      </c>
      <c r="P1646" s="6" t="str">
        <f>HYPERLINK("https://ceds.ed.gov/elementComment.aspx?elementName=Assessment Rubric Identifier &amp;elementID=5412", "Click here to submit comment")</f>
        <v>Click here to submit comment</v>
      </c>
    </row>
    <row r="1647" spans="1:16" ht="30">
      <c r="A1647" s="6" t="s">
        <v>6788</v>
      </c>
      <c r="B1647" s="6" t="s">
        <v>6784</v>
      </c>
      <c r="C1647" s="6" t="s">
        <v>6860</v>
      </c>
      <c r="D1647" s="6" t="s">
        <v>1214</v>
      </c>
      <c r="E1647" s="6" t="s">
        <v>1215</v>
      </c>
      <c r="F1647" s="6" t="s">
        <v>13</v>
      </c>
      <c r="G1647" s="6" t="s">
        <v>6018</v>
      </c>
      <c r="H1647" s="6" t="s">
        <v>66</v>
      </c>
      <c r="I1647" s="6" t="s">
        <v>100</v>
      </c>
      <c r="J1647" s="6" t="s">
        <v>1216</v>
      </c>
      <c r="K1647" s="6"/>
      <c r="L1647" s="6" t="s">
        <v>1217</v>
      </c>
      <c r="M1647" s="6"/>
      <c r="N1647" s="6" t="s">
        <v>1218</v>
      </c>
      <c r="O1647" s="6" t="str">
        <f>HYPERLINK("https://ceds.ed.gov/cedselementdetails.aspx?termid=5411")</f>
        <v>https://ceds.ed.gov/cedselementdetails.aspx?termid=5411</v>
      </c>
      <c r="P1647" s="6" t="str">
        <f>HYPERLINK("https://ceds.ed.gov/elementComment.aspx?elementName=Assessment Rubric Title &amp;elementID=5411", "Click here to submit comment")</f>
        <v>Click here to submit comment</v>
      </c>
    </row>
    <row r="1648" spans="1:16" ht="30">
      <c r="A1648" s="6" t="s">
        <v>6788</v>
      </c>
      <c r="B1648" s="6" t="s">
        <v>6784</v>
      </c>
      <c r="C1648" s="6" t="s">
        <v>6860</v>
      </c>
      <c r="D1648" s="6" t="s">
        <v>1219</v>
      </c>
      <c r="E1648" s="6" t="s">
        <v>1220</v>
      </c>
      <c r="F1648" s="6" t="s">
        <v>13</v>
      </c>
      <c r="G1648" s="6" t="s">
        <v>6018</v>
      </c>
      <c r="H1648" s="6" t="s">
        <v>66</v>
      </c>
      <c r="I1648" s="6" t="s">
        <v>100</v>
      </c>
      <c r="J1648" s="6" t="s">
        <v>1221</v>
      </c>
      <c r="K1648" s="6"/>
      <c r="L1648" s="6" t="s">
        <v>1222</v>
      </c>
      <c r="M1648" s="6"/>
      <c r="N1648" s="6" t="s">
        <v>1223</v>
      </c>
      <c r="O1648" s="6" t="str">
        <f>HYPERLINK("https://ceds.ed.gov/cedselementdetails.aspx?termid=5413")</f>
        <v>https://ceds.ed.gov/cedselementdetails.aspx?termid=5413</v>
      </c>
      <c r="P1648" s="6" t="str">
        <f>HYPERLINK("https://ceds.ed.gov/elementComment.aspx?elementName=Assessment Rubric URL Reference &amp;elementID=5413", "Click here to submit comment")</f>
        <v>Click here to submit comment</v>
      </c>
    </row>
    <row r="1649" spans="1:16" ht="30">
      <c r="A1649" s="6" t="s">
        <v>6788</v>
      </c>
      <c r="B1649" s="6" t="s">
        <v>6784</v>
      </c>
      <c r="C1649" s="6" t="s">
        <v>6860</v>
      </c>
      <c r="D1649" s="6" t="s">
        <v>5082</v>
      </c>
      <c r="E1649" s="6" t="s">
        <v>5083</v>
      </c>
      <c r="F1649" s="6" t="s">
        <v>13</v>
      </c>
      <c r="G1649" s="6"/>
      <c r="H1649" s="6" t="s">
        <v>54</v>
      </c>
      <c r="I1649" s="6" t="s">
        <v>100</v>
      </c>
      <c r="J1649" s="6"/>
      <c r="K1649" s="6"/>
      <c r="L1649" s="6" t="s">
        <v>5084</v>
      </c>
      <c r="M1649" s="6"/>
      <c r="N1649" s="6" t="s">
        <v>5085</v>
      </c>
      <c r="O1649" s="6" t="str">
        <f>HYPERLINK("https://ceds.ed.gov/cedselementdetails.aspx?termid=6441")</f>
        <v>https://ceds.ed.gov/cedselementdetails.aspx?termid=6441</v>
      </c>
      <c r="P1649" s="6" t="str">
        <f>HYPERLINK("https://ceds.ed.gov/elementComment.aspx?elementName=Rubric Criterion Category &amp;elementID=6441", "Click here to submit comment")</f>
        <v>Click here to submit comment</v>
      </c>
    </row>
    <row r="1650" spans="1:16" ht="45">
      <c r="A1650" s="6" t="s">
        <v>6788</v>
      </c>
      <c r="B1650" s="6" t="s">
        <v>6784</v>
      </c>
      <c r="C1650" s="6" t="s">
        <v>6860</v>
      </c>
      <c r="D1650" s="6" t="s">
        <v>5086</v>
      </c>
      <c r="E1650" s="6" t="s">
        <v>5087</v>
      </c>
      <c r="F1650" s="6" t="s">
        <v>13</v>
      </c>
      <c r="G1650" s="6"/>
      <c r="H1650" s="6" t="s">
        <v>54</v>
      </c>
      <c r="I1650" s="6" t="s">
        <v>319</v>
      </c>
      <c r="J1650" s="6"/>
      <c r="K1650" s="6"/>
      <c r="L1650" s="6" t="s">
        <v>5088</v>
      </c>
      <c r="M1650" s="6"/>
      <c r="N1650" s="6" t="s">
        <v>5089</v>
      </c>
      <c r="O1650" s="6" t="str">
        <f>HYPERLINK("https://ceds.ed.gov/cedselementdetails.aspx?termid=6442")</f>
        <v>https://ceds.ed.gov/cedselementdetails.aspx?termid=6442</v>
      </c>
      <c r="P1650" s="6" t="str">
        <f>HYPERLINK("https://ceds.ed.gov/elementComment.aspx?elementName=Rubric Criterion Description &amp;elementID=6442", "Click here to submit comment")</f>
        <v>Click here to submit comment</v>
      </c>
    </row>
    <row r="1651" spans="1:16" ht="60">
      <c r="A1651" s="6" t="s">
        <v>6788</v>
      </c>
      <c r="B1651" s="6" t="s">
        <v>6784</v>
      </c>
      <c r="C1651" s="6" t="s">
        <v>6860</v>
      </c>
      <c r="D1651" s="6" t="s">
        <v>5090</v>
      </c>
      <c r="E1651" s="6" t="s">
        <v>5091</v>
      </c>
      <c r="F1651" s="6" t="s">
        <v>13</v>
      </c>
      <c r="G1651" s="6"/>
      <c r="H1651" s="6" t="s">
        <v>54</v>
      </c>
      <c r="I1651" s="6" t="s">
        <v>319</v>
      </c>
      <c r="J1651" s="6"/>
      <c r="K1651" s="6"/>
      <c r="L1651" s="6" t="s">
        <v>5092</v>
      </c>
      <c r="M1651" s="6"/>
      <c r="N1651" s="6" t="s">
        <v>5093</v>
      </c>
      <c r="O1651" s="6" t="str">
        <f>HYPERLINK("https://ceds.ed.gov/cedselementdetails.aspx?termid=6443")</f>
        <v>https://ceds.ed.gov/cedselementdetails.aspx?termid=6443</v>
      </c>
      <c r="P1651" s="6" t="str">
        <f>HYPERLINK("https://ceds.ed.gov/elementComment.aspx?elementName=Rubric Criterion Level Description &amp;elementID=6443", "Click here to submit comment")</f>
        <v>Click here to submit comment</v>
      </c>
    </row>
    <row r="1652" spans="1:16" ht="75">
      <c r="A1652" s="6" t="s">
        <v>6788</v>
      </c>
      <c r="B1652" s="6" t="s">
        <v>6784</v>
      </c>
      <c r="C1652" s="6" t="s">
        <v>6860</v>
      </c>
      <c r="D1652" s="6" t="s">
        <v>5094</v>
      </c>
      <c r="E1652" s="6" t="s">
        <v>5095</v>
      </c>
      <c r="F1652" s="6" t="s">
        <v>13</v>
      </c>
      <c r="G1652" s="6"/>
      <c r="H1652" s="6" t="s">
        <v>54</v>
      </c>
      <c r="I1652" s="6" t="s">
        <v>319</v>
      </c>
      <c r="J1652" s="6"/>
      <c r="K1652" s="6"/>
      <c r="L1652" s="6" t="s">
        <v>5096</v>
      </c>
      <c r="M1652" s="6"/>
      <c r="N1652" s="6" t="s">
        <v>5097</v>
      </c>
      <c r="O1652" s="6" t="str">
        <f>HYPERLINK("https://ceds.ed.gov/cedselementdetails.aspx?termid=6444")</f>
        <v>https://ceds.ed.gov/cedselementdetails.aspx?termid=6444</v>
      </c>
      <c r="P1652" s="6" t="str">
        <f>HYPERLINK("https://ceds.ed.gov/elementComment.aspx?elementName=Rubric Criterion Level Feedback &amp;elementID=6444", "Click here to submit comment")</f>
        <v>Click here to submit comment</v>
      </c>
    </row>
    <row r="1653" spans="1:16" ht="45">
      <c r="A1653" s="6" t="s">
        <v>6788</v>
      </c>
      <c r="B1653" s="6" t="s">
        <v>6784</v>
      </c>
      <c r="C1653" s="6" t="s">
        <v>6860</v>
      </c>
      <c r="D1653" s="6" t="s">
        <v>5098</v>
      </c>
      <c r="E1653" s="6" t="s">
        <v>5099</v>
      </c>
      <c r="F1653" s="6" t="s">
        <v>13</v>
      </c>
      <c r="G1653" s="6"/>
      <c r="H1653" s="6" t="s">
        <v>54</v>
      </c>
      <c r="I1653" s="6" t="s">
        <v>545</v>
      </c>
      <c r="J1653" s="6"/>
      <c r="K1653" s="6"/>
      <c r="L1653" s="6" t="s">
        <v>5100</v>
      </c>
      <c r="M1653" s="6"/>
      <c r="N1653" s="6" t="s">
        <v>5101</v>
      </c>
      <c r="O1653" s="6" t="str">
        <f>HYPERLINK("https://ceds.ed.gov/cedselementdetails.aspx?termid=6445")</f>
        <v>https://ceds.ed.gov/cedselementdetails.aspx?termid=6445</v>
      </c>
      <c r="P1653" s="6" t="str">
        <f>HYPERLINK("https://ceds.ed.gov/elementComment.aspx?elementName=Rubric Criterion Level Position &amp;elementID=6445", "Click here to submit comment")</f>
        <v>Click here to submit comment</v>
      </c>
    </row>
    <row r="1654" spans="1:16" ht="60">
      <c r="A1654" s="6" t="s">
        <v>6788</v>
      </c>
      <c r="B1654" s="6" t="s">
        <v>6784</v>
      </c>
      <c r="C1654" s="6" t="s">
        <v>6860</v>
      </c>
      <c r="D1654" s="6" t="s">
        <v>5102</v>
      </c>
      <c r="E1654" s="6" t="s">
        <v>5103</v>
      </c>
      <c r="F1654" s="6" t="s">
        <v>13</v>
      </c>
      <c r="G1654" s="6"/>
      <c r="H1654" s="6" t="s">
        <v>54</v>
      </c>
      <c r="I1654" s="6" t="s">
        <v>106</v>
      </c>
      <c r="J1654" s="6"/>
      <c r="K1654" s="6"/>
      <c r="L1654" s="6" t="s">
        <v>5104</v>
      </c>
      <c r="M1654" s="6"/>
      <c r="N1654" s="6" t="s">
        <v>5105</v>
      </c>
      <c r="O1654" s="6" t="str">
        <f>HYPERLINK("https://ceds.ed.gov/cedselementdetails.aspx?termid=6446")</f>
        <v>https://ceds.ed.gov/cedselementdetails.aspx?termid=6446</v>
      </c>
      <c r="P1654" s="6" t="str">
        <f>HYPERLINK("https://ceds.ed.gov/elementComment.aspx?elementName=Rubric Criterion Level Quality Label &amp;elementID=6446", "Click here to submit comment")</f>
        <v>Click here to submit comment</v>
      </c>
    </row>
    <row r="1655" spans="1:16" ht="30">
      <c r="A1655" s="6" t="s">
        <v>6788</v>
      </c>
      <c r="B1655" s="6" t="s">
        <v>6784</v>
      </c>
      <c r="C1655" s="6" t="s">
        <v>6860</v>
      </c>
      <c r="D1655" s="6" t="s">
        <v>5106</v>
      </c>
      <c r="E1655" s="6" t="s">
        <v>5107</v>
      </c>
      <c r="F1655" s="6" t="s">
        <v>13</v>
      </c>
      <c r="G1655" s="6"/>
      <c r="H1655" s="6" t="s">
        <v>54</v>
      </c>
      <c r="I1655" s="6" t="s">
        <v>545</v>
      </c>
      <c r="J1655" s="6"/>
      <c r="K1655" s="6"/>
      <c r="L1655" s="6" t="s">
        <v>5108</v>
      </c>
      <c r="M1655" s="6"/>
      <c r="N1655" s="6" t="s">
        <v>5109</v>
      </c>
      <c r="O1655" s="6" t="str">
        <f>HYPERLINK("https://ceds.ed.gov/cedselementdetails.aspx?termid=6447")</f>
        <v>https://ceds.ed.gov/cedselementdetails.aspx?termid=6447</v>
      </c>
      <c r="P1655" s="6" t="str">
        <f>HYPERLINK("https://ceds.ed.gov/elementComment.aspx?elementName=Rubric Criterion Level Score &amp;elementID=6447", "Click here to submit comment")</f>
        <v>Click here to submit comment</v>
      </c>
    </row>
    <row r="1656" spans="1:16" ht="45">
      <c r="A1656" s="6" t="s">
        <v>6788</v>
      </c>
      <c r="B1656" s="6" t="s">
        <v>6784</v>
      </c>
      <c r="C1656" s="6" t="s">
        <v>6860</v>
      </c>
      <c r="D1656" s="6" t="s">
        <v>5110</v>
      </c>
      <c r="E1656" s="6" t="s">
        <v>5111</v>
      </c>
      <c r="F1656" s="6" t="s">
        <v>13</v>
      </c>
      <c r="G1656" s="6"/>
      <c r="H1656" s="6" t="s">
        <v>54</v>
      </c>
      <c r="I1656" s="6" t="s">
        <v>545</v>
      </c>
      <c r="J1656" s="6"/>
      <c r="K1656" s="6"/>
      <c r="L1656" s="6" t="s">
        <v>5112</v>
      </c>
      <c r="M1656" s="6"/>
      <c r="N1656" s="6" t="s">
        <v>5113</v>
      </c>
      <c r="O1656" s="6" t="str">
        <f>HYPERLINK("https://ceds.ed.gov/cedselementdetails.aspx?termid=6448")</f>
        <v>https://ceds.ed.gov/cedselementdetails.aspx?termid=6448</v>
      </c>
      <c r="P1656" s="6" t="str">
        <f>HYPERLINK("https://ceds.ed.gov/elementComment.aspx?elementName=Rubric Criterion Position &amp;elementID=6448", "Click here to submit comment")</f>
        <v>Click here to submit comment</v>
      </c>
    </row>
    <row r="1657" spans="1:16" ht="30">
      <c r="A1657" s="6" t="s">
        <v>6788</v>
      </c>
      <c r="B1657" s="6" t="s">
        <v>6784</v>
      </c>
      <c r="C1657" s="6" t="s">
        <v>6860</v>
      </c>
      <c r="D1657" s="6" t="s">
        <v>5114</v>
      </c>
      <c r="E1657" s="6" t="s">
        <v>5115</v>
      </c>
      <c r="F1657" s="6" t="s">
        <v>13</v>
      </c>
      <c r="G1657" s="6"/>
      <c r="H1657" s="6" t="s">
        <v>54</v>
      </c>
      <c r="I1657" s="6" t="s">
        <v>106</v>
      </c>
      <c r="J1657" s="6"/>
      <c r="K1657" s="6"/>
      <c r="L1657" s="6" t="s">
        <v>5116</v>
      </c>
      <c r="M1657" s="6"/>
      <c r="N1657" s="6" t="s">
        <v>5117</v>
      </c>
      <c r="O1657" s="6" t="str">
        <f>HYPERLINK("https://ceds.ed.gov/cedselementdetails.aspx?termid=6449")</f>
        <v>https://ceds.ed.gov/cedselementdetails.aspx?termid=6449</v>
      </c>
      <c r="P1657" s="6" t="str">
        <f>HYPERLINK("https://ceds.ed.gov/elementComment.aspx?elementName=Rubric Criterion Title &amp;elementID=6449", "Click here to submit comment")</f>
        <v>Click here to submit comment</v>
      </c>
    </row>
    <row r="1658" spans="1:16" ht="45">
      <c r="A1658" s="6" t="s">
        <v>6788</v>
      </c>
      <c r="B1658" s="6" t="s">
        <v>6784</v>
      </c>
      <c r="C1658" s="6" t="s">
        <v>6860</v>
      </c>
      <c r="D1658" s="6" t="s">
        <v>5118</v>
      </c>
      <c r="E1658" s="6" t="s">
        <v>5119</v>
      </c>
      <c r="F1658" s="6" t="s">
        <v>13</v>
      </c>
      <c r="G1658" s="6"/>
      <c r="H1658" s="6" t="s">
        <v>54</v>
      </c>
      <c r="I1658" s="6" t="s">
        <v>545</v>
      </c>
      <c r="J1658" s="6"/>
      <c r="K1658" s="6"/>
      <c r="L1658" s="6" t="s">
        <v>5120</v>
      </c>
      <c r="M1658" s="6"/>
      <c r="N1658" s="6" t="s">
        <v>5121</v>
      </c>
      <c r="O1658" s="6" t="str">
        <f>HYPERLINK("https://ceds.ed.gov/cedselementdetails.aspx?termid=6450")</f>
        <v>https://ceds.ed.gov/cedselementdetails.aspx?termid=6450</v>
      </c>
      <c r="P1658" s="6" t="str">
        <f>HYPERLINK("https://ceds.ed.gov/elementComment.aspx?elementName=Rubric Criterion Weight &amp;elementID=6450", "Click here to submit comment")</f>
        <v>Click here to submit comment</v>
      </c>
    </row>
    <row r="1659" spans="1:16" ht="30">
      <c r="A1659" s="6" t="s">
        <v>6788</v>
      </c>
      <c r="B1659" s="6" t="s">
        <v>6784</v>
      </c>
      <c r="C1659" s="6" t="s">
        <v>6860</v>
      </c>
      <c r="D1659" s="6" t="s">
        <v>5122</v>
      </c>
      <c r="E1659" s="6" t="s">
        <v>5123</v>
      </c>
      <c r="F1659" s="6" t="s">
        <v>13</v>
      </c>
      <c r="G1659" s="6"/>
      <c r="H1659" s="6" t="s">
        <v>54</v>
      </c>
      <c r="I1659" s="6" t="s">
        <v>319</v>
      </c>
      <c r="J1659" s="6"/>
      <c r="K1659" s="6"/>
      <c r="L1659" s="6" t="s">
        <v>5124</v>
      </c>
      <c r="M1659" s="6"/>
      <c r="N1659" s="6" t="s">
        <v>5125</v>
      </c>
      <c r="O1659" s="6" t="str">
        <f>HYPERLINK("https://ceds.ed.gov/cedselementdetails.aspx?termid=6451")</f>
        <v>https://ceds.ed.gov/cedselementdetails.aspx?termid=6451</v>
      </c>
      <c r="P1659" s="6" t="str">
        <f>HYPERLINK("https://ceds.ed.gov/elementComment.aspx?elementName=Rubric Description &amp;elementID=6451", "Click here to submit comment")</f>
        <v>Click here to submit comment</v>
      </c>
    </row>
    <row r="1660" spans="1:16" ht="60">
      <c r="A1660" s="6" t="s">
        <v>6788</v>
      </c>
      <c r="B1660" s="6" t="s">
        <v>6817</v>
      </c>
      <c r="C1660" s="6"/>
      <c r="D1660" s="6" t="s">
        <v>4797</v>
      </c>
      <c r="E1660" s="6" t="s">
        <v>4798</v>
      </c>
      <c r="F1660" s="6" t="s">
        <v>13</v>
      </c>
      <c r="G1660" s="6"/>
      <c r="H1660" s="6" t="s">
        <v>3</v>
      </c>
      <c r="I1660" s="6" t="s">
        <v>100</v>
      </c>
      <c r="J1660" s="6"/>
      <c r="K1660" s="6"/>
      <c r="L1660" s="6" t="s">
        <v>4799</v>
      </c>
      <c r="M1660" s="6"/>
      <c r="N1660" s="6" t="s">
        <v>4800</v>
      </c>
      <c r="O1660" s="6" t="str">
        <f>HYPERLINK("https://ceds.ed.gov/cedselementdetails.aspx?termid=5618")</f>
        <v>https://ceds.ed.gov/cedselementdetails.aspx?termid=5618</v>
      </c>
      <c r="P1660" s="6" t="str">
        <f>HYPERLINK("https://ceds.ed.gov/elementComment.aspx?elementName=Program Identifier &amp;elementID=5618", "Click here to submit comment")</f>
        <v>Click here to submit comment</v>
      </c>
    </row>
    <row r="1661" spans="1:16" ht="60">
      <c r="A1661" s="6" t="s">
        <v>6788</v>
      </c>
      <c r="B1661" s="6" t="s">
        <v>6817</v>
      </c>
      <c r="C1661" s="6"/>
      <c r="D1661" s="6" t="s">
        <v>4813</v>
      </c>
      <c r="E1661" s="6" t="s">
        <v>4814</v>
      </c>
      <c r="F1661" s="6" t="s">
        <v>13</v>
      </c>
      <c r="G1661" s="6"/>
      <c r="H1661" s="6" t="s">
        <v>3</v>
      </c>
      <c r="I1661" s="6" t="s">
        <v>106</v>
      </c>
      <c r="J1661" s="6"/>
      <c r="K1661" s="6"/>
      <c r="L1661" s="6" t="s">
        <v>4815</v>
      </c>
      <c r="M1661" s="6"/>
      <c r="N1661" s="6" t="s">
        <v>4816</v>
      </c>
      <c r="O1661" s="6" t="str">
        <f>HYPERLINK("https://ceds.ed.gov/cedselementdetails.aspx?termid=5619")</f>
        <v>https://ceds.ed.gov/cedselementdetails.aspx?termid=5619</v>
      </c>
      <c r="P1661" s="6" t="str">
        <f>HYPERLINK("https://ceds.ed.gov/elementComment.aspx?elementName=Program Name &amp;elementID=5619", "Click here to submit comment")</f>
        <v>Click here to submit comment</v>
      </c>
    </row>
    <row r="1662" spans="1:16" ht="315">
      <c r="A1662" s="6" t="s">
        <v>6788</v>
      </c>
      <c r="B1662" s="6" t="s">
        <v>6817</v>
      </c>
      <c r="C1662" s="6"/>
      <c r="D1662" s="6" t="s">
        <v>4337</v>
      </c>
      <c r="E1662" s="6" t="s">
        <v>4338</v>
      </c>
      <c r="F1662" s="7" t="s">
        <v>6364</v>
      </c>
      <c r="G1662" s="6" t="s">
        <v>65</v>
      </c>
      <c r="H1662" s="6" t="s">
        <v>66</v>
      </c>
      <c r="I1662" s="6"/>
      <c r="J1662" s="6" t="s">
        <v>2309</v>
      </c>
      <c r="K1662" s="6"/>
      <c r="L1662" s="6" t="s">
        <v>4339</v>
      </c>
      <c r="M1662" s="6"/>
      <c r="N1662" s="6" t="s">
        <v>4340</v>
      </c>
      <c r="O1662" s="6" t="str">
        <f>HYPERLINK("https://ceds.ed.gov/cedselementdetails.aspx?termid=5827")</f>
        <v>https://ceds.ed.gov/cedselementdetails.aspx?termid=5827</v>
      </c>
      <c r="P1662" s="6" t="str">
        <f>HYPERLINK("https://ceds.ed.gov/elementComment.aspx?elementName=Organization Identification System &amp;elementID=5827", "Click here to submit comment")</f>
        <v>Click here to submit comment</v>
      </c>
    </row>
    <row r="1663" spans="1:16" ht="60">
      <c r="A1663" s="6" t="s">
        <v>6788</v>
      </c>
      <c r="B1663" s="6" t="s">
        <v>6817</v>
      </c>
      <c r="C1663" s="6"/>
      <c r="D1663" s="6" t="s">
        <v>4341</v>
      </c>
      <c r="E1663" s="6" t="s">
        <v>4342</v>
      </c>
      <c r="F1663" s="6" t="s">
        <v>13</v>
      </c>
      <c r="G1663" s="6" t="s">
        <v>65</v>
      </c>
      <c r="H1663" s="6" t="s">
        <v>3</v>
      </c>
      <c r="I1663" s="6" t="s">
        <v>100</v>
      </c>
      <c r="J1663" s="6"/>
      <c r="K1663" s="6"/>
      <c r="L1663" s="6" t="s">
        <v>4343</v>
      </c>
      <c r="M1663" s="6"/>
      <c r="N1663" s="6" t="s">
        <v>4344</v>
      </c>
      <c r="O1663" s="6" t="str">
        <f>HYPERLINK("https://ceds.ed.gov/cedselementdetails.aspx?termid=5825")</f>
        <v>https://ceds.ed.gov/cedselementdetails.aspx?termid=5825</v>
      </c>
      <c r="P1663" s="6" t="str">
        <f>HYPERLINK("https://ceds.ed.gov/elementComment.aspx?elementName=Organization Identifier &amp;elementID=5825", "Click here to submit comment")</f>
        <v>Click here to submit comment</v>
      </c>
    </row>
    <row r="1664" spans="1:16" ht="45">
      <c r="A1664" s="6" t="s">
        <v>6788</v>
      </c>
      <c r="B1664" s="6" t="s">
        <v>6817</v>
      </c>
      <c r="C1664" s="6"/>
      <c r="D1664" s="6" t="s">
        <v>4349</v>
      </c>
      <c r="E1664" s="6" t="s">
        <v>4350</v>
      </c>
      <c r="F1664" s="6" t="s">
        <v>13</v>
      </c>
      <c r="G1664" s="6" t="s">
        <v>202</v>
      </c>
      <c r="H1664" s="6" t="s">
        <v>3</v>
      </c>
      <c r="I1664" s="6" t="s">
        <v>106</v>
      </c>
      <c r="J1664" s="6"/>
      <c r="K1664" s="6"/>
      <c r="L1664" s="6" t="s">
        <v>4351</v>
      </c>
      <c r="M1664" s="6"/>
      <c r="N1664" s="6" t="s">
        <v>4352</v>
      </c>
      <c r="O1664" s="6" t="str">
        <f>HYPERLINK("https://ceds.ed.gov/cedselementdetails.aspx?termid=5204")</f>
        <v>https://ceds.ed.gov/cedselementdetails.aspx?termid=5204</v>
      </c>
      <c r="P1664" s="6" t="str">
        <f>HYPERLINK("https://ceds.ed.gov/elementComment.aspx?elementName=Organization Name &amp;elementID=5204", "Click here to submit comment")</f>
        <v>Click here to submit comment</v>
      </c>
    </row>
    <row r="1665" spans="1:16" ht="60">
      <c r="A1665" s="6" t="s">
        <v>6788</v>
      </c>
      <c r="B1665" s="6" t="s">
        <v>6817</v>
      </c>
      <c r="C1665" s="6"/>
      <c r="D1665" s="6" t="s">
        <v>4353</v>
      </c>
      <c r="E1665" s="6" t="s">
        <v>4354</v>
      </c>
      <c r="F1665" s="6" t="s">
        <v>6267</v>
      </c>
      <c r="G1665" s="6"/>
      <c r="H1665" s="6" t="s">
        <v>54</v>
      </c>
      <c r="I1665" s="6"/>
      <c r="J1665" s="6"/>
      <c r="K1665" s="6"/>
      <c r="L1665" s="6" t="s">
        <v>4355</v>
      </c>
      <c r="M1665" s="6"/>
      <c r="N1665" s="6" t="s">
        <v>4356</v>
      </c>
      <c r="O1665" s="6" t="str">
        <f>HYPERLINK("https://ceds.ed.gov/cedselementdetails.aspx?termid=6387")</f>
        <v>https://ceds.ed.gov/cedselementdetails.aspx?termid=6387</v>
      </c>
      <c r="P1665" s="6" t="str">
        <f>HYPERLINK("https://ceds.ed.gov/elementComment.aspx?elementName=Organization Operational Status &amp;elementID=6387", "Click here to submit comment")</f>
        <v>Click here to submit comment</v>
      </c>
    </row>
    <row r="1666" spans="1:16" ht="390">
      <c r="A1666" s="6" t="s">
        <v>6788</v>
      </c>
      <c r="B1666" s="6" t="s">
        <v>6817</v>
      </c>
      <c r="C1666" s="6"/>
      <c r="D1666" s="6" t="s">
        <v>4847</v>
      </c>
      <c r="E1666" s="6" t="s">
        <v>4848</v>
      </c>
      <c r="F1666" s="7" t="s">
        <v>6625</v>
      </c>
      <c r="G1666" s="6"/>
      <c r="H1666" s="6" t="s">
        <v>66</v>
      </c>
      <c r="I1666" s="6"/>
      <c r="J1666" s="6" t="s">
        <v>4849</v>
      </c>
      <c r="K1666" s="6"/>
      <c r="L1666" s="6" t="s">
        <v>4850</v>
      </c>
      <c r="M1666" s="6"/>
      <c r="N1666" s="6" t="s">
        <v>4851</v>
      </c>
      <c r="O1666" s="6" t="str">
        <f>HYPERLINK("https://ceds.ed.gov/cedselementdetails.aspx?termid=5692")</f>
        <v>https://ceds.ed.gov/cedselementdetails.aspx?termid=5692</v>
      </c>
      <c r="P1666" s="6" t="str">
        <f>HYPERLINK("https://ceds.ed.gov/elementComment.aspx?elementName=Program Sponsor Type &amp;elementID=5692", "Click here to submit comment")</f>
        <v>Click here to submit comment</v>
      </c>
    </row>
    <row r="1667" spans="1:16" ht="90">
      <c r="A1667" s="6" t="s">
        <v>6788</v>
      </c>
      <c r="B1667" s="6" t="s">
        <v>6817</v>
      </c>
      <c r="C1667" s="6" t="s">
        <v>6749</v>
      </c>
      <c r="D1667" s="6" t="s">
        <v>196</v>
      </c>
      <c r="E1667" s="6" t="s">
        <v>197</v>
      </c>
      <c r="F1667" s="7" t="s">
        <v>6354</v>
      </c>
      <c r="G1667" s="6" t="s">
        <v>5968</v>
      </c>
      <c r="H1667" s="6" t="s">
        <v>3</v>
      </c>
      <c r="I1667" s="6" t="s">
        <v>100</v>
      </c>
      <c r="J1667" s="6"/>
      <c r="K1667" s="6"/>
      <c r="L1667" s="6" t="s">
        <v>198</v>
      </c>
      <c r="M1667" s="6"/>
      <c r="N1667" s="6" t="s">
        <v>199</v>
      </c>
      <c r="O1667" s="6" t="str">
        <f>HYPERLINK("https://ceds.ed.gov/cedselementdetails.aspx?termid=5644")</f>
        <v>https://ceds.ed.gov/cedselementdetails.aspx?termid=5644</v>
      </c>
      <c r="P1667" s="6" t="str">
        <f>HYPERLINK("https://ceds.ed.gov/elementComment.aspx?elementName=Address Type for Organization &amp;elementID=5644", "Click here to submit comment")</f>
        <v>Click here to submit comment</v>
      </c>
    </row>
    <row r="1668" spans="1:16" ht="225">
      <c r="A1668" s="6" t="s">
        <v>6788</v>
      </c>
      <c r="B1668" s="6" t="s">
        <v>6817</v>
      </c>
      <c r="C1668" s="6" t="s">
        <v>6749</v>
      </c>
      <c r="D1668" s="6" t="s">
        <v>187</v>
      </c>
      <c r="E1668" s="6" t="s">
        <v>188</v>
      </c>
      <c r="F1668" s="6" t="s">
        <v>13</v>
      </c>
      <c r="G1668" s="6" t="s">
        <v>5973</v>
      </c>
      <c r="H1668" s="6" t="s">
        <v>3</v>
      </c>
      <c r="I1668" s="6" t="s">
        <v>149</v>
      </c>
      <c r="J1668" s="6"/>
      <c r="K1668" s="6"/>
      <c r="L1668" s="6" t="s">
        <v>189</v>
      </c>
      <c r="M1668" s="6"/>
      <c r="N1668" s="6" t="s">
        <v>190</v>
      </c>
      <c r="O1668" s="6" t="str">
        <f>HYPERLINK("https://ceds.ed.gov/cedselementdetails.aspx?termid=5269")</f>
        <v>https://ceds.ed.gov/cedselementdetails.aspx?termid=5269</v>
      </c>
      <c r="P1668" s="6" t="str">
        <f>HYPERLINK("https://ceds.ed.gov/elementComment.aspx?elementName=Address Street Number and Name &amp;elementID=5269", "Click here to submit comment")</f>
        <v>Click here to submit comment</v>
      </c>
    </row>
    <row r="1669" spans="1:16" ht="225">
      <c r="A1669" s="6" t="s">
        <v>6788</v>
      </c>
      <c r="B1669" s="6" t="s">
        <v>6817</v>
      </c>
      <c r="C1669" s="6" t="s">
        <v>6749</v>
      </c>
      <c r="D1669" s="6" t="s">
        <v>170</v>
      </c>
      <c r="E1669" s="6" t="s">
        <v>171</v>
      </c>
      <c r="F1669" s="6" t="s">
        <v>13</v>
      </c>
      <c r="G1669" s="6" t="s">
        <v>5973</v>
      </c>
      <c r="H1669" s="6" t="s">
        <v>3</v>
      </c>
      <c r="I1669" s="6" t="s">
        <v>100</v>
      </c>
      <c r="J1669" s="6"/>
      <c r="K1669" s="6"/>
      <c r="L1669" s="6" t="s">
        <v>172</v>
      </c>
      <c r="M1669" s="6"/>
      <c r="N1669" s="6" t="s">
        <v>173</v>
      </c>
      <c r="O1669" s="6" t="str">
        <f>HYPERLINK("https://ceds.ed.gov/cedselementdetails.aspx?termid=5019")</f>
        <v>https://ceds.ed.gov/cedselementdetails.aspx?termid=5019</v>
      </c>
      <c r="P1669" s="6" t="str">
        <f>HYPERLINK("https://ceds.ed.gov/elementComment.aspx?elementName=Address Apartment Room or Suite Number &amp;elementID=5019", "Click here to submit comment")</f>
        <v>Click here to submit comment</v>
      </c>
    </row>
    <row r="1670" spans="1:16" ht="225">
      <c r="A1670" s="6" t="s">
        <v>6788</v>
      </c>
      <c r="B1670" s="6" t="s">
        <v>6817</v>
      </c>
      <c r="C1670" s="6" t="s">
        <v>6749</v>
      </c>
      <c r="D1670" s="6" t="s">
        <v>174</v>
      </c>
      <c r="E1670" s="6" t="s">
        <v>175</v>
      </c>
      <c r="F1670" s="6" t="s">
        <v>13</v>
      </c>
      <c r="G1670" s="6" t="s">
        <v>5973</v>
      </c>
      <c r="H1670" s="6" t="s">
        <v>3</v>
      </c>
      <c r="I1670" s="6" t="s">
        <v>100</v>
      </c>
      <c r="J1670" s="6"/>
      <c r="K1670" s="6"/>
      <c r="L1670" s="6" t="s">
        <v>176</v>
      </c>
      <c r="M1670" s="6"/>
      <c r="N1670" s="6" t="s">
        <v>177</v>
      </c>
      <c r="O1670" s="6" t="str">
        <f>HYPERLINK("https://ceds.ed.gov/cedselementdetails.aspx?termid=5040")</f>
        <v>https://ceds.ed.gov/cedselementdetails.aspx?termid=5040</v>
      </c>
      <c r="P1670" s="6" t="str">
        <f>HYPERLINK("https://ceds.ed.gov/elementComment.aspx?elementName=Address City &amp;elementID=5040", "Click here to submit comment")</f>
        <v>Click here to submit comment</v>
      </c>
    </row>
    <row r="1671" spans="1:16" ht="409.5">
      <c r="A1671" s="6" t="s">
        <v>6788</v>
      </c>
      <c r="B1671" s="6" t="s">
        <v>6817</v>
      </c>
      <c r="C1671" s="6" t="s">
        <v>6749</v>
      </c>
      <c r="D1671" s="6" t="s">
        <v>5533</v>
      </c>
      <c r="E1671" s="6" t="s">
        <v>5534</v>
      </c>
      <c r="F1671" s="7" t="s">
        <v>6633</v>
      </c>
      <c r="G1671" s="6" t="s">
        <v>6324</v>
      </c>
      <c r="H1671" s="6" t="s">
        <v>3</v>
      </c>
      <c r="I1671" s="6"/>
      <c r="J1671" s="6"/>
      <c r="K1671" s="6"/>
      <c r="L1671" s="6" t="s">
        <v>5535</v>
      </c>
      <c r="M1671" s="6"/>
      <c r="N1671" s="6" t="s">
        <v>5536</v>
      </c>
      <c r="O1671" s="6" t="str">
        <f>HYPERLINK("https://ceds.ed.gov/cedselementdetails.aspx?termid=5267")</f>
        <v>https://ceds.ed.gov/cedselementdetails.aspx?termid=5267</v>
      </c>
      <c r="P1671" s="6" t="str">
        <f>HYPERLINK("https://ceds.ed.gov/elementComment.aspx?elementName=State Abbreviation &amp;elementID=5267", "Click here to submit comment")</f>
        <v>Click here to submit comment</v>
      </c>
    </row>
    <row r="1672" spans="1:16" ht="225">
      <c r="A1672" s="6" t="s">
        <v>6788</v>
      </c>
      <c r="B1672" s="6" t="s">
        <v>6817</v>
      </c>
      <c r="C1672" s="6" t="s">
        <v>6749</v>
      </c>
      <c r="D1672" s="6" t="s">
        <v>182</v>
      </c>
      <c r="E1672" s="6" t="s">
        <v>183</v>
      </c>
      <c r="F1672" s="6" t="s">
        <v>13</v>
      </c>
      <c r="G1672" s="6" t="s">
        <v>5973</v>
      </c>
      <c r="H1672" s="6" t="s">
        <v>3</v>
      </c>
      <c r="I1672" s="6" t="s">
        <v>184</v>
      </c>
      <c r="J1672" s="6"/>
      <c r="K1672" s="6"/>
      <c r="L1672" s="6" t="s">
        <v>185</v>
      </c>
      <c r="M1672" s="6"/>
      <c r="N1672" s="6" t="s">
        <v>186</v>
      </c>
      <c r="O1672" s="6" t="str">
        <f>HYPERLINK("https://ceds.ed.gov/cedselementdetails.aspx?termid=5214")</f>
        <v>https://ceds.ed.gov/cedselementdetails.aspx?termid=5214</v>
      </c>
      <c r="P1672" s="6" t="str">
        <f>HYPERLINK("https://ceds.ed.gov/elementComment.aspx?elementName=Address Postal Code &amp;elementID=5214", "Click here to submit comment")</f>
        <v>Click here to submit comment</v>
      </c>
    </row>
    <row r="1673" spans="1:16" ht="225">
      <c r="A1673" s="6" t="s">
        <v>6788</v>
      </c>
      <c r="B1673" s="6" t="s">
        <v>6817</v>
      </c>
      <c r="C1673" s="6" t="s">
        <v>6749</v>
      </c>
      <c r="D1673" s="6" t="s">
        <v>178</v>
      </c>
      <c r="E1673" s="6" t="s">
        <v>179</v>
      </c>
      <c r="F1673" s="6" t="s">
        <v>13</v>
      </c>
      <c r="G1673" s="6" t="s">
        <v>5973</v>
      </c>
      <c r="H1673" s="6" t="s">
        <v>3</v>
      </c>
      <c r="I1673" s="6" t="s">
        <v>100</v>
      </c>
      <c r="J1673" s="6"/>
      <c r="K1673" s="6"/>
      <c r="L1673" s="6" t="s">
        <v>180</v>
      </c>
      <c r="M1673" s="6"/>
      <c r="N1673" s="6" t="s">
        <v>181</v>
      </c>
      <c r="O1673" s="6" t="str">
        <f>HYPERLINK("https://ceds.ed.gov/cedselementdetails.aspx?termid=5190")</f>
        <v>https://ceds.ed.gov/cedselementdetails.aspx?termid=5190</v>
      </c>
      <c r="P1673" s="6" t="str">
        <f>HYPERLINK("https://ceds.ed.gov/elementComment.aspx?elementName=Address County Name &amp;elementID=5190", "Click here to submit comment")</f>
        <v>Click here to submit comment</v>
      </c>
    </row>
    <row r="1674" spans="1:16" ht="120">
      <c r="A1674" s="6" t="s">
        <v>6788</v>
      </c>
      <c r="B1674" s="6" t="s">
        <v>6817</v>
      </c>
      <c r="C1674" s="6" t="s">
        <v>6737</v>
      </c>
      <c r="D1674" s="6" t="s">
        <v>2670</v>
      </c>
      <c r="E1674" s="6" t="s">
        <v>2671</v>
      </c>
      <c r="F1674" s="7" t="s">
        <v>6508</v>
      </c>
      <c r="G1674" s="6"/>
      <c r="H1674" s="6" t="s">
        <v>54</v>
      </c>
      <c r="I1674" s="6"/>
      <c r="J1674" s="6"/>
      <c r="K1674" s="6"/>
      <c r="L1674" s="6" t="s">
        <v>2672</v>
      </c>
      <c r="M1674" s="6"/>
      <c r="N1674" s="6" t="s">
        <v>2673</v>
      </c>
      <c r="O1674" s="6" t="str">
        <f>HYPERLINK("https://ceds.ed.gov/cedselementdetails.aspx?termid=6312")</f>
        <v>https://ceds.ed.gov/cedselementdetails.aspx?termid=6312</v>
      </c>
      <c r="P1674" s="6" t="str">
        <f>HYPERLINK("https://ceds.ed.gov/elementComment.aspx?elementName=Financial Account Category &amp;elementID=6312", "Click here to submit comment")</f>
        <v>Click here to submit comment</v>
      </c>
    </row>
    <row r="1675" spans="1:16" ht="45">
      <c r="A1675" s="6" t="s">
        <v>6788</v>
      </c>
      <c r="B1675" s="6" t="s">
        <v>6817</v>
      </c>
      <c r="C1675" s="6" t="s">
        <v>6737</v>
      </c>
      <c r="D1675" s="6" t="s">
        <v>2674</v>
      </c>
      <c r="E1675" s="6" t="s">
        <v>2675</v>
      </c>
      <c r="F1675" s="6" t="s">
        <v>13</v>
      </c>
      <c r="G1675" s="6"/>
      <c r="H1675" s="6" t="s">
        <v>54</v>
      </c>
      <c r="I1675" s="6" t="s">
        <v>93</v>
      </c>
      <c r="J1675" s="6"/>
      <c r="K1675" s="6"/>
      <c r="L1675" s="6" t="s">
        <v>2676</v>
      </c>
      <c r="M1675" s="6"/>
      <c r="N1675" s="6" t="s">
        <v>2677</v>
      </c>
      <c r="O1675" s="6" t="str">
        <f>HYPERLINK("https://ceds.ed.gov/cedselementdetails.aspx?termid=6313")</f>
        <v>https://ceds.ed.gov/cedselementdetails.aspx?termid=6313</v>
      </c>
      <c r="P1675" s="6" t="str">
        <f>HYPERLINK("https://ceds.ed.gov/elementComment.aspx?elementName=Financial Account Description &amp;elementID=6313", "Click here to submit comment")</f>
        <v>Click here to submit comment</v>
      </c>
    </row>
    <row r="1676" spans="1:16" ht="150">
      <c r="A1676" s="6" t="s">
        <v>6788</v>
      </c>
      <c r="B1676" s="6" t="s">
        <v>6817</v>
      </c>
      <c r="C1676" s="6" t="s">
        <v>6737</v>
      </c>
      <c r="D1676" s="6" t="s">
        <v>2678</v>
      </c>
      <c r="E1676" s="6" t="s">
        <v>2679</v>
      </c>
      <c r="F1676" s="7" t="s">
        <v>6509</v>
      </c>
      <c r="G1676" s="6"/>
      <c r="H1676" s="6" t="s">
        <v>54</v>
      </c>
      <c r="I1676" s="6"/>
      <c r="J1676" s="6"/>
      <c r="K1676" s="6" t="s">
        <v>2680</v>
      </c>
      <c r="L1676" s="6" t="s">
        <v>2681</v>
      </c>
      <c r="M1676" s="6"/>
      <c r="N1676" s="6" t="s">
        <v>2682</v>
      </c>
      <c r="O1676" s="6" t="str">
        <f>HYPERLINK("https://ceds.ed.gov/cedselementdetails.aspx?termid=6314")</f>
        <v>https://ceds.ed.gov/cedselementdetails.aspx?termid=6314</v>
      </c>
      <c r="P1676" s="6" t="str">
        <f>HYPERLINK("https://ceds.ed.gov/elementComment.aspx?elementName=Financial Account Fund Classification &amp;elementID=6314", "Click here to submit comment")</f>
        <v>Click here to submit comment</v>
      </c>
    </row>
    <row r="1677" spans="1:16" ht="45">
      <c r="A1677" s="6" t="s">
        <v>6788</v>
      </c>
      <c r="B1677" s="6" t="s">
        <v>6817</v>
      </c>
      <c r="C1677" s="6" t="s">
        <v>6737</v>
      </c>
      <c r="D1677" s="6" t="s">
        <v>2683</v>
      </c>
      <c r="E1677" s="6" t="s">
        <v>2684</v>
      </c>
      <c r="F1677" s="6" t="s">
        <v>13</v>
      </c>
      <c r="G1677" s="6"/>
      <c r="H1677" s="6" t="s">
        <v>54</v>
      </c>
      <c r="I1677" s="6" t="s">
        <v>745</v>
      </c>
      <c r="J1677" s="6"/>
      <c r="K1677" s="6"/>
      <c r="L1677" s="6" t="s">
        <v>2685</v>
      </c>
      <c r="M1677" s="6"/>
      <c r="N1677" s="6" t="s">
        <v>2686</v>
      </c>
      <c r="O1677" s="6" t="str">
        <f>HYPERLINK("https://ceds.ed.gov/cedselementdetails.aspx?termid=6315")</f>
        <v>https://ceds.ed.gov/cedselementdetails.aspx?termid=6315</v>
      </c>
      <c r="P1677" s="6" t="str">
        <f>HYPERLINK("https://ceds.ed.gov/elementComment.aspx?elementName=Financial Account Name &amp;elementID=6315", "Click here to submit comment")</f>
        <v>Click here to submit comment</v>
      </c>
    </row>
    <row r="1678" spans="1:16" ht="315">
      <c r="A1678" s="6" t="s">
        <v>6788</v>
      </c>
      <c r="B1678" s="6" t="s">
        <v>6817</v>
      </c>
      <c r="C1678" s="6" t="s">
        <v>6737</v>
      </c>
      <c r="D1678" s="6" t="s">
        <v>2687</v>
      </c>
      <c r="E1678" s="6" t="s">
        <v>2688</v>
      </c>
      <c r="F1678" s="7" t="s">
        <v>6510</v>
      </c>
      <c r="G1678" s="6"/>
      <c r="H1678" s="6" t="s">
        <v>54</v>
      </c>
      <c r="I1678" s="6"/>
      <c r="J1678" s="6"/>
      <c r="K1678" s="6"/>
      <c r="L1678" s="6" t="s">
        <v>2689</v>
      </c>
      <c r="M1678" s="6"/>
      <c r="N1678" s="6" t="s">
        <v>2690</v>
      </c>
      <c r="O1678" s="6" t="str">
        <f>HYPERLINK("https://ceds.ed.gov/cedselementdetails.aspx?termid=6316")</f>
        <v>https://ceds.ed.gov/cedselementdetails.aspx?termid=6316</v>
      </c>
      <c r="P1678" s="6" t="str">
        <f>HYPERLINK("https://ceds.ed.gov/elementComment.aspx?elementName=Financial Account Program Code &amp;elementID=6316", "Click here to submit comment")</f>
        <v>Click here to submit comment</v>
      </c>
    </row>
    <row r="1679" spans="1:16" ht="45">
      <c r="A1679" s="6" t="s">
        <v>6788</v>
      </c>
      <c r="B1679" s="6" t="s">
        <v>6817</v>
      </c>
      <c r="C1679" s="6" t="s">
        <v>6737</v>
      </c>
      <c r="D1679" s="6" t="s">
        <v>2691</v>
      </c>
      <c r="E1679" s="6" t="s">
        <v>2692</v>
      </c>
      <c r="F1679" s="6" t="s">
        <v>13</v>
      </c>
      <c r="G1679" s="6"/>
      <c r="H1679" s="6" t="s">
        <v>54</v>
      </c>
      <c r="I1679" s="6" t="s">
        <v>1461</v>
      </c>
      <c r="J1679" s="6"/>
      <c r="K1679" s="6"/>
      <c r="L1679" s="6" t="s">
        <v>2693</v>
      </c>
      <c r="M1679" s="6"/>
      <c r="N1679" s="6" t="s">
        <v>2694</v>
      </c>
      <c r="O1679" s="6" t="str">
        <f>HYPERLINK("https://ceds.ed.gov/cedselementdetails.aspx?termid=6317")</f>
        <v>https://ceds.ed.gov/cedselementdetails.aspx?termid=6317</v>
      </c>
      <c r="P1679" s="6" t="str">
        <f>HYPERLINK("https://ceds.ed.gov/elementComment.aspx?elementName=Financial Accounting Period Actual Value &amp;elementID=6317", "Click here to submit comment")</f>
        <v>Click here to submit comment</v>
      </c>
    </row>
    <row r="1680" spans="1:16" ht="45">
      <c r="A1680" s="6" t="s">
        <v>6788</v>
      </c>
      <c r="B1680" s="6" t="s">
        <v>6817</v>
      </c>
      <c r="C1680" s="6" t="s">
        <v>6737</v>
      </c>
      <c r="D1680" s="6" t="s">
        <v>2695</v>
      </c>
      <c r="E1680" s="6" t="s">
        <v>2696</v>
      </c>
      <c r="F1680" s="6" t="s">
        <v>13</v>
      </c>
      <c r="G1680" s="6"/>
      <c r="H1680" s="6" t="s">
        <v>54</v>
      </c>
      <c r="I1680" s="6" t="s">
        <v>1461</v>
      </c>
      <c r="J1680" s="6"/>
      <c r="K1680" s="6"/>
      <c r="L1680" s="6" t="s">
        <v>2697</v>
      </c>
      <c r="M1680" s="6"/>
      <c r="N1680" s="6" t="s">
        <v>2698</v>
      </c>
      <c r="O1680" s="6" t="str">
        <f>HYPERLINK("https://ceds.ed.gov/cedselementdetails.aspx?termid=6318")</f>
        <v>https://ceds.ed.gov/cedselementdetails.aspx?termid=6318</v>
      </c>
      <c r="P1680" s="6" t="str">
        <f>HYPERLINK("https://ceds.ed.gov/elementComment.aspx?elementName=Financial Accounting Period Budgeted Value &amp;elementID=6318", "Click here to submit comment")</f>
        <v>Click here to submit comment</v>
      </c>
    </row>
    <row r="1681" spans="1:16" ht="409.5">
      <c r="A1681" s="6" t="s">
        <v>6788</v>
      </c>
      <c r="B1681" s="6" t="s">
        <v>6817</v>
      </c>
      <c r="C1681" s="6" t="s">
        <v>6737</v>
      </c>
      <c r="D1681" s="6" t="s">
        <v>2730</v>
      </c>
      <c r="E1681" s="6" t="s">
        <v>2731</v>
      </c>
      <c r="F1681" s="7" t="s">
        <v>6513</v>
      </c>
      <c r="G1681" s="6"/>
      <c r="H1681" s="6" t="s">
        <v>54</v>
      </c>
      <c r="I1681" s="6"/>
      <c r="J1681" s="6"/>
      <c r="K1681" s="6" t="s">
        <v>2732</v>
      </c>
      <c r="L1681" s="6" t="s">
        <v>2733</v>
      </c>
      <c r="M1681" s="6"/>
      <c r="N1681" s="6" t="s">
        <v>2734</v>
      </c>
      <c r="O1681" s="6" t="str">
        <f>HYPERLINK("https://ceds.ed.gov/cedselementdetails.aspx?termid=6320")</f>
        <v>https://ceds.ed.gov/cedselementdetails.aspx?termid=6320</v>
      </c>
      <c r="P1681" s="6" t="str">
        <f>HYPERLINK("https://ceds.ed.gov/elementComment.aspx?elementName=Financial Balance Sheet Account Code &amp;elementID=6320", "Click here to submit comment")</f>
        <v>Click here to submit comment</v>
      </c>
    </row>
    <row r="1682" spans="1:16" ht="409.5">
      <c r="A1682" s="6" t="s">
        <v>6788</v>
      </c>
      <c r="B1682" s="6" t="s">
        <v>6817</v>
      </c>
      <c r="C1682" s="6" t="s">
        <v>6737</v>
      </c>
      <c r="D1682" s="6" t="s">
        <v>2735</v>
      </c>
      <c r="E1682" s="6" t="s">
        <v>2736</v>
      </c>
      <c r="F1682" s="7" t="s">
        <v>6514</v>
      </c>
      <c r="G1682" s="6"/>
      <c r="H1682" s="6" t="s">
        <v>54</v>
      </c>
      <c r="I1682" s="6"/>
      <c r="J1682" s="6"/>
      <c r="K1682" s="6" t="s">
        <v>2732</v>
      </c>
      <c r="L1682" s="6" t="s">
        <v>2737</v>
      </c>
      <c r="M1682" s="6"/>
      <c r="N1682" s="6" t="s">
        <v>2738</v>
      </c>
      <c r="O1682" s="6" t="str">
        <f>HYPERLINK("https://ceds.ed.gov/cedselementdetails.aspx?termid=6321")</f>
        <v>https://ceds.ed.gov/cedselementdetails.aspx?termid=6321</v>
      </c>
      <c r="P1682" s="6" t="str">
        <f>HYPERLINK("https://ceds.ed.gov/elementComment.aspx?elementName=Financial Expenditure Function Code &amp;elementID=6321", "Click here to submit comment")</f>
        <v>Click here to submit comment</v>
      </c>
    </row>
    <row r="1683" spans="1:16" ht="409.5">
      <c r="A1683" s="6" t="s">
        <v>6788</v>
      </c>
      <c r="B1683" s="6" t="s">
        <v>6817</v>
      </c>
      <c r="C1683" s="6" t="s">
        <v>6737</v>
      </c>
      <c r="D1683" s="6" t="s">
        <v>2739</v>
      </c>
      <c r="E1683" s="6" t="s">
        <v>2740</v>
      </c>
      <c r="F1683" s="7" t="s">
        <v>6515</v>
      </c>
      <c r="G1683" s="6"/>
      <c r="H1683" s="6" t="s">
        <v>54</v>
      </c>
      <c r="I1683" s="6"/>
      <c r="J1683" s="6"/>
      <c r="K1683" s="6" t="s">
        <v>2741</v>
      </c>
      <c r="L1683" s="6" t="s">
        <v>2742</v>
      </c>
      <c r="M1683" s="6"/>
      <c r="N1683" s="6" t="s">
        <v>2743</v>
      </c>
      <c r="O1683" s="6" t="str">
        <f>HYPERLINK("https://ceds.ed.gov/cedselementdetails.aspx?termid=6322")</f>
        <v>https://ceds.ed.gov/cedselementdetails.aspx?termid=6322</v>
      </c>
      <c r="P1683" s="6" t="str">
        <f>HYPERLINK("https://ceds.ed.gov/elementComment.aspx?elementName=Financial Expenditure Object Code &amp;elementID=6322", "Click here to submit comment")</f>
        <v>Click here to submit comment</v>
      </c>
    </row>
    <row r="1684" spans="1:16" ht="105">
      <c r="A1684" s="6" t="s">
        <v>6788</v>
      </c>
      <c r="B1684" s="6" t="s">
        <v>6861</v>
      </c>
      <c r="C1684" s="6"/>
      <c r="D1684" s="6" t="s">
        <v>3117</v>
      </c>
      <c r="E1684" s="6" t="s">
        <v>3118</v>
      </c>
      <c r="F1684" s="6" t="s">
        <v>13</v>
      </c>
      <c r="G1684" s="6"/>
      <c r="H1684" s="6"/>
      <c r="I1684" s="6" t="s">
        <v>149</v>
      </c>
      <c r="J1684" s="6"/>
      <c r="K1684" s="6"/>
      <c r="L1684" s="6" t="s">
        <v>3119</v>
      </c>
      <c r="M1684" s="6"/>
      <c r="N1684" s="6" t="s">
        <v>3120</v>
      </c>
      <c r="O1684" s="6" t="str">
        <f>HYPERLINK("https://ceds.ed.gov/cedselementdetails.aspx?termid=5492")</f>
        <v>https://ceds.ed.gov/cedselementdetails.aspx?termid=5492</v>
      </c>
      <c r="P1684" s="6" t="str">
        <f>HYPERLINK("https://ceds.ed.gov/elementComment.aspx?elementName=Incident Identifier &amp;elementID=5492", "Click here to submit comment")</f>
        <v>Click here to submit comment</v>
      </c>
    </row>
    <row r="1685" spans="1:16" ht="30">
      <c r="A1685" s="6" t="s">
        <v>6788</v>
      </c>
      <c r="B1685" s="6" t="s">
        <v>6861</v>
      </c>
      <c r="C1685" s="6"/>
      <c r="D1685" s="6" t="s">
        <v>3108</v>
      </c>
      <c r="E1685" s="6" t="s">
        <v>3109</v>
      </c>
      <c r="F1685" s="6" t="s">
        <v>13</v>
      </c>
      <c r="G1685" s="6"/>
      <c r="H1685" s="6"/>
      <c r="I1685" s="6" t="s">
        <v>73</v>
      </c>
      <c r="J1685" s="6"/>
      <c r="K1685" s="6"/>
      <c r="L1685" s="6" t="s">
        <v>3110</v>
      </c>
      <c r="M1685" s="6"/>
      <c r="N1685" s="6" t="s">
        <v>3111</v>
      </c>
      <c r="O1685" s="6" t="str">
        <f>HYPERLINK("https://ceds.ed.gov/cedselementdetails.aspx?termid=5493")</f>
        <v>https://ceds.ed.gov/cedselementdetails.aspx?termid=5493</v>
      </c>
      <c r="P1685" s="6" t="str">
        <f>HYPERLINK("https://ceds.ed.gov/elementComment.aspx?elementName=Incident Date &amp;elementID=5493", "Click here to submit comment")</f>
        <v>Click here to submit comment</v>
      </c>
    </row>
    <row r="1686" spans="1:16" ht="30">
      <c r="A1686" s="6" t="s">
        <v>6788</v>
      </c>
      <c r="B1686" s="6" t="s">
        <v>6861</v>
      </c>
      <c r="C1686" s="6"/>
      <c r="D1686" s="6" t="s">
        <v>3167</v>
      </c>
      <c r="E1686" s="6" t="s">
        <v>3168</v>
      </c>
      <c r="F1686" s="6" t="s">
        <v>13</v>
      </c>
      <c r="G1686" s="6"/>
      <c r="H1686" s="6"/>
      <c r="I1686" s="6" t="s">
        <v>426</v>
      </c>
      <c r="J1686" s="6"/>
      <c r="K1686" s="6"/>
      <c r="L1686" s="6" t="s">
        <v>3169</v>
      </c>
      <c r="M1686" s="6"/>
      <c r="N1686" s="6" t="s">
        <v>3170</v>
      </c>
      <c r="O1686" s="6" t="str">
        <f>HYPERLINK("https://ceds.ed.gov/cedselementdetails.aspx?termid=5494")</f>
        <v>https://ceds.ed.gov/cedselementdetails.aspx?termid=5494</v>
      </c>
      <c r="P1686" s="6" t="str">
        <f>HYPERLINK("https://ceds.ed.gov/elementComment.aspx?elementName=Incident Time &amp;elementID=5494", "Click here to submit comment")</f>
        <v>Click here to submit comment</v>
      </c>
    </row>
    <row r="1687" spans="1:16" ht="409.5">
      <c r="A1687" s="6" t="s">
        <v>6788</v>
      </c>
      <c r="B1687" s="6" t="s">
        <v>6861</v>
      </c>
      <c r="C1687" s="6"/>
      <c r="D1687" s="6" t="s">
        <v>3126</v>
      </c>
      <c r="E1687" s="6" t="s">
        <v>3127</v>
      </c>
      <c r="F1687" s="7" t="s">
        <v>6543</v>
      </c>
      <c r="G1687" s="6"/>
      <c r="H1687" s="6"/>
      <c r="I1687" s="6"/>
      <c r="J1687" s="6"/>
      <c r="K1687" s="6"/>
      <c r="L1687" s="6" t="s">
        <v>3128</v>
      </c>
      <c r="M1687" s="6"/>
      <c r="N1687" s="6" t="s">
        <v>3129</v>
      </c>
      <c r="O1687" s="6" t="str">
        <f>HYPERLINK("https://ceds.ed.gov/cedselementdetails.aspx?termid=5610")</f>
        <v>https://ceds.ed.gov/cedselementdetails.aspx?termid=5610</v>
      </c>
      <c r="P1687" s="6" t="str">
        <f>HYPERLINK("https://ceds.ed.gov/elementComment.aspx?elementName=Incident Location &amp;elementID=5610", "Click here to submit comment")</f>
        <v>Click here to submit comment</v>
      </c>
    </row>
    <row r="1688" spans="1:16" ht="409.5">
      <c r="A1688" s="6" t="s">
        <v>6788</v>
      </c>
      <c r="B1688" s="6" t="s">
        <v>6861</v>
      </c>
      <c r="C1688" s="6"/>
      <c r="D1688" s="6" t="s">
        <v>3163</v>
      </c>
      <c r="E1688" s="6" t="s">
        <v>3164</v>
      </c>
      <c r="F1688" s="7" t="s">
        <v>6545</v>
      </c>
      <c r="G1688" s="6"/>
      <c r="H1688" s="6"/>
      <c r="I1688" s="6"/>
      <c r="J1688" s="6"/>
      <c r="K1688" s="6"/>
      <c r="L1688" s="6" t="s">
        <v>3165</v>
      </c>
      <c r="M1688" s="6"/>
      <c r="N1688" s="6" t="s">
        <v>3166</v>
      </c>
      <c r="O1688" s="6" t="str">
        <f>HYPERLINK("https://ceds.ed.gov/cedselementdetails.aspx?termid=5497")</f>
        <v>https://ceds.ed.gov/cedselementdetails.aspx?termid=5497</v>
      </c>
      <c r="P1688" s="6" t="str">
        <f>HYPERLINK("https://ceds.ed.gov/elementComment.aspx?elementName=Incident Reporter Type &amp;elementID=5497", "Click here to submit comment")</f>
        <v>Click here to submit comment</v>
      </c>
    </row>
    <row r="1689" spans="1:16" ht="75">
      <c r="A1689" s="6" t="s">
        <v>6788</v>
      </c>
      <c r="B1689" s="6" t="s">
        <v>6861</v>
      </c>
      <c r="C1689" s="6"/>
      <c r="D1689" s="6" t="s">
        <v>5029</v>
      </c>
      <c r="E1689" s="6" t="s">
        <v>5030</v>
      </c>
      <c r="F1689" s="6" t="s">
        <v>13</v>
      </c>
      <c r="G1689" s="6"/>
      <c r="H1689" s="6"/>
      <c r="I1689" s="6" t="s">
        <v>149</v>
      </c>
      <c r="J1689" s="6"/>
      <c r="K1689" s="6"/>
      <c r="L1689" s="6" t="s">
        <v>5031</v>
      </c>
      <c r="M1689" s="6"/>
      <c r="N1689" s="6" t="s">
        <v>5032</v>
      </c>
      <c r="O1689" s="6" t="str">
        <f>HYPERLINK("https://ceds.ed.gov/cedselementdetails.aspx?termid=5498")</f>
        <v>https://ceds.ed.gov/cedselementdetails.aspx?termid=5498</v>
      </c>
      <c r="P1689" s="6" t="str">
        <f>HYPERLINK("https://ceds.ed.gov/elementComment.aspx?elementName=Reporter Identifier &amp;elementID=5498", "Click here to submit comment")</f>
        <v>Click here to submit comment</v>
      </c>
    </row>
    <row r="1690" spans="1:16" ht="30">
      <c r="A1690" s="6" t="s">
        <v>6788</v>
      </c>
      <c r="B1690" s="6" t="s">
        <v>6861</v>
      </c>
      <c r="C1690" s="6"/>
      <c r="D1690" s="6" t="s">
        <v>3112</v>
      </c>
      <c r="E1690" s="6" t="s">
        <v>3113</v>
      </c>
      <c r="F1690" s="6" t="s">
        <v>13</v>
      </c>
      <c r="G1690" s="6"/>
      <c r="H1690" s="6"/>
      <c r="I1690" s="6" t="s">
        <v>3114</v>
      </c>
      <c r="J1690" s="6"/>
      <c r="K1690" s="6"/>
      <c r="L1690" s="6" t="s">
        <v>3115</v>
      </c>
      <c r="M1690" s="6"/>
      <c r="N1690" s="6" t="s">
        <v>3116</v>
      </c>
      <c r="O1690" s="6" t="str">
        <f>HYPERLINK("https://ceds.ed.gov/cedselementdetails.aspx?termid=5499")</f>
        <v>https://ceds.ed.gov/cedselementdetails.aspx?termid=5499</v>
      </c>
      <c r="P1690" s="6" t="str">
        <f>HYPERLINK("https://ceds.ed.gov/elementComment.aspx?elementName=Incident Description &amp;elementID=5499", "Click here to submit comment")</f>
        <v>Click here to submit comment</v>
      </c>
    </row>
    <row r="1691" spans="1:16" ht="409.5">
      <c r="A1691" s="6" t="s">
        <v>6788</v>
      </c>
      <c r="B1691" s="6" t="s">
        <v>6861</v>
      </c>
      <c r="C1691" s="6"/>
      <c r="D1691" s="6" t="s">
        <v>3100</v>
      </c>
      <c r="E1691" s="6" t="s">
        <v>3101</v>
      </c>
      <c r="F1691" s="7" t="s">
        <v>6541</v>
      </c>
      <c r="G1691" s="6"/>
      <c r="H1691" s="6"/>
      <c r="I1691" s="6"/>
      <c r="J1691" s="6"/>
      <c r="K1691" s="6"/>
      <c r="L1691" s="6" t="s">
        <v>3102</v>
      </c>
      <c r="M1691" s="6"/>
      <c r="N1691" s="6" t="s">
        <v>3103</v>
      </c>
      <c r="O1691" s="6" t="str">
        <f>HYPERLINK("https://ceds.ed.gov/cedselementdetails.aspx?termid=5500")</f>
        <v>https://ceds.ed.gov/cedselementdetails.aspx?termid=5500</v>
      </c>
      <c r="P1691" s="6" t="str">
        <f>HYPERLINK("https://ceds.ed.gov/elementComment.aspx?elementName=Incident Behavior &amp;elementID=5500", "Click here to submit comment")</f>
        <v>Click here to submit comment</v>
      </c>
    </row>
    <row r="1692" spans="1:16" ht="120">
      <c r="A1692" s="6" t="s">
        <v>6788</v>
      </c>
      <c r="B1692" s="6" t="s">
        <v>6861</v>
      </c>
      <c r="C1692" s="6"/>
      <c r="D1692" s="6" t="s">
        <v>3121</v>
      </c>
      <c r="E1692" s="6" t="s">
        <v>3122</v>
      </c>
      <c r="F1692" s="7" t="s">
        <v>6542</v>
      </c>
      <c r="G1692" s="6"/>
      <c r="H1692" s="6"/>
      <c r="I1692" s="6"/>
      <c r="J1692" s="6"/>
      <c r="K1692" s="6" t="s">
        <v>3123</v>
      </c>
      <c r="L1692" s="6" t="s">
        <v>3124</v>
      </c>
      <c r="M1692" s="6"/>
      <c r="N1692" s="6" t="s">
        <v>3125</v>
      </c>
      <c r="O1692" s="6" t="str">
        <f>HYPERLINK("https://ceds.ed.gov/cedselementdetails.aspx?termid=5501")</f>
        <v>https://ceds.ed.gov/cedselementdetails.aspx?termid=5501</v>
      </c>
      <c r="P1692" s="6" t="str">
        <f>HYPERLINK("https://ceds.ed.gov/elementComment.aspx?elementName=Incident Injury Type &amp;elementID=5501", "Click here to submit comment")</f>
        <v>Click here to submit comment</v>
      </c>
    </row>
    <row r="1693" spans="1:16" ht="75">
      <c r="A1693" s="6" t="s">
        <v>6788</v>
      </c>
      <c r="B1693" s="6" t="s">
        <v>6861</v>
      </c>
      <c r="C1693" s="6"/>
      <c r="D1693" s="6" t="s">
        <v>5025</v>
      </c>
      <c r="E1693" s="6" t="s">
        <v>5026</v>
      </c>
      <c r="F1693" s="6" t="s">
        <v>5963</v>
      </c>
      <c r="G1693" s="6"/>
      <c r="H1693" s="6"/>
      <c r="I1693" s="6"/>
      <c r="J1693" s="6"/>
      <c r="K1693" s="6"/>
      <c r="L1693" s="6" t="s">
        <v>5027</v>
      </c>
      <c r="M1693" s="6"/>
      <c r="N1693" s="6" t="s">
        <v>5028</v>
      </c>
      <c r="O1693" s="6" t="str">
        <f>HYPERLINK("https://ceds.ed.gov/cedselementdetails.aspx?termid=5503")</f>
        <v>https://ceds.ed.gov/cedselementdetails.aspx?termid=5503</v>
      </c>
      <c r="P1693" s="6" t="str">
        <f>HYPERLINK("https://ceds.ed.gov/elementComment.aspx?elementName=Related to Zero Tolerance Policy &amp;elementID=5503", "Click here to submit comment")</f>
        <v>Click here to submit comment</v>
      </c>
    </row>
    <row r="1694" spans="1:16" ht="300">
      <c r="A1694" s="6" t="s">
        <v>6788</v>
      </c>
      <c r="B1694" s="6" t="s">
        <v>6861</v>
      </c>
      <c r="C1694" s="6"/>
      <c r="D1694" s="6" t="s">
        <v>3171</v>
      </c>
      <c r="E1694" s="6" t="s">
        <v>3172</v>
      </c>
      <c r="F1694" s="7" t="s">
        <v>6546</v>
      </c>
      <c r="G1694" s="6"/>
      <c r="H1694" s="6"/>
      <c r="I1694" s="6"/>
      <c r="J1694" s="6"/>
      <c r="K1694" s="6"/>
      <c r="L1694" s="6" t="s">
        <v>3173</v>
      </c>
      <c r="M1694" s="6"/>
      <c r="N1694" s="6" t="s">
        <v>3174</v>
      </c>
      <c r="O1694" s="6" t="str">
        <f>HYPERLINK("https://ceds.ed.gov/cedselementdetails.aspx?termid=5506")</f>
        <v>https://ceds.ed.gov/cedselementdetails.aspx?termid=5506</v>
      </c>
      <c r="P1694" s="6" t="str">
        <f>HYPERLINK("https://ceds.ed.gov/elementComment.aspx?elementName=Incident Time Description Code &amp;elementID=5506", "Click here to submit comment")</f>
        <v>Click here to submit comment</v>
      </c>
    </row>
    <row r="1695" spans="1:16" ht="75">
      <c r="A1695" s="6" t="s">
        <v>6788</v>
      </c>
      <c r="B1695" s="6" t="s">
        <v>6861</v>
      </c>
      <c r="C1695" s="6"/>
      <c r="D1695" s="6" t="s">
        <v>3048</v>
      </c>
      <c r="E1695" s="6" t="s">
        <v>3049</v>
      </c>
      <c r="F1695" s="7" t="s">
        <v>6539</v>
      </c>
      <c r="G1695" s="6" t="s">
        <v>218</v>
      </c>
      <c r="H1695" s="6"/>
      <c r="I1695" s="6"/>
      <c r="J1695" s="6"/>
      <c r="K1695" s="6"/>
      <c r="L1695" s="6" t="s">
        <v>3050</v>
      </c>
      <c r="M1695" s="6"/>
      <c r="N1695" s="6" t="s">
        <v>3051</v>
      </c>
      <c r="O1695" s="6" t="str">
        <f>HYPERLINK("https://ceds.ed.gov/cedselementdetails.aspx?termid=5530")</f>
        <v>https://ceds.ed.gov/cedselementdetails.aspx?termid=5530</v>
      </c>
      <c r="P1695" s="6" t="str">
        <f>HYPERLINK("https://ceds.ed.gov/elementComment.aspx?elementName=IDEA Interim Removal Reason &amp;elementID=5530", "Click here to submit comment")</f>
        <v>Click here to submit comment</v>
      </c>
    </row>
    <row r="1696" spans="1:16" ht="105">
      <c r="A1696" s="6" t="s">
        <v>6788</v>
      </c>
      <c r="B1696" s="6" t="s">
        <v>6861</v>
      </c>
      <c r="C1696" s="6"/>
      <c r="D1696" s="6" t="s">
        <v>3044</v>
      </c>
      <c r="E1696" s="6" t="s">
        <v>3045</v>
      </c>
      <c r="F1696" s="7" t="s">
        <v>6538</v>
      </c>
      <c r="G1696" s="6" t="s">
        <v>218</v>
      </c>
      <c r="H1696" s="6"/>
      <c r="I1696" s="6"/>
      <c r="J1696" s="6"/>
      <c r="K1696" s="6"/>
      <c r="L1696" s="6" t="s">
        <v>3046</v>
      </c>
      <c r="M1696" s="6"/>
      <c r="N1696" s="6" t="s">
        <v>3047</v>
      </c>
      <c r="O1696" s="6" t="str">
        <f>HYPERLINK("https://ceds.ed.gov/cedselementdetails.aspx?termid=5532")</f>
        <v>https://ceds.ed.gov/cedselementdetails.aspx?termid=5532</v>
      </c>
      <c r="P1696" s="6" t="str">
        <f>HYPERLINK("https://ceds.ed.gov/elementComment.aspx?elementName=IDEA Interim Removal &amp;elementID=5532", "Click here to submit comment")</f>
        <v>Click here to submit comment</v>
      </c>
    </row>
    <row r="1697" spans="1:16" ht="255">
      <c r="A1697" s="6" t="s">
        <v>6788</v>
      </c>
      <c r="B1697" s="6" t="s">
        <v>6861</v>
      </c>
      <c r="C1697" s="6"/>
      <c r="D1697" s="6" t="s">
        <v>2242</v>
      </c>
      <c r="E1697" s="6" t="s">
        <v>2243</v>
      </c>
      <c r="F1697" s="7" t="s">
        <v>6465</v>
      </c>
      <c r="G1697" s="6" t="s">
        <v>218</v>
      </c>
      <c r="H1697" s="6"/>
      <c r="I1697" s="6"/>
      <c r="J1697" s="6"/>
      <c r="K1697" s="6"/>
      <c r="L1697" s="6" t="s">
        <v>2244</v>
      </c>
      <c r="M1697" s="6"/>
      <c r="N1697" s="6" t="s">
        <v>2245</v>
      </c>
      <c r="O1697" s="6" t="str">
        <f>HYPERLINK("https://ceds.ed.gov/cedselementdetails.aspx?termid=5536")</f>
        <v>https://ceds.ed.gov/cedselementdetails.aspx?termid=5536</v>
      </c>
      <c r="P1697" s="6" t="str">
        <f>HYPERLINK("https://ceds.ed.gov/elementComment.aspx?elementName=Discipline Reason &amp;elementID=5536", "Click here to submit comment")</f>
        <v>Click here to submit comment</v>
      </c>
    </row>
    <row r="1698" spans="1:16" ht="120">
      <c r="A1698" s="6" t="s">
        <v>6788</v>
      </c>
      <c r="B1698" s="6" t="s">
        <v>6861</v>
      </c>
      <c r="C1698" s="6"/>
      <c r="D1698" s="6" t="s">
        <v>2758</v>
      </c>
      <c r="E1698" s="6" t="s">
        <v>2759</v>
      </c>
      <c r="F1698" s="7" t="s">
        <v>6517</v>
      </c>
      <c r="G1698" s="6" t="s">
        <v>218</v>
      </c>
      <c r="H1698" s="6"/>
      <c r="I1698" s="6"/>
      <c r="J1698" s="6"/>
      <c r="K1698" s="6"/>
      <c r="L1698" s="6" t="s">
        <v>2761</v>
      </c>
      <c r="M1698" s="6"/>
      <c r="N1698" s="6" t="s">
        <v>2762</v>
      </c>
      <c r="O1698" s="6" t="str">
        <f>HYPERLINK("https://ceds.ed.gov/cedselementdetails.aspx?termid=5548")</f>
        <v>https://ceds.ed.gov/cedselementdetails.aspx?termid=5548</v>
      </c>
      <c r="P1698" s="6" t="str">
        <f>HYPERLINK("https://ceds.ed.gov/elementComment.aspx?elementName=Firearm Type &amp;elementID=5548", "Click here to submit comment")</f>
        <v>Click here to submit comment</v>
      </c>
    </row>
    <row r="1699" spans="1:16" ht="75">
      <c r="A1699" s="6" t="s">
        <v>6788</v>
      </c>
      <c r="B1699" s="6" t="s">
        <v>6861</v>
      </c>
      <c r="C1699" s="6"/>
      <c r="D1699" s="6" t="s">
        <v>2447</v>
      </c>
      <c r="E1699" s="6" t="s">
        <v>2448</v>
      </c>
      <c r="F1699" s="6" t="s">
        <v>5963</v>
      </c>
      <c r="G1699" s="6"/>
      <c r="H1699" s="6"/>
      <c r="I1699" s="6"/>
      <c r="J1699" s="6"/>
      <c r="K1699" s="6"/>
      <c r="L1699" s="6" t="s">
        <v>2449</v>
      </c>
      <c r="M1699" s="6"/>
      <c r="N1699" s="6" t="s">
        <v>2450</v>
      </c>
      <c r="O1699" s="6" t="str">
        <f>HYPERLINK("https://ceds.ed.gov/cedselementdetails.aspx?termid=5570")</f>
        <v>https://ceds.ed.gov/cedselementdetails.aspx?termid=5570</v>
      </c>
      <c r="P1699" s="6" t="str">
        <f>HYPERLINK("https://ceds.ed.gov/elementComment.aspx?elementName=Educational Services After Removal &amp;elementID=5570", "Click here to submit comment")</f>
        <v>Click here to submit comment</v>
      </c>
    </row>
    <row r="1700" spans="1:16" ht="195">
      <c r="A1700" s="6" t="s">
        <v>6788</v>
      </c>
      <c r="B1700" s="6" t="s">
        <v>6861</v>
      </c>
      <c r="C1700" s="6"/>
      <c r="D1700" s="6" t="s">
        <v>3104</v>
      </c>
      <c r="E1700" s="6" t="s">
        <v>3105</v>
      </c>
      <c r="F1700" s="6" t="s">
        <v>13</v>
      </c>
      <c r="G1700" s="6"/>
      <c r="H1700" s="6"/>
      <c r="I1700" s="6" t="s">
        <v>100</v>
      </c>
      <c r="J1700" s="6"/>
      <c r="K1700" s="6"/>
      <c r="L1700" s="6" t="s">
        <v>3106</v>
      </c>
      <c r="M1700" s="6"/>
      <c r="N1700" s="6" t="s">
        <v>3107</v>
      </c>
      <c r="O1700" s="6" t="str">
        <f>HYPERLINK("https://ceds.ed.gov/cedselementdetails.aspx?termid=5496")</f>
        <v>https://ceds.ed.gov/cedselementdetails.aspx?termid=5496</v>
      </c>
      <c r="P1700" s="6" t="str">
        <f>HYPERLINK("https://ceds.ed.gov/elementComment.aspx?elementName=Incident Cost &amp;elementID=5496", "Click here to submit comment")</f>
        <v>Click here to submit comment</v>
      </c>
    </row>
    <row r="1701" spans="1:16" ht="195">
      <c r="A1701" s="6" t="s">
        <v>6788</v>
      </c>
      <c r="B1701" s="6" t="s">
        <v>6861</v>
      </c>
      <c r="C1701" s="6"/>
      <c r="D1701" s="6" t="s">
        <v>5285</v>
      </c>
      <c r="E1701" s="6" t="s">
        <v>5286</v>
      </c>
      <c r="F1701" s="7" t="s">
        <v>6653</v>
      </c>
      <c r="G1701" s="6"/>
      <c r="H1701" s="6"/>
      <c r="I1701" s="6"/>
      <c r="J1701" s="6"/>
      <c r="K1701" s="6"/>
      <c r="L1701" s="6" t="s">
        <v>5287</v>
      </c>
      <c r="M1701" s="6"/>
      <c r="N1701" s="6" t="s">
        <v>5288</v>
      </c>
      <c r="O1701" s="6" t="str">
        <f>HYPERLINK("https://ceds.ed.gov/cedselementdetails.aspx?termid=5620")</f>
        <v>https://ceds.ed.gov/cedselementdetails.aspx?termid=5620</v>
      </c>
      <c r="P1701" s="6" t="str">
        <f>HYPERLINK("https://ceds.ed.gov/elementComment.aspx?elementName=Secondary Incident Behavior &amp;elementID=5620", "Click here to submit comment")</f>
        <v>Click here to submit comment</v>
      </c>
    </row>
    <row r="1702" spans="1:16" ht="409.5">
      <c r="A1702" s="6" t="s">
        <v>6788</v>
      </c>
      <c r="B1702" s="6" t="s">
        <v>6861</v>
      </c>
      <c r="C1702" s="6"/>
      <c r="D1702" s="6" t="s">
        <v>5903</v>
      </c>
      <c r="E1702" s="6" t="s">
        <v>5904</v>
      </c>
      <c r="F1702" s="7" t="s">
        <v>6694</v>
      </c>
      <c r="G1702" s="6"/>
      <c r="H1702" s="6"/>
      <c r="I1702" s="6"/>
      <c r="J1702" s="6"/>
      <c r="K1702" s="6" t="s">
        <v>5905</v>
      </c>
      <c r="L1702" s="6" t="s">
        <v>5906</v>
      </c>
      <c r="M1702" s="6"/>
      <c r="N1702" s="6" t="s">
        <v>5907</v>
      </c>
      <c r="O1702" s="6" t="str">
        <f>HYPERLINK("https://ceds.ed.gov/cedselementdetails.aspx?termid=6178")</f>
        <v>https://ceds.ed.gov/cedselementdetails.aspx?termid=6178</v>
      </c>
      <c r="P1702" s="6" t="str">
        <f>HYPERLINK("https://ceds.ed.gov/elementComment.aspx?elementName=Weapon Type &amp;elementID=6178", "Click here to submit comment")</f>
        <v>Click here to submit comment</v>
      </c>
    </row>
    <row r="1703" spans="1:16" ht="30">
      <c r="A1703" s="6" t="s">
        <v>6788</v>
      </c>
      <c r="B1703" s="6" t="s">
        <v>6861</v>
      </c>
      <c r="C1703" s="6"/>
      <c r="D1703" s="6" t="s">
        <v>2221</v>
      </c>
      <c r="E1703" s="6" t="s">
        <v>2222</v>
      </c>
      <c r="F1703" s="6" t="s">
        <v>13</v>
      </c>
      <c r="G1703" s="6" t="s">
        <v>2</v>
      </c>
      <c r="H1703" s="6"/>
      <c r="I1703" s="6" t="s">
        <v>73</v>
      </c>
      <c r="J1703" s="6"/>
      <c r="K1703" s="6"/>
      <c r="L1703" s="6" t="s">
        <v>2223</v>
      </c>
      <c r="M1703" s="6"/>
      <c r="N1703" s="6" t="s">
        <v>2224</v>
      </c>
      <c r="O1703" s="6" t="str">
        <f>HYPERLINK("https://ceds.ed.gov/cedselementdetails.aspx?termid=5083")</f>
        <v>https://ceds.ed.gov/cedselementdetails.aspx?termid=5083</v>
      </c>
      <c r="P1703" s="6" t="str">
        <f>HYPERLINK("https://ceds.ed.gov/elementComment.aspx?elementName=Disciplinary Action Start Date &amp;elementID=5083", "Click here to submit comment")</f>
        <v>Click here to submit comment</v>
      </c>
    </row>
    <row r="1704" spans="1:16" ht="30">
      <c r="A1704" s="6" t="s">
        <v>6788</v>
      </c>
      <c r="B1704" s="6" t="s">
        <v>6861</v>
      </c>
      <c r="C1704" s="6"/>
      <c r="D1704" s="6" t="s">
        <v>2212</v>
      </c>
      <c r="E1704" s="6" t="s">
        <v>2213</v>
      </c>
      <c r="F1704" s="6" t="s">
        <v>13</v>
      </c>
      <c r="G1704" s="6" t="s">
        <v>2</v>
      </c>
      <c r="H1704" s="6"/>
      <c r="I1704" s="6" t="s">
        <v>73</v>
      </c>
      <c r="J1704" s="6"/>
      <c r="K1704" s="6"/>
      <c r="L1704" s="6" t="s">
        <v>2214</v>
      </c>
      <c r="M1704" s="6"/>
      <c r="N1704" s="6" t="s">
        <v>2215</v>
      </c>
      <c r="O1704" s="6" t="str">
        <f>HYPERLINK("https://ceds.ed.gov/cedselementdetails.aspx?termid=5082")</f>
        <v>https://ceds.ed.gov/cedselementdetails.aspx?termid=5082</v>
      </c>
      <c r="P1704" s="6" t="str">
        <f>HYPERLINK("https://ceds.ed.gov/elementComment.aspx?elementName=Disciplinary Action End Date &amp;elementID=5082", "Click here to submit comment")</f>
        <v>Click here to submit comment</v>
      </c>
    </row>
    <row r="1705" spans="1:16" ht="409.5">
      <c r="A1705" s="6" t="s">
        <v>6788</v>
      </c>
      <c r="B1705" s="6" t="s">
        <v>6861</v>
      </c>
      <c r="C1705" s="6"/>
      <c r="D1705" s="6" t="s">
        <v>2225</v>
      </c>
      <c r="E1705" s="6" t="s">
        <v>2226</v>
      </c>
      <c r="F1705" s="7" t="s">
        <v>6461</v>
      </c>
      <c r="G1705" s="6" t="s">
        <v>2</v>
      </c>
      <c r="H1705" s="6"/>
      <c r="I1705" s="6"/>
      <c r="J1705" s="6"/>
      <c r="K1705" s="6"/>
      <c r="L1705" s="6" t="s">
        <v>2227</v>
      </c>
      <c r="M1705" s="6"/>
      <c r="N1705" s="6" t="s">
        <v>2228</v>
      </c>
      <c r="O1705" s="6" t="str">
        <f>HYPERLINK("https://ceds.ed.gov/cedselementdetails.aspx?termid=5479")</f>
        <v>https://ceds.ed.gov/cedselementdetails.aspx?termid=5479</v>
      </c>
      <c r="P1705" s="6" t="str">
        <f>HYPERLINK("https://ceds.ed.gov/elementComment.aspx?elementName=Disciplinary Action Taken &amp;elementID=5479", "Click here to submit comment")</f>
        <v>Click here to submit comment</v>
      </c>
    </row>
    <row r="1706" spans="1:16" ht="30">
      <c r="A1706" s="6" t="s">
        <v>6788</v>
      </c>
      <c r="B1706" s="6" t="s">
        <v>6861</v>
      </c>
      <c r="C1706" s="6"/>
      <c r="D1706" s="6" t="s">
        <v>2286</v>
      </c>
      <c r="E1706" s="6" t="s">
        <v>2287</v>
      </c>
      <c r="F1706" s="6" t="s">
        <v>13</v>
      </c>
      <c r="G1706" s="6"/>
      <c r="H1706" s="6"/>
      <c r="I1706" s="6" t="s">
        <v>1461</v>
      </c>
      <c r="J1706" s="6"/>
      <c r="K1706" s="6"/>
      <c r="L1706" s="6" t="s">
        <v>2288</v>
      </c>
      <c r="M1706" s="6"/>
      <c r="N1706" s="6" t="s">
        <v>2289</v>
      </c>
      <c r="O1706" s="6" t="str">
        <f>HYPERLINK("https://ceds.ed.gov/cedselementdetails.aspx?termid=5502")</f>
        <v>https://ceds.ed.gov/cedselementdetails.aspx?termid=5502</v>
      </c>
      <c r="P1706" s="6" t="str">
        <f>HYPERLINK("https://ceds.ed.gov/elementComment.aspx?elementName=Duration of Disciplinary Action &amp;elementID=5502", "Click here to submit comment")</f>
        <v>Click here to submit comment</v>
      </c>
    </row>
    <row r="1707" spans="1:16" ht="405">
      <c r="A1707" s="6" t="s">
        <v>6788</v>
      </c>
      <c r="B1707" s="6" t="s">
        <v>6861</v>
      </c>
      <c r="C1707" s="6"/>
      <c r="D1707" s="6" t="s">
        <v>2229</v>
      </c>
      <c r="E1707" s="6" t="s">
        <v>2230</v>
      </c>
      <c r="F1707" s="7" t="s">
        <v>6462</v>
      </c>
      <c r="G1707" s="6"/>
      <c r="H1707" s="6"/>
      <c r="I1707" s="6"/>
      <c r="J1707" s="6"/>
      <c r="K1707" s="6"/>
      <c r="L1707" s="6" t="s">
        <v>2231</v>
      </c>
      <c r="M1707" s="6"/>
      <c r="N1707" s="6" t="s">
        <v>2232</v>
      </c>
      <c r="O1707" s="6" t="str">
        <f>HYPERLINK("https://ceds.ed.gov/cedselementdetails.aspx?termid=5602")</f>
        <v>https://ceds.ed.gov/cedselementdetails.aspx?termid=5602</v>
      </c>
      <c r="P1707" s="6" t="str">
        <f>HYPERLINK("https://ceds.ed.gov/elementComment.aspx?elementName=Discipline Action Length Difference Reason &amp;elementID=5602", "Click here to submit comment")</f>
        <v>Click here to submit comment</v>
      </c>
    </row>
    <row r="1708" spans="1:16" ht="45">
      <c r="A1708" s="6" t="s">
        <v>6788</v>
      </c>
      <c r="B1708" s="6" t="s">
        <v>6861</v>
      </c>
      <c r="C1708" s="6"/>
      <c r="D1708" s="6" t="s">
        <v>2807</v>
      </c>
      <c r="E1708" s="6" t="s">
        <v>2808</v>
      </c>
      <c r="F1708" s="6" t="s">
        <v>5963</v>
      </c>
      <c r="G1708" s="6"/>
      <c r="H1708" s="6"/>
      <c r="I1708" s="6"/>
      <c r="J1708" s="6"/>
      <c r="K1708" s="6"/>
      <c r="L1708" s="6" t="s">
        <v>2809</v>
      </c>
      <c r="M1708" s="6"/>
      <c r="N1708" s="6" t="s">
        <v>2810</v>
      </c>
      <c r="O1708" s="6" t="str">
        <f>HYPERLINK("https://ceds.ed.gov/cedselementdetails.aspx?termid=5504")</f>
        <v>https://ceds.ed.gov/cedselementdetails.aspx?termid=5504</v>
      </c>
      <c r="P1708" s="6" t="str">
        <f>HYPERLINK("https://ceds.ed.gov/elementComment.aspx?elementName=Full Year Expulsion &amp;elementID=5504", "Click here to submit comment")</f>
        <v>Click here to submit comment</v>
      </c>
    </row>
    <row r="1709" spans="1:16" ht="60">
      <c r="A1709" s="6" t="s">
        <v>6788</v>
      </c>
      <c r="B1709" s="6" t="s">
        <v>6861</v>
      </c>
      <c r="C1709" s="6"/>
      <c r="D1709" s="6" t="s">
        <v>5366</v>
      </c>
      <c r="E1709" s="6" t="s">
        <v>5367</v>
      </c>
      <c r="F1709" s="6" t="s">
        <v>5963</v>
      </c>
      <c r="G1709" s="6"/>
      <c r="H1709" s="6"/>
      <c r="I1709" s="6"/>
      <c r="J1709" s="6"/>
      <c r="K1709" s="6"/>
      <c r="L1709" s="6" t="s">
        <v>5368</v>
      </c>
      <c r="M1709" s="6"/>
      <c r="N1709" s="6" t="s">
        <v>5369</v>
      </c>
      <c r="O1709" s="6" t="str">
        <f>HYPERLINK("https://ceds.ed.gov/cedselementdetails.aspx?termid=5505")</f>
        <v>https://ceds.ed.gov/cedselementdetails.aspx?termid=5505</v>
      </c>
      <c r="P1709" s="6" t="str">
        <f>HYPERLINK("https://ceds.ed.gov/elementComment.aspx?elementName=Shortened Expulsion &amp;elementID=5505", "Click here to submit comment")</f>
        <v>Click here to submit comment</v>
      </c>
    </row>
    <row r="1710" spans="1:16" ht="60">
      <c r="A1710" s="6" t="s">
        <v>6788</v>
      </c>
      <c r="B1710" s="6" t="s">
        <v>6861</v>
      </c>
      <c r="C1710" s="6"/>
      <c r="D1710" s="6" t="s">
        <v>3130</v>
      </c>
      <c r="E1710" s="6" t="s">
        <v>3131</v>
      </c>
      <c r="F1710" s="6" t="s">
        <v>6205</v>
      </c>
      <c r="G1710" s="6"/>
      <c r="H1710" s="6" t="s">
        <v>54</v>
      </c>
      <c r="I1710" s="6"/>
      <c r="J1710" s="6"/>
      <c r="K1710" s="6"/>
      <c r="L1710" s="6" t="s">
        <v>3132</v>
      </c>
      <c r="M1710" s="6"/>
      <c r="N1710" s="6" t="s">
        <v>3133</v>
      </c>
      <c r="O1710" s="6" t="str">
        <f>HYPERLINK("https://ceds.ed.gov/cedselementdetails.aspx?termid=6337")</f>
        <v>https://ceds.ed.gov/cedselementdetails.aspx?termid=6337</v>
      </c>
      <c r="P1710" s="6" t="str">
        <f>HYPERLINK("https://ceds.ed.gov/elementComment.aspx?elementName=Incident Multiple Offense Type &amp;elementID=6337", "Click here to submit comment")</f>
        <v>Click here to submit comment</v>
      </c>
    </row>
    <row r="1711" spans="1:16" ht="60">
      <c r="A1711" s="6" t="s">
        <v>6788</v>
      </c>
      <c r="B1711" s="6" t="s">
        <v>6861</v>
      </c>
      <c r="C1711" s="6"/>
      <c r="D1711" s="6" t="s">
        <v>3134</v>
      </c>
      <c r="E1711" s="6" t="s">
        <v>3135</v>
      </c>
      <c r="F1711" s="6" t="s">
        <v>13</v>
      </c>
      <c r="G1711" s="6"/>
      <c r="H1711" s="6" t="s">
        <v>54</v>
      </c>
      <c r="I1711" s="6" t="s">
        <v>100</v>
      </c>
      <c r="J1711" s="6"/>
      <c r="K1711" s="6"/>
      <c r="L1711" s="6" t="s">
        <v>3136</v>
      </c>
      <c r="M1711" s="6"/>
      <c r="N1711" s="6" t="s">
        <v>3137</v>
      </c>
      <c r="O1711" s="6" t="str">
        <f>HYPERLINK("https://ceds.ed.gov/cedselementdetails.aspx?termid=6338")</f>
        <v>https://ceds.ed.gov/cedselementdetails.aspx?termid=6338</v>
      </c>
      <c r="P1711" s="6" t="str">
        <f>HYPERLINK("https://ceds.ed.gov/elementComment.aspx?elementName=Incident Perpetrator Identifier &amp;elementID=6338", "Click here to submit comment")</f>
        <v>Click here to submit comment</v>
      </c>
    </row>
    <row r="1712" spans="1:16" ht="120">
      <c r="A1712" s="6" t="s">
        <v>6788</v>
      </c>
      <c r="B1712" s="6" t="s">
        <v>6861</v>
      </c>
      <c r="C1712" s="6"/>
      <c r="D1712" s="6" t="s">
        <v>3138</v>
      </c>
      <c r="E1712" s="6" t="s">
        <v>3139</v>
      </c>
      <c r="F1712" s="7" t="s">
        <v>6542</v>
      </c>
      <c r="G1712" s="6"/>
      <c r="H1712" s="6" t="s">
        <v>54</v>
      </c>
      <c r="I1712" s="6"/>
      <c r="J1712" s="6"/>
      <c r="K1712" s="6"/>
      <c r="L1712" s="6" t="s">
        <v>3140</v>
      </c>
      <c r="M1712" s="6"/>
      <c r="N1712" s="6" t="s">
        <v>3141</v>
      </c>
      <c r="O1712" s="6" t="str">
        <f>HYPERLINK("https://ceds.ed.gov/cedselementdetails.aspx?termid=6339")</f>
        <v>https://ceds.ed.gov/cedselementdetails.aspx?termid=6339</v>
      </c>
      <c r="P1712" s="6" t="str">
        <f>HYPERLINK("https://ceds.ed.gov/elementComment.aspx?elementName=Incident Perpetrator Injury Type &amp;elementID=6339", "Click here to submit comment")</f>
        <v>Click here to submit comment</v>
      </c>
    </row>
    <row r="1713" spans="1:16" ht="409.5">
      <c r="A1713" s="6" t="s">
        <v>6788</v>
      </c>
      <c r="B1713" s="6" t="s">
        <v>6861</v>
      </c>
      <c r="C1713" s="6"/>
      <c r="D1713" s="6" t="s">
        <v>3142</v>
      </c>
      <c r="E1713" s="6" t="s">
        <v>3143</v>
      </c>
      <c r="F1713" s="7" t="s">
        <v>6544</v>
      </c>
      <c r="G1713" s="6"/>
      <c r="H1713" s="6" t="s">
        <v>54</v>
      </c>
      <c r="I1713" s="6"/>
      <c r="J1713" s="6"/>
      <c r="K1713" s="6"/>
      <c r="L1713" s="6" t="s">
        <v>3144</v>
      </c>
      <c r="M1713" s="6"/>
      <c r="N1713" s="6" t="s">
        <v>3145</v>
      </c>
      <c r="O1713" s="6" t="str">
        <f>HYPERLINK("https://ceds.ed.gov/cedselementdetails.aspx?termid=6340")</f>
        <v>https://ceds.ed.gov/cedselementdetails.aspx?termid=6340</v>
      </c>
      <c r="P1713" s="6" t="str">
        <f>HYPERLINK("https://ceds.ed.gov/elementComment.aspx?elementName=Incident Perpetrator Type &amp;elementID=6340", "Click here to submit comment")</f>
        <v>Click here to submit comment</v>
      </c>
    </row>
    <row r="1714" spans="1:16" ht="75">
      <c r="A1714" s="6" t="s">
        <v>6788</v>
      </c>
      <c r="B1714" s="6" t="s">
        <v>6861</v>
      </c>
      <c r="C1714" s="6"/>
      <c r="D1714" s="6" t="s">
        <v>3146</v>
      </c>
      <c r="E1714" s="6" t="s">
        <v>3147</v>
      </c>
      <c r="F1714" s="6" t="s">
        <v>6206</v>
      </c>
      <c r="G1714" s="6"/>
      <c r="H1714" s="6" t="s">
        <v>54</v>
      </c>
      <c r="I1714" s="6"/>
      <c r="J1714" s="6"/>
      <c r="K1714" s="6"/>
      <c r="L1714" s="6" t="s">
        <v>3148</v>
      </c>
      <c r="M1714" s="6"/>
      <c r="N1714" s="6" t="s">
        <v>3149</v>
      </c>
      <c r="O1714" s="6" t="str">
        <f>HYPERLINK("https://ceds.ed.gov/cedselementdetails.aspx?termid=6341")</f>
        <v>https://ceds.ed.gov/cedselementdetails.aspx?termid=6341</v>
      </c>
      <c r="P1714" s="6" t="str">
        <f>HYPERLINK("https://ceds.ed.gov/elementComment.aspx?elementName=Incident Person Role Type &amp;elementID=6341", "Click here to submit comment")</f>
        <v>Click here to submit comment</v>
      </c>
    </row>
    <row r="1715" spans="1:16" ht="90">
      <c r="A1715" s="6" t="s">
        <v>6788</v>
      </c>
      <c r="B1715" s="6" t="s">
        <v>6861</v>
      </c>
      <c r="C1715" s="6"/>
      <c r="D1715" s="6" t="s">
        <v>3150</v>
      </c>
      <c r="E1715" s="6" t="s">
        <v>3151</v>
      </c>
      <c r="F1715" s="6" t="s">
        <v>13</v>
      </c>
      <c r="G1715" s="6"/>
      <c r="H1715" s="6" t="s">
        <v>54</v>
      </c>
      <c r="I1715" s="6" t="s">
        <v>745</v>
      </c>
      <c r="J1715" s="6"/>
      <c r="K1715" s="6"/>
      <c r="L1715" s="6" t="s">
        <v>3152</v>
      </c>
      <c r="M1715" s="6"/>
      <c r="N1715" s="6" t="s">
        <v>3153</v>
      </c>
      <c r="O1715" s="6" t="str">
        <f>HYPERLINK("https://ceds.ed.gov/cedselementdetails.aspx?termid=6342")</f>
        <v>https://ceds.ed.gov/cedselementdetails.aspx?termid=6342</v>
      </c>
      <c r="P1715" s="6" t="str">
        <f>HYPERLINK("https://ceds.ed.gov/elementComment.aspx?elementName=Incident Regulation Violated Description &amp;elementID=6342", "Click here to submit comment")</f>
        <v>Click here to submit comment</v>
      </c>
    </row>
    <row r="1716" spans="1:16" ht="90">
      <c r="A1716" s="6" t="s">
        <v>6788</v>
      </c>
      <c r="B1716" s="6" t="s">
        <v>6861</v>
      </c>
      <c r="C1716" s="6"/>
      <c r="D1716" s="6" t="s">
        <v>3154</v>
      </c>
      <c r="E1716" s="6" t="s">
        <v>3155</v>
      </c>
      <c r="F1716" s="6" t="s">
        <v>5963</v>
      </c>
      <c r="G1716" s="6"/>
      <c r="H1716" s="6" t="s">
        <v>54</v>
      </c>
      <c r="I1716" s="6"/>
      <c r="J1716" s="6"/>
      <c r="K1716" s="6" t="s">
        <v>3156</v>
      </c>
      <c r="L1716" s="6" t="s">
        <v>3157</v>
      </c>
      <c r="M1716" s="6"/>
      <c r="N1716" s="6" t="s">
        <v>3158</v>
      </c>
      <c r="O1716" s="6" t="str">
        <f>HYPERLINK("https://ceds.ed.gov/cedselementdetails.aspx?termid=6343")</f>
        <v>https://ceds.ed.gov/cedselementdetails.aspx?termid=6343</v>
      </c>
      <c r="P1716" s="6" t="str">
        <f>HYPERLINK("https://ceds.ed.gov/elementComment.aspx?elementName=Incident Related to Disability Manifestation &amp;elementID=6343", "Click here to submit comment")</f>
        <v>Click here to submit comment</v>
      </c>
    </row>
    <row r="1717" spans="1:16" ht="75">
      <c r="A1717" s="6" t="s">
        <v>6788</v>
      </c>
      <c r="B1717" s="6" t="s">
        <v>6861</v>
      </c>
      <c r="C1717" s="6"/>
      <c r="D1717" s="6" t="s">
        <v>3159</v>
      </c>
      <c r="E1717" s="6" t="s">
        <v>3160</v>
      </c>
      <c r="F1717" s="6" t="s">
        <v>5963</v>
      </c>
      <c r="G1717" s="6"/>
      <c r="H1717" s="6" t="s">
        <v>54</v>
      </c>
      <c r="I1717" s="6"/>
      <c r="J1717" s="6"/>
      <c r="K1717" s="6"/>
      <c r="L1717" s="6" t="s">
        <v>3161</v>
      </c>
      <c r="M1717" s="6"/>
      <c r="N1717" s="6" t="s">
        <v>3162</v>
      </c>
      <c r="O1717" s="6" t="str">
        <f>HYPERLINK("https://ceds.ed.gov/cedselementdetails.aspx?termid=6345")</f>
        <v>https://ceds.ed.gov/cedselementdetails.aspx?termid=6345</v>
      </c>
      <c r="P1717" s="6" t="str">
        <f>HYPERLINK("https://ceds.ed.gov/elementComment.aspx?elementName=Incident Reported to Law Enforcement Indicator &amp;elementID=6345", "Click here to submit comment")</f>
        <v>Click here to submit comment</v>
      </c>
    </row>
    <row r="1718" spans="1:16" ht="60">
      <c r="A1718" s="6" t="s">
        <v>6788</v>
      </c>
      <c r="B1718" s="6" t="s">
        <v>6861</v>
      </c>
      <c r="C1718" s="6"/>
      <c r="D1718" s="6" t="s">
        <v>3175</v>
      </c>
      <c r="E1718" s="6" t="s">
        <v>3176</v>
      </c>
      <c r="F1718" s="6" t="s">
        <v>13</v>
      </c>
      <c r="G1718" s="6"/>
      <c r="H1718" s="6" t="s">
        <v>54</v>
      </c>
      <c r="I1718" s="6" t="s">
        <v>100</v>
      </c>
      <c r="J1718" s="6"/>
      <c r="K1718" s="6"/>
      <c r="L1718" s="6" t="s">
        <v>3177</v>
      </c>
      <c r="M1718" s="6"/>
      <c r="N1718" s="6" t="s">
        <v>3178</v>
      </c>
      <c r="O1718" s="6" t="str">
        <f>HYPERLINK("https://ceds.ed.gov/cedselementdetails.aspx?termid=6346")</f>
        <v>https://ceds.ed.gov/cedselementdetails.aspx?termid=6346</v>
      </c>
      <c r="P1718" s="6" t="str">
        <f>HYPERLINK("https://ceds.ed.gov/elementComment.aspx?elementName=Incident Victim Identifier &amp;elementID=6346", "Click here to submit comment")</f>
        <v>Click here to submit comment</v>
      </c>
    </row>
    <row r="1719" spans="1:16" ht="409.5">
      <c r="A1719" s="6" t="s">
        <v>6788</v>
      </c>
      <c r="B1719" s="6" t="s">
        <v>6861</v>
      </c>
      <c r="C1719" s="6"/>
      <c r="D1719" s="6" t="s">
        <v>3179</v>
      </c>
      <c r="E1719" s="6" t="s">
        <v>3180</v>
      </c>
      <c r="F1719" s="7" t="s">
        <v>6544</v>
      </c>
      <c r="G1719" s="6"/>
      <c r="H1719" s="6" t="s">
        <v>54</v>
      </c>
      <c r="I1719" s="6"/>
      <c r="J1719" s="6"/>
      <c r="K1719" s="6"/>
      <c r="L1719" s="6" t="s">
        <v>3181</v>
      </c>
      <c r="M1719" s="6"/>
      <c r="N1719" s="6" t="s">
        <v>3182</v>
      </c>
      <c r="O1719" s="6" t="str">
        <f>HYPERLINK("https://ceds.ed.gov/cedselementdetails.aspx?termid=6347")</f>
        <v>https://ceds.ed.gov/cedselementdetails.aspx?termid=6347</v>
      </c>
      <c r="P1719" s="6" t="str">
        <f>HYPERLINK("https://ceds.ed.gov/elementComment.aspx?elementName=Incident Victim Type &amp;elementID=6347", "Click here to submit comment")</f>
        <v>Click here to submit comment</v>
      </c>
    </row>
    <row r="1720" spans="1:16" ht="120">
      <c r="A1720" s="6" t="s">
        <v>6788</v>
      </c>
      <c r="B1720" s="6" t="s">
        <v>6861</v>
      </c>
      <c r="C1720" s="6"/>
      <c r="D1720" s="6" t="s">
        <v>3183</v>
      </c>
      <c r="E1720" s="6" t="s">
        <v>3184</v>
      </c>
      <c r="F1720" s="6" t="s">
        <v>13</v>
      </c>
      <c r="G1720" s="6"/>
      <c r="H1720" s="6" t="s">
        <v>54</v>
      </c>
      <c r="I1720" s="6" t="s">
        <v>100</v>
      </c>
      <c r="J1720" s="6"/>
      <c r="K1720" s="6"/>
      <c r="L1720" s="6" t="s">
        <v>3185</v>
      </c>
      <c r="M1720" s="6"/>
      <c r="N1720" s="6" t="s">
        <v>3186</v>
      </c>
      <c r="O1720" s="6" t="str">
        <f>HYPERLINK("https://ceds.ed.gov/cedselementdetails.aspx?termid=6348")</f>
        <v>https://ceds.ed.gov/cedselementdetails.aspx?termid=6348</v>
      </c>
      <c r="P1720" s="6" t="str">
        <f>HYPERLINK("https://ceds.ed.gov/elementComment.aspx?elementName=Incident Witness Identifier &amp;elementID=6348", "Click here to submit comment")</f>
        <v>Click here to submit comment</v>
      </c>
    </row>
    <row r="1721" spans="1:16" ht="409.5">
      <c r="A1721" s="6" t="s">
        <v>6788</v>
      </c>
      <c r="B1721" s="6" t="s">
        <v>6861</v>
      </c>
      <c r="C1721" s="6"/>
      <c r="D1721" s="6" t="s">
        <v>3187</v>
      </c>
      <c r="E1721" s="6" t="s">
        <v>3188</v>
      </c>
      <c r="F1721" s="7" t="s">
        <v>6544</v>
      </c>
      <c r="G1721" s="6"/>
      <c r="H1721" s="6" t="s">
        <v>54</v>
      </c>
      <c r="I1721" s="6"/>
      <c r="J1721" s="6"/>
      <c r="K1721" s="6"/>
      <c r="L1721" s="6" t="s">
        <v>3189</v>
      </c>
      <c r="M1721" s="6"/>
      <c r="N1721" s="6" t="s">
        <v>3190</v>
      </c>
      <c r="O1721" s="6" t="str">
        <f>HYPERLINK("https://ceds.ed.gov/cedselementdetails.aspx?termid=6349")</f>
        <v>https://ceds.ed.gov/cedselementdetails.aspx?termid=6349</v>
      </c>
      <c r="P1721" s="6" t="str">
        <f>HYPERLINK("https://ceds.ed.gov/elementComment.aspx?elementName=Incident Witness Type &amp;elementID=6349", "Click here to submit comment")</f>
        <v>Click here to submit comment</v>
      </c>
    </row>
    <row r="1722" spans="1:16" ht="45">
      <c r="A1722" s="6" t="s">
        <v>6788</v>
      </c>
      <c r="B1722" s="6" t="s">
        <v>6862</v>
      </c>
      <c r="C1722" s="6" t="s">
        <v>6863</v>
      </c>
      <c r="D1722" s="6" t="s">
        <v>5263</v>
      </c>
      <c r="E1722" s="6" t="s">
        <v>5264</v>
      </c>
      <c r="F1722" s="6" t="s">
        <v>13</v>
      </c>
      <c r="G1722" s="6" t="s">
        <v>1780</v>
      </c>
      <c r="H1722" s="6"/>
      <c r="I1722" s="6" t="s">
        <v>1736</v>
      </c>
      <c r="J1722" s="6"/>
      <c r="K1722" s="6" t="s">
        <v>5265</v>
      </c>
      <c r="L1722" s="6" t="s">
        <v>5266</v>
      </c>
      <c r="M1722" s="6"/>
      <c r="N1722" s="6" t="s">
        <v>5267</v>
      </c>
      <c r="O1722" s="6" t="str">
        <f>HYPERLINK("https://ceds.ed.gov/cedselementdetails.aspx?termid=5243")</f>
        <v>https://ceds.ed.gov/cedselementdetails.aspx?termid=5243</v>
      </c>
      <c r="P1722" s="6" t="str">
        <f>HYPERLINK("https://ceds.ed.gov/elementComment.aspx?elementName=School Year &amp;elementID=5243", "Click here to submit comment")</f>
        <v>Click here to submit comment</v>
      </c>
    </row>
    <row r="1723" spans="1:16" ht="30">
      <c r="A1723" s="6" t="s">
        <v>6788</v>
      </c>
      <c r="B1723" s="6" t="s">
        <v>6862</v>
      </c>
      <c r="C1723" s="6" t="s">
        <v>6863</v>
      </c>
      <c r="D1723" s="6" t="s">
        <v>1512</v>
      </c>
      <c r="E1723" s="6" t="s">
        <v>1513</v>
      </c>
      <c r="F1723" s="6" t="s">
        <v>13</v>
      </c>
      <c r="G1723" s="6"/>
      <c r="H1723" s="6"/>
      <c r="I1723" s="6" t="s">
        <v>100</v>
      </c>
      <c r="J1723" s="6"/>
      <c r="K1723" s="6"/>
      <c r="L1723" s="6" t="s">
        <v>1514</v>
      </c>
      <c r="M1723" s="6"/>
      <c r="N1723" s="6" t="s">
        <v>1515</v>
      </c>
      <c r="O1723" s="6" t="str">
        <f>HYPERLINK("https://ceds.ed.gov/cedselementdetails.aspx?termid=5485")</f>
        <v>https://ceds.ed.gov/cedselementdetails.aspx?termid=5485</v>
      </c>
      <c r="P1723" s="6" t="str">
        <f>HYPERLINK("https://ceds.ed.gov/elementComment.aspx?elementName=Calendar Code &amp;elementID=5485", "Click here to submit comment")</f>
        <v>Click here to submit comment</v>
      </c>
    </row>
    <row r="1724" spans="1:16" ht="30">
      <c r="A1724" s="6" t="s">
        <v>6788</v>
      </c>
      <c r="B1724" s="6" t="s">
        <v>6862</v>
      </c>
      <c r="C1724" s="6" t="s">
        <v>6863</v>
      </c>
      <c r="D1724" s="6" t="s">
        <v>1516</v>
      </c>
      <c r="E1724" s="6" t="s">
        <v>1517</v>
      </c>
      <c r="F1724" s="6" t="s">
        <v>13</v>
      </c>
      <c r="G1724" s="6"/>
      <c r="H1724" s="6"/>
      <c r="I1724" s="6" t="s">
        <v>106</v>
      </c>
      <c r="J1724" s="6"/>
      <c r="K1724" s="6"/>
      <c r="L1724" s="6" t="s">
        <v>1518</v>
      </c>
      <c r="M1724" s="6"/>
      <c r="N1724" s="6" t="s">
        <v>1519</v>
      </c>
      <c r="O1724" s="6" t="str">
        <f>HYPERLINK("https://ceds.ed.gov/cedselementdetails.aspx?termid=5486")</f>
        <v>https://ceds.ed.gov/cedselementdetails.aspx?termid=5486</v>
      </c>
      <c r="P1724" s="6" t="str">
        <f>HYPERLINK("https://ceds.ed.gov/elementComment.aspx?elementName=Calendar Description &amp;elementID=5486", "Click here to submit comment")</f>
        <v>Click here to submit comment</v>
      </c>
    </row>
    <row r="1725" spans="1:16" ht="45">
      <c r="A1725" s="6" t="s">
        <v>6788</v>
      </c>
      <c r="B1725" s="6" t="s">
        <v>6862</v>
      </c>
      <c r="C1725" s="6" t="s">
        <v>6863</v>
      </c>
      <c r="D1725" s="6" t="s">
        <v>336</v>
      </c>
      <c r="E1725" s="6" t="s">
        <v>337</v>
      </c>
      <c r="F1725" s="6" t="s">
        <v>13</v>
      </c>
      <c r="G1725" s="6"/>
      <c r="H1725" s="6"/>
      <c r="I1725" s="6" t="s">
        <v>100</v>
      </c>
      <c r="J1725" s="6"/>
      <c r="K1725" s="6"/>
      <c r="L1725" s="6" t="s">
        <v>339</v>
      </c>
      <c r="M1725" s="6"/>
      <c r="N1725" s="6" t="s">
        <v>340</v>
      </c>
      <c r="O1725" s="6" t="str">
        <f>HYPERLINK("https://ceds.ed.gov/cedselementdetails.aspx?termid=5591")</f>
        <v>https://ceds.ed.gov/cedselementdetails.aspx?termid=5591</v>
      </c>
      <c r="P1725" s="6" t="str">
        <f>HYPERLINK("https://ceds.ed.gov/elementComment.aspx?elementName=Alternate Day Name &amp;elementID=5591", "Click here to submit comment")</f>
        <v>Click here to submit comment</v>
      </c>
    </row>
    <row r="1726" spans="1:16" ht="60">
      <c r="A1726" s="6" t="s">
        <v>6788</v>
      </c>
      <c r="B1726" s="6" t="s">
        <v>6862</v>
      </c>
      <c r="C1726" s="6" t="s">
        <v>6863</v>
      </c>
      <c r="D1726" s="6" t="s">
        <v>5317</v>
      </c>
      <c r="E1726" s="6" t="s">
        <v>5318</v>
      </c>
      <c r="F1726" s="6" t="s">
        <v>13</v>
      </c>
      <c r="G1726" s="6"/>
      <c r="H1726" s="6"/>
      <c r="I1726" s="6" t="s">
        <v>100</v>
      </c>
      <c r="J1726" s="6"/>
      <c r="K1726" s="6"/>
      <c r="L1726" s="6" t="s">
        <v>5319</v>
      </c>
      <c r="M1726" s="6"/>
      <c r="N1726" s="6" t="s">
        <v>5320</v>
      </c>
      <c r="O1726" s="6" t="str">
        <f>HYPERLINK("https://ceds.ed.gov/cedselementdetails.aspx?termid=6236")</f>
        <v>https://ceds.ed.gov/cedselementdetails.aspx?termid=6236</v>
      </c>
      <c r="P1726" s="6" t="str">
        <f>HYPERLINK("https://ceds.ed.gov/elementComment.aspx?elementName=Session Code &amp;elementID=6236", "Click here to submit comment")</f>
        <v>Click here to submit comment</v>
      </c>
    </row>
    <row r="1727" spans="1:16" ht="30">
      <c r="A1727" s="6" t="s">
        <v>6788</v>
      </c>
      <c r="B1727" s="6" t="s">
        <v>6862</v>
      </c>
      <c r="C1727" s="6" t="s">
        <v>6863</v>
      </c>
      <c r="D1727" s="6" t="s">
        <v>5321</v>
      </c>
      <c r="E1727" s="6" t="s">
        <v>5322</v>
      </c>
      <c r="F1727" s="6" t="s">
        <v>13</v>
      </c>
      <c r="G1727" s="6"/>
      <c r="H1727" s="6"/>
      <c r="I1727" s="6" t="s">
        <v>319</v>
      </c>
      <c r="J1727" s="6"/>
      <c r="K1727" s="6"/>
      <c r="L1727" s="6" t="s">
        <v>5323</v>
      </c>
      <c r="M1727" s="6"/>
      <c r="N1727" s="6" t="s">
        <v>5324</v>
      </c>
      <c r="O1727" s="6" t="str">
        <f>HYPERLINK("https://ceds.ed.gov/cedselementdetails.aspx?termid=6237")</f>
        <v>https://ceds.ed.gov/cedselementdetails.aspx?termid=6237</v>
      </c>
      <c r="P1727" s="6" t="str">
        <f>HYPERLINK("https://ceds.ed.gov/elementComment.aspx?elementName=Session Description &amp;elementID=6237", "Click here to submit comment")</f>
        <v>Click here to submit comment</v>
      </c>
    </row>
    <row r="1728" spans="1:16" ht="45">
      <c r="A1728" s="6" t="s">
        <v>6788</v>
      </c>
      <c r="B1728" s="6" t="s">
        <v>6862</v>
      </c>
      <c r="C1728" s="6" t="s">
        <v>6863</v>
      </c>
      <c r="D1728" s="6" t="s">
        <v>5337</v>
      </c>
      <c r="E1728" s="6" t="s">
        <v>5338</v>
      </c>
      <c r="F1728" s="6" t="s">
        <v>5963</v>
      </c>
      <c r="G1728" s="6"/>
      <c r="H1728" s="6"/>
      <c r="I1728" s="6"/>
      <c r="J1728" s="6"/>
      <c r="K1728" s="6"/>
      <c r="L1728" s="6" t="s">
        <v>5339</v>
      </c>
      <c r="M1728" s="6"/>
      <c r="N1728" s="6" t="s">
        <v>5340</v>
      </c>
      <c r="O1728" s="6" t="str">
        <f>HYPERLINK("https://ceds.ed.gov/cedselementdetails.aspx?termid=6238")</f>
        <v>https://ceds.ed.gov/cedselementdetails.aspx?termid=6238</v>
      </c>
      <c r="P1728" s="6" t="str">
        <f>HYPERLINK("https://ceds.ed.gov/elementComment.aspx?elementName=Session Marking Term Indicator &amp;elementID=6238", "Click here to submit comment")</f>
        <v>Click here to submit comment</v>
      </c>
    </row>
    <row r="1729" spans="1:16" ht="45">
      <c r="A1729" s="6" t="s">
        <v>6788</v>
      </c>
      <c r="B1729" s="6" t="s">
        <v>6862</v>
      </c>
      <c r="C1729" s="6" t="s">
        <v>6863</v>
      </c>
      <c r="D1729" s="6" t="s">
        <v>5341</v>
      </c>
      <c r="E1729" s="6" t="s">
        <v>5342</v>
      </c>
      <c r="F1729" s="6" t="s">
        <v>5963</v>
      </c>
      <c r="G1729" s="6"/>
      <c r="H1729" s="6"/>
      <c r="I1729" s="6"/>
      <c r="J1729" s="6"/>
      <c r="K1729" s="6"/>
      <c r="L1729" s="6" t="s">
        <v>5343</v>
      </c>
      <c r="M1729" s="6"/>
      <c r="N1729" s="6" t="s">
        <v>5344</v>
      </c>
      <c r="O1729" s="6" t="str">
        <f>HYPERLINK("https://ceds.ed.gov/cedselementdetails.aspx?termid=6239")</f>
        <v>https://ceds.ed.gov/cedselementdetails.aspx?termid=6239</v>
      </c>
      <c r="P1729" s="6" t="str">
        <f>HYPERLINK("https://ceds.ed.gov/elementComment.aspx?elementName=Session Scheduling Term Indicator &amp;elementID=6239", "Click here to submit comment")</f>
        <v>Click here to submit comment</v>
      </c>
    </row>
    <row r="1730" spans="1:16" ht="45">
      <c r="A1730" s="6" t="s">
        <v>6788</v>
      </c>
      <c r="B1730" s="6" t="s">
        <v>6862</v>
      </c>
      <c r="C1730" s="6" t="s">
        <v>6863</v>
      </c>
      <c r="D1730" s="6" t="s">
        <v>5341</v>
      </c>
      <c r="E1730" s="6" t="s">
        <v>5342</v>
      </c>
      <c r="F1730" s="6" t="s">
        <v>5963</v>
      </c>
      <c r="G1730" s="6"/>
      <c r="H1730" s="6"/>
      <c r="I1730" s="6"/>
      <c r="J1730" s="6"/>
      <c r="K1730" s="6"/>
      <c r="L1730" s="6" t="s">
        <v>5343</v>
      </c>
      <c r="M1730" s="6"/>
      <c r="N1730" s="6" t="s">
        <v>5344</v>
      </c>
      <c r="O1730" s="6" t="str">
        <f>HYPERLINK("https://ceds.ed.gov/cedselementdetails.aspx?termid=6239")</f>
        <v>https://ceds.ed.gov/cedselementdetails.aspx?termid=6239</v>
      </c>
      <c r="P1730" s="6" t="str">
        <f>HYPERLINK("https://ceds.ed.gov/elementComment.aspx?elementName=Session Scheduling Term Indicator &amp;elementID=6239", "Click here to submit comment")</f>
        <v>Click here to submit comment</v>
      </c>
    </row>
    <row r="1731" spans="1:16" ht="195">
      <c r="A1731" s="6" t="s">
        <v>6788</v>
      </c>
      <c r="B1731" s="6" t="s">
        <v>6862</v>
      </c>
      <c r="C1731" s="6" t="s">
        <v>6864</v>
      </c>
      <c r="D1731" s="6" t="s">
        <v>2070</v>
      </c>
      <c r="E1731" s="6" t="s">
        <v>2071</v>
      </c>
      <c r="F1731" s="6" t="s">
        <v>13</v>
      </c>
      <c r="G1731" s="6"/>
      <c r="H1731" s="6"/>
      <c r="I1731" s="6" t="s">
        <v>100</v>
      </c>
      <c r="J1731" s="6"/>
      <c r="K1731" s="6"/>
      <c r="L1731" s="6" t="s">
        <v>2073</v>
      </c>
      <c r="M1731" s="6"/>
      <c r="N1731" s="6" t="s">
        <v>2074</v>
      </c>
      <c r="O1731" s="6" t="str">
        <f>HYPERLINK("https://ceds.ed.gov/cedselementdetails.aspx?termid=5604")</f>
        <v>https://ceds.ed.gov/cedselementdetails.aspx?termid=5604</v>
      </c>
      <c r="P1731" s="6" t="str">
        <f>HYPERLINK("https://ceds.ed.gov/elementComment.aspx?elementName=Crisis Code &amp;elementID=5604", "Click here to submit comment")</f>
        <v>Click here to submit comment</v>
      </c>
    </row>
    <row r="1732" spans="1:16" ht="30">
      <c r="A1732" s="6" t="s">
        <v>6788</v>
      </c>
      <c r="B1732" s="6" t="s">
        <v>6862</v>
      </c>
      <c r="C1732" s="6" t="s">
        <v>6864</v>
      </c>
      <c r="D1732" s="6" t="s">
        <v>2075</v>
      </c>
      <c r="E1732" s="6" t="s">
        <v>2076</v>
      </c>
      <c r="F1732" s="6" t="s">
        <v>13</v>
      </c>
      <c r="G1732" s="6"/>
      <c r="H1732" s="6"/>
      <c r="I1732" s="6" t="s">
        <v>1249</v>
      </c>
      <c r="J1732" s="6"/>
      <c r="K1732" s="6"/>
      <c r="L1732" s="6" t="s">
        <v>2077</v>
      </c>
      <c r="M1732" s="6"/>
      <c r="N1732" s="6" t="s">
        <v>2078</v>
      </c>
      <c r="O1732" s="6" t="str">
        <f>HYPERLINK("https://ceds.ed.gov/cedselementdetails.aspx?termid=5605")</f>
        <v>https://ceds.ed.gov/cedselementdetails.aspx?termid=5605</v>
      </c>
      <c r="P1732" s="6" t="str">
        <f>HYPERLINK("https://ceds.ed.gov/elementComment.aspx?elementName=Crisis Name &amp;elementID=5605", "Click here to submit comment")</f>
        <v>Click here to submit comment</v>
      </c>
    </row>
    <row r="1733" spans="1:16" ht="45">
      <c r="A1733" s="6" t="s">
        <v>6788</v>
      </c>
      <c r="B1733" s="6" t="s">
        <v>6862</v>
      </c>
      <c r="C1733" s="6" t="s">
        <v>6864</v>
      </c>
      <c r="D1733" s="6" t="s">
        <v>2083</v>
      </c>
      <c r="E1733" s="6" t="s">
        <v>2084</v>
      </c>
      <c r="F1733" s="6" t="s">
        <v>13</v>
      </c>
      <c r="G1733" s="6"/>
      <c r="H1733" s="6"/>
      <c r="I1733" s="6" t="s">
        <v>1249</v>
      </c>
      <c r="J1733" s="6"/>
      <c r="K1733" s="6"/>
      <c r="L1733" s="6" t="s">
        <v>2085</v>
      </c>
      <c r="M1733" s="6"/>
      <c r="N1733" s="6" t="s">
        <v>2086</v>
      </c>
      <c r="O1733" s="6" t="str">
        <f>HYPERLINK("https://ceds.ed.gov/cedselementdetails.aspx?termid=5606")</f>
        <v>https://ceds.ed.gov/cedselementdetails.aspx?termid=5606</v>
      </c>
      <c r="P1733" s="6" t="str">
        <f>HYPERLINK("https://ceds.ed.gov/elementComment.aspx?elementName=Crisis Type &amp;elementID=5606", "Click here to submit comment")</f>
        <v>Click here to submit comment</v>
      </c>
    </row>
    <row r="1734" spans="1:16" ht="75">
      <c r="A1734" s="6" t="s">
        <v>6788</v>
      </c>
      <c r="B1734" s="6" t="s">
        <v>6862</v>
      </c>
      <c r="C1734" s="6" t="s">
        <v>6864</v>
      </c>
      <c r="D1734" s="6" t="s">
        <v>2079</v>
      </c>
      <c r="E1734" s="6" t="s">
        <v>2080</v>
      </c>
      <c r="F1734" s="6" t="s">
        <v>13</v>
      </c>
      <c r="G1734" s="6"/>
      <c r="H1734" s="6"/>
      <c r="I1734" s="6" t="s">
        <v>73</v>
      </c>
      <c r="J1734" s="6"/>
      <c r="K1734" s="6"/>
      <c r="L1734" s="6" t="s">
        <v>2081</v>
      </c>
      <c r="M1734" s="6"/>
      <c r="N1734" s="6" t="s">
        <v>2082</v>
      </c>
      <c r="O1734" s="6" t="str">
        <f>HYPERLINK("https://ceds.ed.gov/cedselementdetails.aspx?termid=5607")</f>
        <v>https://ceds.ed.gov/cedselementdetails.aspx?termid=5607</v>
      </c>
      <c r="P1734" s="6" t="str">
        <f>HYPERLINK("https://ceds.ed.gov/elementComment.aspx?elementName=Crisis Start Date &amp;elementID=5607", "Click here to submit comment")</f>
        <v>Click here to submit comment</v>
      </c>
    </row>
    <row r="1735" spans="1:16" ht="165">
      <c r="A1735" s="6" t="s">
        <v>6788</v>
      </c>
      <c r="B1735" s="6" t="s">
        <v>6862</v>
      </c>
      <c r="C1735" s="6" t="s">
        <v>6865</v>
      </c>
      <c r="D1735" s="6" t="s">
        <v>1530</v>
      </c>
      <c r="E1735" s="6" t="s">
        <v>1531</v>
      </c>
      <c r="F1735" s="7" t="s">
        <v>6412</v>
      </c>
      <c r="G1735" s="6"/>
      <c r="H1735" s="6"/>
      <c r="I1735" s="6"/>
      <c r="J1735" s="6"/>
      <c r="K1735" s="6"/>
      <c r="L1735" s="6" t="s">
        <v>1532</v>
      </c>
      <c r="M1735" s="6"/>
      <c r="N1735" s="6" t="s">
        <v>1533</v>
      </c>
      <c r="O1735" s="6" t="str">
        <f>HYPERLINK("https://ceds.ed.gov/cedselementdetails.aspx?termid=5596")</f>
        <v>https://ceds.ed.gov/cedselementdetails.aspx?termid=5596</v>
      </c>
      <c r="P1735" s="6" t="str">
        <f>HYPERLINK("https://ceds.ed.gov/elementComment.aspx?elementName=Calendar Event Type &amp;elementID=5596", "Click here to submit comment")</f>
        <v>Click here to submit comment</v>
      </c>
    </row>
    <row r="1736" spans="1:16" ht="60">
      <c r="A1736" s="6" t="s">
        <v>6788</v>
      </c>
      <c r="B1736" s="6" t="s">
        <v>6862</v>
      </c>
      <c r="C1736" s="6" t="s">
        <v>6865</v>
      </c>
      <c r="D1736" s="6" t="s">
        <v>1520</v>
      </c>
      <c r="E1736" s="6" t="s">
        <v>1521</v>
      </c>
      <c r="F1736" s="6" t="s">
        <v>13</v>
      </c>
      <c r="G1736" s="6"/>
      <c r="H1736" s="6" t="s">
        <v>66</v>
      </c>
      <c r="I1736" s="6" t="s">
        <v>73</v>
      </c>
      <c r="J1736" s="6" t="s">
        <v>1522</v>
      </c>
      <c r="K1736" s="6"/>
      <c r="L1736" s="6" t="s">
        <v>1523</v>
      </c>
      <c r="M1736" s="6"/>
      <c r="N1736" s="6" t="s">
        <v>1524</v>
      </c>
      <c r="O1736" s="6" t="str">
        <f>HYPERLINK("https://ceds.ed.gov/cedselementdetails.aspx?termid=6241")</f>
        <v>https://ceds.ed.gov/cedselementdetails.aspx?termid=6241</v>
      </c>
      <c r="P1736" s="6" t="str">
        <f>HYPERLINK("https://ceds.ed.gov/elementComment.aspx?elementName=Calendar Event Date &amp;elementID=6241", "Click here to submit comment")</f>
        <v>Click here to submit comment</v>
      </c>
    </row>
    <row r="1737" spans="1:16" ht="30">
      <c r="A1737" s="6" t="s">
        <v>6788</v>
      </c>
      <c r="B1737" s="6" t="s">
        <v>6862</v>
      </c>
      <c r="C1737" s="6" t="s">
        <v>6865</v>
      </c>
      <c r="D1737" s="6" t="s">
        <v>1525</v>
      </c>
      <c r="E1737" s="6" t="s">
        <v>1526</v>
      </c>
      <c r="F1737" s="6" t="s">
        <v>13</v>
      </c>
      <c r="G1737" s="6"/>
      <c r="H1737" s="6"/>
      <c r="I1737" s="6" t="s">
        <v>100</v>
      </c>
      <c r="J1737" s="6"/>
      <c r="K1737" s="6"/>
      <c r="L1737" s="6" t="s">
        <v>1528</v>
      </c>
      <c r="M1737" s="6"/>
      <c r="N1737" s="6" t="s">
        <v>1529</v>
      </c>
      <c r="O1737" s="6" t="str">
        <f>HYPERLINK("https://ceds.ed.gov/cedselementdetails.aspx?termid=6242")</f>
        <v>https://ceds.ed.gov/cedselementdetails.aspx?termid=6242</v>
      </c>
      <c r="P1737" s="6" t="str">
        <f>HYPERLINK("https://ceds.ed.gov/elementComment.aspx?elementName=Calendar Event Day Name &amp;elementID=6242", "Click here to submit comment")</f>
        <v>Click here to submit comment</v>
      </c>
    </row>
    <row r="1738" spans="1:16" ht="180">
      <c r="A1738" s="6" t="s">
        <v>6788</v>
      </c>
      <c r="B1738" s="6" t="s">
        <v>6866</v>
      </c>
      <c r="C1738" s="6"/>
      <c r="D1738" s="6" t="s">
        <v>3540</v>
      </c>
      <c r="E1738" s="6" t="s">
        <v>3541</v>
      </c>
      <c r="F1738" s="6" t="s">
        <v>6225</v>
      </c>
      <c r="G1738" s="6"/>
      <c r="H1738" s="6" t="s">
        <v>54</v>
      </c>
      <c r="I1738" s="6"/>
      <c r="J1738" s="6"/>
      <c r="K1738" s="6" t="s">
        <v>3542</v>
      </c>
      <c r="L1738" s="6" t="s">
        <v>3543</v>
      </c>
      <c r="M1738" s="6"/>
      <c r="N1738" s="6" t="s">
        <v>3544</v>
      </c>
      <c r="O1738" s="6" t="str">
        <f>HYPERLINK("https://ceds.ed.gov/cedselementdetails.aspx?termid=6358")</f>
        <v>https://ceds.ed.gov/cedselementdetails.aspx?termid=6358</v>
      </c>
      <c r="P1738" s="6" t="str">
        <f>HYPERLINK("https://ceds.ed.gov/elementComment.aspx?elementName=Learning Resource Access API Type &amp;elementID=6358", "Click here to submit comment")</f>
        <v>Click here to submit comment</v>
      </c>
    </row>
    <row r="1739" spans="1:16" ht="60">
      <c r="A1739" s="6" t="s">
        <v>6788</v>
      </c>
      <c r="B1739" s="6" t="s">
        <v>6866</v>
      </c>
      <c r="C1739" s="6"/>
      <c r="D1739" s="6" t="s">
        <v>3545</v>
      </c>
      <c r="E1739" s="6" t="s">
        <v>3546</v>
      </c>
      <c r="F1739" s="6" t="s">
        <v>6227</v>
      </c>
      <c r="G1739" s="6"/>
      <c r="H1739" s="6" t="s">
        <v>54</v>
      </c>
      <c r="I1739" s="6"/>
      <c r="J1739" s="6"/>
      <c r="K1739" s="6"/>
      <c r="L1739" s="6" t="s">
        <v>3547</v>
      </c>
      <c r="M1739" s="6"/>
      <c r="N1739" s="6" t="s">
        <v>3548</v>
      </c>
      <c r="O1739" s="6" t="str">
        <f>HYPERLINK("https://ceds.ed.gov/cedselementdetails.aspx?termid=6359")</f>
        <v>https://ceds.ed.gov/cedselementdetails.aspx?termid=6359</v>
      </c>
      <c r="P1739" s="6" t="str">
        <f>HYPERLINK("https://ceds.ed.gov/elementComment.aspx?elementName=Learning Resource Access Hazard Type &amp;elementID=6359", "Click here to submit comment")</f>
        <v>Click here to submit comment</v>
      </c>
    </row>
    <row r="1740" spans="1:16" ht="105">
      <c r="A1740" s="6" t="s">
        <v>6788</v>
      </c>
      <c r="B1740" s="6" t="s">
        <v>6866</v>
      </c>
      <c r="C1740" s="6"/>
      <c r="D1740" s="6" t="s">
        <v>3549</v>
      </c>
      <c r="E1740" s="6" t="s">
        <v>3550</v>
      </c>
      <c r="F1740" s="6" t="s">
        <v>6228</v>
      </c>
      <c r="G1740" s="6"/>
      <c r="H1740" s="6" t="s">
        <v>54</v>
      </c>
      <c r="I1740" s="6"/>
      <c r="J1740" s="6"/>
      <c r="K1740" s="6" t="s">
        <v>3551</v>
      </c>
      <c r="L1740" s="6" t="s">
        <v>3552</v>
      </c>
      <c r="M1740" s="6"/>
      <c r="N1740" s="6" t="s">
        <v>3553</v>
      </c>
      <c r="O1740" s="6" t="str">
        <f>HYPERLINK("https://ceds.ed.gov/cedselementdetails.aspx?termid=6360")</f>
        <v>https://ceds.ed.gov/cedselementdetails.aspx?termid=6360</v>
      </c>
      <c r="P1740" s="6" t="str">
        <f>HYPERLINK("https://ceds.ed.gov/elementComment.aspx?elementName=Learning Resource Access Mode Type &amp;elementID=6360", "Click here to submit comment")</f>
        <v>Click here to submit comment</v>
      </c>
    </row>
    <row r="1741" spans="1:16" ht="45">
      <c r="A1741" s="6" t="s">
        <v>6788</v>
      </c>
      <c r="B1741" s="6" t="s">
        <v>6866</v>
      </c>
      <c r="C1741" s="6"/>
      <c r="D1741" s="6" t="s">
        <v>3554</v>
      </c>
      <c r="E1741" s="6" t="s">
        <v>3555</v>
      </c>
      <c r="F1741" s="6" t="s">
        <v>13</v>
      </c>
      <c r="G1741" s="6"/>
      <c r="H1741" s="6" t="s">
        <v>54</v>
      </c>
      <c r="I1741" s="6" t="s">
        <v>93</v>
      </c>
      <c r="J1741" s="6"/>
      <c r="K1741" s="6"/>
      <c r="L1741" s="6" t="s">
        <v>3556</v>
      </c>
      <c r="M1741" s="6"/>
      <c r="N1741" s="6" t="s">
        <v>3557</v>
      </c>
      <c r="O1741" s="6" t="str">
        <f>HYPERLINK("https://ceds.ed.gov/cedselementdetails.aspx?termid=6361")</f>
        <v>https://ceds.ed.gov/cedselementdetails.aspx?termid=6361</v>
      </c>
      <c r="P1741" s="6" t="str">
        <f>HYPERLINK("https://ceds.ed.gov/elementComment.aspx?elementName=Learning Resource Adaptation URL &amp;elementID=6361", "Click here to submit comment")</f>
        <v>Click here to submit comment</v>
      </c>
    </row>
    <row r="1742" spans="1:16" ht="30">
      <c r="A1742" s="6" t="s">
        <v>6788</v>
      </c>
      <c r="B1742" s="6" t="s">
        <v>6866</v>
      </c>
      <c r="C1742" s="6"/>
      <c r="D1742" s="6" t="s">
        <v>3558</v>
      </c>
      <c r="E1742" s="6" t="s">
        <v>3559</v>
      </c>
      <c r="F1742" s="6" t="s">
        <v>13</v>
      </c>
      <c r="G1742" s="6"/>
      <c r="H1742" s="6" t="s">
        <v>54</v>
      </c>
      <c r="I1742" s="6" t="s">
        <v>93</v>
      </c>
      <c r="J1742" s="6"/>
      <c r="K1742" s="6"/>
      <c r="L1742" s="6" t="s">
        <v>3560</v>
      </c>
      <c r="M1742" s="6"/>
      <c r="N1742" s="6" t="s">
        <v>3561</v>
      </c>
      <c r="O1742" s="6" t="str">
        <f>HYPERLINK("https://ceds.ed.gov/cedselementdetails.aspx?termid=6367")</f>
        <v>https://ceds.ed.gov/cedselementdetails.aspx?termid=6367</v>
      </c>
      <c r="P1742" s="6" t="str">
        <f>HYPERLINK("https://ceds.ed.gov/elementComment.aspx?elementName=Learning Resource Adapted From URL &amp;elementID=6367", "Click here to submit comment")</f>
        <v>Click here to submit comment</v>
      </c>
    </row>
    <row r="1743" spans="1:16" ht="75">
      <c r="A1743" s="6" t="s">
        <v>6788</v>
      </c>
      <c r="B1743" s="6" t="s">
        <v>6866</v>
      </c>
      <c r="C1743" s="6"/>
      <c r="D1743" s="6" t="s">
        <v>3562</v>
      </c>
      <c r="E1743" s="6" t="s">
        <v>3563</v>
      </c>
      <c r="F1743" s="6" t="s">
        <v>5963</v>
      </c>
      <c r="G1743" s="6"/>
      <c r="H1743" s="6" t="s">
        <v>54</v>
      </c>
      <c r="I1743" s="6"/>
      <c r="J1743" s="6"/>
      <c r="K1743" s="6" t="s">
        <v>3564</v>
      </c>
      <c r="L1743" s="6" t="s">
        <v>3565</v>
      </c>
      <c r="M1743" s="6"/>
      <c r="N1743" s="6" t="s">
        <v>3566</v>
      </c>
      <c r="O1743" s="6" t="str">
        <f>HYPERLINK("https://ceds.ed.gov/cedselementdetails.aspx?termid=6362")</f>
        <v>https://ceds.ed.gov/cedselementdetails.aspx?termid=6362</v>
      </c>
      <c r="P1743" s="6" t="str">
        <f>HYPERLINK("https://ceds.ed.gov/elementComment.aspx?elementName=Learning Resource Assistive Technologies Compatible Indicator &amp;elementID=6362", "Click here to submit comment")</f>
        <v>Click here to submit comment</v>
      </c>
    </row>
    <row r="1744" spans="1:16" ht="45">
      <c r="A1744" s="6" t="s">
        <v>6788</v>
      </c>
      <c r="B1744" s="6" t="s">
        <v>6866</v>
      </c>
      <c r="C1744" s="6"/>
      <c r="D1744" s="6" t="s">
        <v>3567</v>
      </c>
      <c r="E1744" s="6" t="s">
        <v>3568</v>
      </c>
      <c r="F1744" s="6" t="s">
        <v>13</v>
      </c>
      <c r="G1744" s="6"/>
      <c r="H1744" s="6" t="s">
        <v>66</v>
      </c>
      <c r="I1744" s="6" t="s">
        <v>93</v>
      </c>
      <c r="J1744" s="6" t="s">
        <v>3569</v>
      </c>
      <c r="K1744" s="6" t="s">
        <v>3570</v>
      </c>
      <c r="L1744" s="6" t="s">
        <v>3571</v>
      </c>
      <c r="M1744" s="6"/>
      <c r="N1744" s="6" t="s">
        <v>3572</v>
      </c>
      <c r="O1744" s="6" t="str">
        <f>HYPERLINK("https://ceds.ed.gov/cedselementdetails.aspx?termid=5923")</f>
        <v>https://ceds.ed.gov/cedselementdetails.aspx?termid=5923</v>
      </c>
      <c r="P1744" s="6" t="str">
        <f>HYPERLINK("https://ceds.ed.gov/elementComment.aspx?elementName=Learning Resource Based On URL &amp;elementID=5923", "Click here to submit comment")</f>
        <v>Click here to submit comment</v>
      </c>
    </row>
    <row r="1745" spans="1:16" ht="135">
      <c r="A1745" s="6" t="s">
        <v>6788</v>
      </c>
      <c r="B1745" s="6" t="s">
        <v>6866</v>
      </c>
      <c r="C1745" s="6"/>
      <c r="D1745" s="6" t="s">
        <v>3573</v>
      </c>
      <c r="E1745" s="6" t="s">
        <v>3574</v>
      </c>
      <c r="F1745" s="6" t="s">
        <v>6229</v>
      </c>
      <c r="G1745" s="6"/>
      <c r="H1745" s="6" t="s">
        <v>54</v>
      </c>
      <c r="I1745" s="6"/>
      <c r="J1745" s="6"/>
      <c r="K1745" s="6"/>
      <c r="L1745" s="6" t="s">
        <v>3575</v>
      </c>
      <c r="M1745" s="6"/>
      <c r="N1745" s="6" t="s">
        <v>3576</v>
      </c>
      <c r="O1745" s="6" t="str">
        <f>HYPERLINK("https://ceds.ed.gov/cedselementdetails.aspx?termid=6363")</f>
        <v>https://ceds.ed.gov/cedselementdetails.aspx?termid=6363</v>
      </c>
      <c r="P1745" s="6" t="str">
        <f>HYPERLINK("https://ceds.ed.gov/elementComment.aspx?elementName=Learning Resource Book Format Type &amp;elementID=6363", "Click here to submit comment")</f>
        <v>Click here to submit comment</v>
      </c>
    </row>
    <row r="1746" spans="1:16" ht="45">
      <c r="A1746" s="6" t="s">
        <v>6788</v>
      </c>
      <c r="B1746" s="6" t="s">
        <v>6866</v>
      </c>
      <c r="C1746" s="6"/>
      <c r="D1746" s="6" t="s">
        <v>3582</v>
      </c>
      <c r="E1746" s="6" t="s">
        <v>3583</v>
      </c>
      <c r="F1746" s="6" t="s">
        <v>13</v>
      </c>
      <c r="G1746" s="6"/>
      <c r="H1746" s="6"/>
      <c r="I1746" s="6" t="s">
        <v>93</v>
      </c>
      <c r="J1746" s="6"/>
      <c r="K1746" s="6"/>
      <c r="L1746" s="6" t="s">
        <v>3584</v>
      </c>
      <c r="M1746" s="6"/>
      <c r="N1746" s="6" t="s">
        <v>3585</v>
      </c>
      <c r="O1746" s="6" t="str">
        <f>HYPERLINK("https://ceds.ed.gov/cedselementdetails.aspx?termid=6159")</f>
        <v>https://ceds.ed.gov/cedselementdetails.aspx?termid=6159</v>
      </c>
      <c r="P1746" s="6" t="str">
        <f>HYPERLINK("https://ceds.ed.gov/elementComment.aspx?elementName=Learning Resource Concept Keyword &amp;elementID=6159", "Click here to submit comment")</f>
        <v>Click here to submit comment</v>
      </c>
    </row>
    <row r="1747" spans="1:16" ht="90">
      <c r="A1747" s="6" t="s">
        <v>6788</v>
      </c>
      <c r="B1747" s="6" t="s">
        <v>6866</v>
      </c>
      <c r="C1747" s="6"/>
      <c r="D1747" s="6" t="s">
        <v>3586</v>
      </c>
      <c r="E1747" s="6" t="s">
        <v>3587</v>
      </c>
      <c r="F1747" s="6" t="s">
        <v>6232</v>
      </c>
      <c r="G1747" s="6"/>
      <c r="H1747" s="6" t="s">
        <v>54</v>
      </c>
      <c r="I1747" s="6"/>
      <c r="J1747" s="6"/>
      <c r="K1747" s="6"/>
      <c r="L1747" s="6" t="s">
        <v>3588</v>
      </c>
      <c r="M1747" s="6"/>
      <c r="N1747" s="6" t="s">
        <v>3589</v>
      </c>
      <c r="O1747" s="6" t="str">
        <f>HYPERLINK("https://ceds.ed.gov/cedselementdetails.aspx?termid=6364")</f>
        <v>https://ceds.ed.gov/cedselementdetails.aspx?termid=6364</v>
      </c>
      <c r="P1747" s="6" t="str">
        <f>HYPERLINK("https://ceds.ed.gov/elementComment.aspx?elementName=Learning Resource Control Flexibility Type &amp;elementID=6364", "Click here to submit comment")</f>
        <v>Click here to submit comment</v>
      </c>
    </row>
    <row r="1748" spans="1:16" ht="45">
      <c r="A1748" s="6" t="s">
        <v>6788</v>
      </c>
      <c r="B1748" s="6" t="s">
        <v>6866</v>
      </c>
      <c r="C1748" s="6"/>
      <c r="D1748" s="6" t="s">
        <v>3590</v>
      </c>
      <c r="E1748" s="6" t="s">
        <v>3591</v>
      </c>
      <c r="F1748" s="6" t="s">
        <v>13</v>
      </c>
      <c r="G1748" s="6"/>
      <c r="H1748" s="6"/>
      <c r="I1748" s="6" t="s">
        <v>106</v>
      </c>
      <c r="J1748" s="6"/>
      <c r="K1748" s="6"/>
      <c r="L1748" s="6" t="s">
        <v>3592</v>
      </c>
      <c r="M1748" s="6"/>
      <c r="N1748" s="6" t="s">
        <v>3593</v>
      </c>
      <c r="O1748" s="6" t="str">
        <f>HYPERLINK("https://ceds.ed.gov/cedselementdetails.aspx?termid=6157")</f>
        <v>https://ceds.ed.gov/cedselementdetails.aspx?termid=6157</v>
      </c>
      <c r="P1748" s="6" t="str">
        <f>HYPERLINK("https://ceds.ed.gov/elementComment.aspx?elementName=Learning Resource Copyright Holder Name &amp;elementID=6157", "Click here to submit comment")</f>
        <v>Click here to submit comment</v>
      </c>
    </row>
    <row r="1749" spans="1:16" ht="30">
      <c r="A1749" s="6" t="s">
        <v>6788</v>
      </c>
      <c r="B1749" s="6" t="s">
        <v>6866</v>
      </c>
      <c r="C1749" s="6"/>
      <c r="D1749" s="6" t="s">
        <v>3594</v>
      </c>
      <c r="E1749" s="6" t="s">
        <v>3595</v>
      </c>
      <c r="F1749" s="6" t="s">
        <v>13</v>
      </c>
      <c r="G1749" s="6"/>
      <c r="H1749" s="6"/>
      <c r="I1749" s="6" t="s">
        <v>1736</v>
      </c>
      <c r="J1749" s="6"/>
      <c r="K1749" s="6"/>
      <c r="L1749" s="6" t="s">
        <v>3596</v>
      </c>
      <c r="M1749" s="6"/>
      <c r="N1749" s="6" t="s">
        <v>3597</v>
      </c>
      <c r="O1749" s="6" t="str">
        <f>HYPERLINK("https://ceds.ed.gov/cedselementdetails.aspx?termid=6158")</f>
        <v>https://ceds.ed.gov/cedselementdetails.aspx?termid=6158</v>
      </c>
      <c r="P1749" s="6" t="str">
        <f>HYPERLINK("https://ceds.ed.gov/elementComment.aspx?elementName=Learning Resource Copyright Year &amp;elementID=6158", "Click here to submit comment")</f>
        <v>Click here to submit comment</v>
      </c>
    </row>
    <row r="1750" spans="1:16" ht="30">
      <c r="A1750" s="6" t="s">
        <v>6788</v>
      </c>
      <c r="B1750" s="6" t="s">
        <v>6866</v>
      </c>
      <c r="C1750" s="6"/>
      <c r="D1750" s="6" t="s">
        <v>3598</v>
      </c>
      <c r="E1750" s="6" t="s">
        <v>3599</v>
      </c>
      <c r="F1750" s="6" t="s">
        <v>13</v>
      </c>
      <c r="G1750" s="6"/>
      <c r="H1750" s="6"/>
      <c r="I1750" s="6" t="s">
        <v>106</v>
      </c>
      <c r="J1750" s="6"/>
      <c r="K1750" s="6"/>
      <c r="L1750" s="6" t="s">
        <v>3600</v>
      </c>
      <c r="M1750" s="6"/>
      <c r="N1750" s="6" t="s">
        <v>3601</v>
      </c>
      <c r="O1750" s="6" t="str">
        <f>HYPERLINK("https://ceds.ed.gov/cedselementdetails.aspx?termid=5918")</f>
        <v>https://ceds.ed.gov/cedselementdetails.aspx?termid=5918</v>
      </c>
      <c r="P1750" s="6" t="str">
        <f>HYPERLINK("https://ceds.ed.gov/elementComment.aspx?elementName=Learning Resource Creator &amp;elementID=5918", "Click here to submit comment")</f>
        <v>Click here to submit comment</v>
      </c>
    </row>
    <row r="1751" spans="1:16" ht="30">
      <c r="A1751" s="6" t="s">
        <v>6788</v>
      </c>
      <c r="B1751" s="6" t="s">
        <v>6866</v>
      </c>
      <c r="C1751" s="6"/>
      <c r="D1751" s="6" t="s">
        <v>3602</v>
      </c>
      <c r="E1751" s="6" t="s">
        <v>3603</v>
      </c>
      <c r="F1751" s="6" t="s">
        <v>13</v>
      </c>
      <c r="G1751" s="6"/>
      <c r="H1751" s="6"/>
      <c r="I1751" s="6" t="s">
        <v>73</v>
      </c>
      <c r="J1751" s="6"/>
      <c r="K1751" s="6"/>
      <c r="L1751" s="6" t="s">
        <v>3604</v>
      </c>
      <c r="M1751" s="6"/>
      <c r="N1751" s="6" t="s">
        <v>3605</v>
      </c>
      <c r="O1751" s="6" t="str">
        <f>HYPERLINK("https://ceds.ed.gov/cedselementdetails.aspx?termid=5916")</f>
        <v>https://ceds.ed.gov/cedselementdetails.aspx?termid=5916</v>
      </c>
      <c r="P1751" s="6" t="str">
        <f>HYPERLINK("https://ceds.ed.gov/elementComment.aspx?elementName=Learning Resource Date Created &amp;elementID=5916", "Click here to submit comment")</f>
        <v>Click here to submit comment</v>
      </c>
    </row>
    <row r="1752" spans="1:16" ht="30">
      <c r="A1752" s="6" t="s">
        <v>6788</v>
      </c>
      <c r="B1752" s="6" t="s">
        <v>6866</v>
      </c>
      <c r="C1752" s="6"/>
      <c r="D1752" s="6" t="s">
        <v>3606</v>
      </c>
      <c r="E1752" s="6" t="s">
        <v>3607</v>
      </c>
      <c r="F1752" s="6" t="s">
        <v>13</v>
      </c>
      <c r="G1752" s="6"/>
      <c r="H1752" s="6"/>
      <c r="I1752" s="6" t="s">
        <v>93</v>
      </c>
      <c r="J1752" s="6"/>
      <c r="K1752" s="6"/>
      <c r="L1752" s="6" t="s">
        <v>3608</v>
      </c>
      <c r="M1752" s="6"/>
      <c r="N1752" s="6" t="s">
        <v>3609</v>
      </c>
      <c r="O1752" s="6" t="str">
        <f>HYPERLINK("https://ceds.ed.gov/cedselementdetails.aspx?termid=6156")</f>
        <v>https://ceds.ed.gov/cedselementdetails.aspx?termid=6156</v>
      </c>
      <c r="P1752" s="6" t="str">
        <f>HYPERLINK("https://ceds.ed.gov/elementComment.aspx?elementName=Learning Resource Description &amp;elementID=6156", "Click here to submit comment")</f>
        <v>Click here to submit comment</v>
      </c>
    </row>
    <row r="1753" spans="1:16" ht="135">
      <c r="A1753" s="6" t="s">
        <v>6788</v>
      </c>
      <c r="B1753" s="6" t="s">
        <v>6866</v>
      </c>
      <c r="C1753" s="6"/>
      <c r="D1753" s="6" t="s">
        <v>3610</v>
      </c>
      <c r="E1753" s="6" t="s">
        <v>3611</v>
      </c>
      <c r="F1753" s="6" t="s">
        <v>3612</v>
      </c>
      <c r="G1753" s="6"/>
      <c r="H1753" s="6" t="s">
        <v>54</v>
      </c>
      <c r="I1753" s="6"/>
      <c r="J1753" s="6"/>
      <c r="K1753" s="6"/>
      <c r="L1753" s="6" t="s">
        <v>3613</v>
      </c>
      <c r="M1753" s="6"/>
      <c r="N1753" s="6" t="s">
        <v>3614</v>
      </c>
      <c r="O1753" s="6" t="str">
        <f>HYPERLINK("https://ceds.ed.gov/cedselementdetails.aspx?termid=6365")</f>
        <v>https://ceds.ed.gov/cedselementdetails.aspx?termid=6365</v>
      </c>
      <c r="P1753" s="6" t="str">
        <f>HYPERLINK("https://ceds.ed.gov/elementComment.aspx?elementName=Learning Resource Digital Media Sub Type &amp;elementID=6365", "Click here to submit comment")</f>
        <v>Click here to submit comment</v>
      </c>
    </row>
    <row r="1754" spans="1:16" ht="150">
      <c r="A1754" s="6" t="s">
        <v>6788</v>
      </c>
      <c r="B1754" s="6" t="s">
        <v>6866</v>
      </c>
      <c r="C1754" s="6"/>
      <c r="D1754" s="6" t="s">
        <v>3615</v>
      </c>
      <c r="E1754" s="6" t="s">
        <v>3616</v>
      </c>
      <c r="F1754" s="6" t="s">
        <v>6233</v>
      </c>
      <c r="G1754" s="6"/>
      <c r="H1754" s="6" t="s">
        <v>54</v>
      </c>
      <c r="I1754" s="6"/>
      <c r="J1754" s="6"/>
      <c r="K1754" s="6"/>
      <c r="L1754" s="6" t="s">
        <v>3617</v>
      </c>
      <c r="M1754" s="6"/>
      <c r="N1754" s="6" t="s">
        <v>3618</v>
      </c>
      <c r="O1754" s="6" t="str">
        <f>HYPERLINK("https://ceds.ed.gov/cedselementdetails.aspx?termid=6366")</f>
        <v>https://ceds.ed.gov/cedselementdetails.aspx?termid=6366</v>
      </c>
      <c r="P1754" s="6" t="str">
        <f>HYPERLINK("https://ceds.ed.gov/elementComment.aspx?elementName=Learning Resource Digital Media Type &amp;elementID=6366", "Click here to submit comment")</f>
        <v>Click here to submit comment</v>
      </c>
    </row>
    <row r="1755" spans="1:16" ht="409.5">
      <c r="A1755" s="6" t="s">
        <v>6788</v>
      </c>
      <c r="B1755" s="6" t="s">
        <v>6866</v>
      </c>
      <c r="C1755" s="6"/>
      <c r="D1755" s="6" t="s">
        <v>3619</v>
      </c>
      <c r="E1755" s="6" t="s">
        <v>3620</v>
      </c>
      <c r="F1755" s="13" t="s">
        <v>6921</v>
      </c>
      <c r="G1755" s="6"/>
      <c r="H1755" s="6" t="s">
        <v>66</v>
      </c>
      <c r="I1755" s="6"/>
      <c r="J1755" s="6" t="s">
        <v>3621</v>
      </c>
      <c r="K1755" s="6"/>
      <c r="L1755" s="6" t="s">
        <v>3622</v>
      </c>
      <c r="M1755" s="6"/>
      <c r="N1755" s="6" t="s">
        <v>3623</v>
      </c>
      <c r="O1755" s="6" t="str">
        <f>HYPERLINK("https://ceds.ed.gov/cedselementdetails.aspx?termid=6212")</f>
        <v>https://ceds.ed.gov/cedselementdetails.aspx?termid=6212</v>
      </c>
      <c r="P1755" s="6" t="str">
        <f>HYPERLINK("https://ceds.ed.gov/elementComment.aspx?elementName=Learning Resource Education Level  &amp;elementID=6212", "Click here to submit comment")</f>
        <v>Click here to submit comment</v>
      </c>
    </row>
    <row r="1756" spans="1:16" ht="120">
      <c r="A1756" s="6" t="s">
        <v>6788</v>
      </c>
      <c r="B1756" s="6" t="s">
        <v>6866</v>
      </c>
      <c r="C1756" s="6"/>
      <c r="D1756" s="6" t="s">
        <v>3624</v>
      </c>
      <c r="E1756" s="6" t="s">
        <v>3625</v>
      </c>
      <c r="F1756" s="7" t="s">
        <v>6565</v>
      </c>
      <c r="G1756" s="6"/>
      <c r="H1756" s="6" t="s">
        <v>66</v>
      </c>
      <c r="I1756" s="6"/>
      <c r="J1756" s="6" t="s">
        <v>3626</v>
      </c>
      <c r="K1756" s="6"/>
      <c r="L1756" s="6" t="s">
        <v>3627</v>
      </c>
      <c r="M1756" s="6"/>
      <c r="N1756" s="6" t="s">
        <v>3628</v>
      </c>
      <c r="O1756" s="6" t="str">
        <f>HYPERLINK("https://ceds.ed.gov/cedselementdetails.aspx?termid=6005")</f>
        <v>https://ceds.ed.gov/cedselementdetails.aspx?termid=6005</v>
      </c>
      <c r="P1756" s="6" t="str">
        <f>HYPERLINK("https://ceds.ed.gov/elementComment.aspx?elementName=Learning Resource Educational Use &amp;elementID=6005", "Click here to submit comment")</f>
        <v>Click here to submit comment</v>
      </c>
    </row>
    <row r="1757" spans="1:16" ht="150">
      <c r="A1757" s="6" t="s">
        <v>6788</v>
      </c>
      <c r="B1757" s="6" t="s">
        <v>6866</v>
      </c>
      <c r="C1757" s="6"/>
      <c r="D1757" s="6" t="s">
        <v>3629</v>
      </c>
      <c r="E1757" s="6" t="s">
        <v>3630</v>
      </c>
      <c r="F1757" s="6" t="s">
        <v>6235</v>
      </c>
      <c r="G1757" s="6"/>
      <c r="H1757" s="6"/>
      <c r="I1757" s="6"/>
      <c r="J1757" s="6"/>
      <c r="K1757" s="6"/>
      <c r="L1757" s="6" t="s">
        <v>3631</v>
      </c>
      <c r="M1757" s="6"/>
      <c r="N1757" s="6" t="s">
        <v>3632</v>
      </c>
      <c r="O1757" s="6" t="str">
        <f>HYPERLINK("https://ceds.ed.gov/cedselementdetails.aspx?termid=5924")</f>
        <v>https://ceds.ed.gov/cedselementdetails.aspx?termid=5924</v>
      </c>
      <c r="P1757" s="6" t="str">
        <f>HYPERLINK("https://ceds.ed.gov/elementComment.aspx?elementName=Learning Resource Intended End User Role &amp;elementID=5924", "Click here to submit comment")</f>
        <v>Click here to submit comment</v>
      </c>
    </row>
    <row r="1758" spans="1:16" ht="60">
      <c r="A1758" s="6" t="s">
        <v>6788</v>
      </c>
      <c r="B1758" s="6" t="s">
        <v>6866</v>
      </c>
      <c r="C1758" s="6"/>
      <c r="D1758" s="6" t="s">
        <v>3633</v>
      </c>
      <c r="E1758" s="6" t="s">
        <v>3634</v>
      </c>
      <c r="F1758" s="6" t="s">
        <v>6236</v>
      </c>
      <c r="G1758" s="6"/>
      <c r="H1758" s="6"/>
      <c r="I1758" s="6"/>
      <c r="J1758" s="6"/>
      <c r="K1758" s="6"/>
      <c r="L1758" s="6" t="s">
        <v>3635</v>
      </c>
      <c r="M1758" s="6"/>
      <c r="N1758" s="6" t="s">
        <v>3636</v>
      </c>
      <c r="O1758" s="6" t="str">
        <f>HYPERLINK("https://ceds.ed.gov/cedselementdetails.aspx?termid=5928")</f>
        <v>https://ceds.ed.gov/cedselementdetails.aspx?termid=5928</v>
      </c>
      <c r="P1758" s="6" t="str">
        <f>HYPERLINK("https://ceds.ed.gov/elementComment.aspx?elementName=Learning Resource Interactivity Type &amp;elementID=5928", "Click here to submit comment")</f>
        <v>Click here to submit comment</v>
      </c>
    </row>
    <row r="1759" spans="1:16" ht="150">
      <c r="A1759" s="6" t="s">
        <v>6788</v>
      </c>
      <c r="B1759" s="6" t="s">
        <v>6866</v>
      </c>
      <c r="C1759" s="6"/>
      <c r="D1759" s="6" t="s">
        <v>3637</v>
      </c>
      <c r="E1759" s="6" t="s">
        <v>3638</v>
      </c>
      <c r="F1759" s="5" t="s">
        <v>939</v>
      </c>
      <c r="G1759" s="6"/>
      <c r="H1759" s="6" t="s">
        <v>66</v>
      </c>
      <c r="I1759" s="6"/>
      <c r="J1759" s="6" t="s">
        <v>3639</v>
      </c>
      <c r="K1759" s="6" t="s">
        <v>3640</v>
      </c>
      <c r="L1759" s="6" t="s">
        <v>3641</v>
      </c>
      <c r="M1759" s="6"/>
      <c r="N1759" s="6" t="s">
        <v>3642</v>
      </c>
      <c r="O1759" s="6" t="str">
        <f>HYPERLINK("https://ceds.ed.gov/cedselementdetails.aspx?termid=5920")</f>
        <v>https://ceds.ed.gov/cedselementdetails.aspx?termid=5920</v>
      </c>
      <c r="P1759" s="6" t="str">
        <f>HYPERLINK("https://ceds.ed.gov/elementComment.aspx?elementName=Learning Resource Language &amp;elementID=5920", "Click here to submit comment")</f>
        <v>Click here to submit comment</v>
      </c>
    </row>
    <row r="1760" spans="1:16" ht="315">
      <c r="A1760" s="6" t="s">
        <v>6788</v>
      </c>
      <c r="B1760" s="6" t="s">
        <v>6866</v>
      </c>
      <c r="C1760" s="6"/>
      <c r="D1760" s="6" t="s">
        <v>3643</v>
      </c>
      <c r="E1760" s="6" t="s">
        <v>3644</v>
      </c>
      <c r="F1760" s="6" t="s">
        <v>6237</v>
      </c>
      <c r="G1760" s="6"/>
      <c r="H1760" s="6" t="s">
        <v>54</v>
      </c>
      <c r="I1760" s="6"/>
      <c r="J1760" s="6"/>
      <c r="K1760" s="6" t="s">
        <v>3645</v>
      </c>
      <c r="L1760" s="6" t="s">
        <v>3646</v>
      </c>
      <c r="M1760" s="6"/>
      <c r="N1760" s="6" t="s">
        <v>3647</v>
      </c>
      <c r="O1760" s="6" t="str">
        <f>HYPERLINK("https://ceds.ed.gov/cedselementdetails.aspx?termid=6368")</f>
        <v>https://ceds.ed.gov/cedselementdetails.aspx?termid=6368</v>
      </c>
      <c r="P1760" s="6" t="str">
        <f>HYPERLINK("https://ceds.ed.gov/elementComment.aspx?elementName=Learning Resource Media Feature Type &amp;elementID=6368", "Click here to submit comment")</f>
        <v>Click here to submit comment</v>
      </c>
    </row>
    <row r="1761" spans="1:16" ht="60">
      <c r="A1761" s="6" t="s">
        <v>6788</v>
      </c>
      <c r="B1761" s="6" t="s">
        <v>6866</v>
      </c>
      <c r="C1761" s="6"/>
      <c r="D1761" s="6" t="s">
        <v>3653</v>
      </c>
      <c r="E1761" s="6" t="s">
        <v>3654</v>
      </c>
      <c r="F1761" s="6" t="s">
        <v>13</v>
      </c>
      <c r="G1761" s="6"/>
      <c r="H1761" s="6" t="s">
        <v>54</v>
      </c>
      <c r="I1761" s="6" t="s">
        <v>575</v>
      </c>
      <c r="J1761" s="6"/>
      <c r="K1761" s="6"/>
      <c r="L1761" s="6" t="s">
        <v>3655</v>
      </c>
      <c r="M1761" s="6"/>
      <c r="N1761" s="6" t="s">
        <v>3656</v>
      </c>
      <c r="O1761" s="6" t="str">
        <f>HYPERLINK("https://ceds.ed.gov/cedselementdetails.aspx?termid=6369")</f>
        <v>https://ceds.ed.gov/cedselementdetails.aspx?termid=6369</v>
      </c>
      <c r="P1761" s="6" t="str">
        <f>HYPERLINK("https://ceds.ed.gov/elementComment.aspx?elementName=Learning Resource Peer Rating Sample Size &amp;elementID=6369", "Click here to submit comment")</f>
        <v>Click here to submit comment</v>
      </c>
    </row>
    <row r="1762" spans="1:16" ht="90">
      <c r="A1762" s="6" t="s">
        <v>6788</v>
      </c>
      <c r="B1762" s="6" t="s">
        <v>6866</v>
      </c>
      <c r="C1762" s="6"/>
      <c r="D1762" s="6" t="s">
        <v>3657</v>
      </c>
      <c r="E1762" s="6" t="s">
        <v>3658</v>
      </c>
      <c r="F1762" s="6" t="s">
        <v>13</v>
      </c>
      <c r="G1762" s="6"/>
      <c r="H1762" s="6"/>
      <c r="I1762" s="6" t="s">
        <v>957</v>
      </c>
      <c r="J1762" s="6"/>
      <c r="K1762" s="6"/>
      <c r="L1762" s="6" t="s">
        <v>3659</v>
      </c>
      <c r="M1762" s="6"/>
      <c r="N1762" s="6" t="s">
        <v>3660</v>
      </c>
      <c r="O1762" s="6" t="str">
        <f>HYPERLINK("https://ceds.ed.gov/cedselementdetails.aspx?termid=6161")</f>
        <v>https://ceds.ed.gov/cedselementdetails.aspx?termid=6161</v>
      </c>
      <c r="P1762" s="6" t="str">
        <f>HYPERLINK("https://ceds.ed.gov/elementComment.aspx?elementName=Learning Resource Peer Rating Value &amp;elementID=6161", "Click here to submit comment")</f>
        <v>Click here to submit comment</v>
      </c>
    </row>
    <row r="1763" spans="1:16" ht="409.5">
      <c r="A1763" s="6" t="s">
        <v>6788</v>
      </c>
      <c r="B1763" s="6" t="s">
        <v>6866</v>
      </c>
      <c r="C1763" s="6"/>
      <c r="D1763" s="6" t="s">
        <v>3661</v>
      </c>
      <c r="E1763" s="6" t="s">
        <v>3662</v>
      </c>
      <c r="F1763" s="7" t="s">
        <v>6566</v>
      </c>
      <c r="G1763" s="6"/>
      <c r="H1763" s="6" t="s">
        <v>54</v>
      </c>
      <c r="I1763" s="6"/>
      <c r="J1763" s="6"/>
      <c r="K1763" s="6"/>
      <c r="L1763" s="6" t="s">
        <v>3663</v>
      </c>
      <c r="M1763" s="6"/>
      <c r="N1763" s="6" t="s">
        <v>3664</v>
      </c>
      <c r="O1763" s="6" t="str">
        <f>HYPERLINK("https://ceds.ed.gov/cedselementdetails.aspx?termid=6370")</f>
        <v>https://ceds.ed.gov/cedselementdetails.aspx?termid=6370</v>
      </c>
      <c r="P1763" s="6" t="str">
        <f>HYPERLINK("https://ceds.ed.gov/elementComment.aspx?elementName=Learning Resource Physical Media Type &amp;elementID=6370", "Click here to submit comment")</f>
        <v>Click here to submit comment</v>
      </c>
    </row>
    <row r="1764" spans="1:16" ht="30">
      <c r="A1764" s="6" t="s">
        <v>6788</v>
      </c>
      <c r="B1764" s="6" t="s">
        <v>6866</v>
      </c>
      <c r="C1764" s="6"/>
      <c r="D1764" s="6" t="s">
        <v>3669</v>
      </c>
      <c r="E1764" s="6" t="s">
        <v>3670</v>
      </c>
      <c r="F1764" s="6" t="s">
        <v>13</v>
      </c>
      <c r="G1764" s="6"/>
      <c r="H1764" s="6"/>
      <c r="I1764" s="6" t="s">
        <v>106</v>
      </c>
      <c r="J1764" s="6"/>
      <c r="K1764" s="6"/>
      <c r="L1764" s="6" t="s">
        <v>3671</v>
      </c>
      <c r="M1764" s="6"/>
      <c r="N1764" s="6" t="s">
        <v>3672</v>
      </c>
      <c r="O1764" s="6" t="str">
        <f>HYPERLINK("https://ceds.ed.gov/cedselementdetails.aspx?termid=5919")</f>
        <v>https://ceds.ed.gov/cedselementdetails.aspx?termid=5919</v>
      </c>
      <c r="P1764" s="6" t="str">
        <f>HYPERLINK("https://ceds.ed.gov/elementComment.aspx?elementName=Learning Resource Publisher Name &amp;elementID=5919", "Click here to submit comment")</f>
        <v>Click here to submit comment</v>
      </c>
    </row>
    <row r="1765" spans="1:16" ht="60">
      <c r="A1765" s="6" t="s">
        <v>6788</v>
      </c>
      <c r="B1765" s="6" t="s">
        <v>6866</v>
      </c>
      <c r="C1765" s="6"/>
      <c r="D1765" s="6" t="s">
        <v>3673</v>
      </c>
      <c r="E1765" s="6" t="s">
        <v>3674</v>
      </c>
      <c r="F1765" s="6" t="s">
        <v>13</v>
      </c>
      <c r="G1765" s="6"/>
      <c r="H1765" s="6"/>
      <c r="I1765" s="6" t="s">
        <v>100</v>
      </c>
      <c r="J1765" s="6"/>
      <c r="K1765" s="6" t="s">
        <v>3675</v>
      </c>
      <c r="L1765" s="6" t="s">
        <v>3676</v>
      </c>
      <c r="M1765" s="6"/>
      <c r="N1765" s="6" t="s">
        <v>3677</v>
      </c>
      <c r="O1765" s="6" t="str">
        <f>HYPERLINK("https://ceds.ed.gov/cedselementdetails.aspx?termid=5914")</f>
        <v>https://ceds.ed.gov/cedselementdetails.aspx?termid=5914</v>
      </c>
      <c r="P1765" s="6" t="str">
        <f>HYPERLINK("https://ceds.ed.gov/elementComment.aspx?elementName=Learning Resource Subject Code &amp;elementID=5914", "Click here to submit comment")</f>
        <v>Click here to submit comment</v>
      </c>
    </row>
    <row r="1766" spans="1:16" ht="60">
      <c r="A1766" s="6" t="s">
        <v>6788</v>
      </c>
      <c r="B1766" s="6" t="s">
        <v>6866</v>
      </c>
      <c r="C1766" s="6"/>
      <c r="D1766" s="6" t="s">
        <v>3678</v>
      </c>
      <c r="E1766" s="6" t="s">
        <v>3679</v>
      </c>
      <c r="F1766" s="6" t="s">
        <v>13</v>
      </c>
      <c r="G1766" s="6"/>
      <c r="H1766" s="6"/>
      <c r="I1766" s="6" t="s">
        <v>100</v>
      </c>
      <c r="J1766" s="6"/>
      <c r="K1766" s="6" t="s">
        <v>3680</v>
      </c>
      <c r="L1766" s="6" t="s">
        <v>3681</v>
      </c>
      <c r="M1766" s="6"/>
      <c r="N1766" s="6" t="s">
        <v>3682</v>
      </c>
      <c r="O1766" s="6" t="str">
        <f>HYPERLINK("https://ceds.ed.gov/cedselementdetails.aspx?termid=5915")</f>
        <v>https://ceds.ed.gov/cedselementdetails.aspx?termid=5915</v>
      </c>
      <c r="P1766" s="6" t="str">
        <f>HYPERLINK("https://ceds.ed.gov/elementComment.aspx?elementName=Learning Resource Subject Code System &amp;elementID=5915", "Click here to submit comment")</f>
        <v>Click here to submit comment</v>
      </c>
    </row>
    <row r="1767" spans="1:16" ht="30">
      <c r="A1767" s="6" t="s">
        <v>6788</v>
      </c>
      <c r="B1767" s="6" t="s">
        <v>6866</v>
      </c>
      <c r="C1767" s="6"/>
      <c r="D1767" s="6" t="s">
        <v>3683</v>
      </c>
      <c r="E1767" s="6" t="s">
        <v>3684</v>
      </c>
      <c r="F1767" s="6" t="s">
        <v>13</v>
      </c>
      <c r="G1767" s="6"/>
      <c r="H1767" s="6"/>
      <c r="I1767" s="6" t="s">
        <v>100</v>
      </c>
      <c r="J1767" s="6"/>
      <c r="K1767" s="6"/>
      <c r="L1767" s="6" t="s">
        <v>3685</v>
      </c>
      <c r="M1767" s="6"/>
      <c r="N1767" s="6" t="s">
        <v>3686</v>
      </c>
      <c r="O1767" s="6" t="str">
        <f>HYPERLINK("https://ceds.ed.gov/cedselementdetails.aspx?termid=5913")</f>
        <v>https://ceds.ed.gov/cedselementdetails.aspx?termid=5913</v>
      </c>
      <c r="P1767" s="6" t="str">
        <f>HYPERLINK("https://ceds.ed.gov/elementComment.aspx?elementName=Learning Resource Subject Name &amp;elementID=5913", "Click here to submit comment")</f>
        <v>Click here to submit comment</v>
      </c>
    </row>
    <row r="1768" spans="1:16" ht="45">
      <c r="A1768" s="6" t="s">
        <v>6788</v>
      </c>
      <c r="B1768" s="6" t="s">
        <v>6866</v>
      </c>
      <c r="C1768" s="6"/>
      <c r="D1768" s="6" t="s">
        <v>3687</v>
      </c>
      <c r="E1768" s="6" t="s">
        <v>3688</v>
      </c>
      <c r="F1768" s="6" t="s">
        <v>13</v>
      </c>
      <c r="G1768" s="6"/>
      <c r="H1768" s="6"/>
      <c r="I1768" s="6" t="s">
        <v>100</v>
      </c>
      <c r="J1768" s="6"/>
      <c r="K1768" s="6"/>
      <c r="L1768" s="6" t="s">
        <v>3689</v>
      </c>
      <c r="M1768" s="6"/>
      <c r="N1768" s="6" t="s">
        <v>3690</v>
      </c>
      <c r="O1768" s="6" t="str">
        <f>HYPERLINK("https://ceds.ed.gov/cedselementdetails.aspx?termid=5931")</f>
        <v>https://ceds.ed.gov/cedselementdetails.aspx?termid=5931</v>
      </c>
      <c r="P1768" s="6" t="str">
        <f>HYPERLINK("https://ceds.ed.gov/elementComment.aspx?elementName=Learning Resource Text Complexity System &amp;elementID=5931", "Click here to submit comment")</f>
        <v>Click here to submit comment</v>
      </c>
    </row>
    <row r="1769" spans="1:16" ht="45">
      <c r="A1769" s="6" t="s">
        <v>6788</v>
      </c>
      <c r="B1769" s="6" t="s">
        <v>6866</v>
      </c>
      <c r="C1769" s="6"/>
      <c r="D1769" s="6" t="s">
        <v>3691</v>
      </c>
      <c r="E1769" s="6" t="s">
        <v>3692</v>
      </c>
      <c r="F1769" s="6" t="s">
        <v>13</v>
      </c>
      <c r="G1769" s="6"/>
      <c r="H1769" s="6"/>
      <c r="I1769" s="6" t="s">
        <v>100</v>
      </c>
      <c r="J1769" s="6"/>
      <c r="K1769" s="6"/>
      <c r="L1769" s="6" t="s">
        <v>3693</v>
      </c>
      <c r="M1769" s="6"/>
      <c r="N1769" s="6" t="s">
        <v>3694</v>
      </c>
      <c r="O1769" s="6" t="str">
        <f>HYPERLINK("https://ceds.ed.gov/cedselementdetails.aspx?termid=5930")</f>
        <v>https://ceds.ed.gov/cedselementdetails.aspx?termid=5930</v>
      </c>
      <c r="P1769" s="6" t="str">
        <f>HYPERLINK("https://ceds.ed.gov/elementComment.aspx?elementName=Learning Resource Text Complexity Value &amp;elementID=5930", "Click here to submit comment")</f>
        <v>Click here to submit comment</v>
      </c>
    </row>
    <row r="1770" spans="1:16" ht="60">
      <c r="A1770" s="6" t="s">
        <v>6788</v>
      </c>
      <c r="B1770" s="6" t="s">
        <v>6866</v>
      </c>
      <c r="C1770" s="6"/>
      <c r="D1770" s="6" t="s">
        <v>3695</v>
      </c>
      <c r="E1770" s="6" t="s">
        <v>3696</v>
      </c>
      <c r="F1770" s="6" t="s">
        <v>13</v>
      </c>
      <c r="G1770" s="6"/>
      <c r="H1770" s="6" t="s">
        <v>66</v>
      </c>
      <c r="I1770" s="6" t="s">
        <v>3697</v>
      </c>
      <c r="J1770" s="6" t="s">
        <v>3698</v>
      </c>
      <c r="K1770" s="6"/>
      <c r="L1770" s="6" t="s">
        <v>3699</v>
      </c>
      <c r="M1770" s="6"/>
      <c r="N1770" s="6" t="s">
        <v>3700</v>
      </c>
      <c r="O1770" s="6" t="str">
        <f>HYPERLINK("https://ceds.ed.gov/cedselementdetails.aspx?termid=5925")</f>
        <v>https://ceds.ed.gov/cedselementdetails.aspx?termid=5925</v>
      </c>
      <c r="P1770" s="6" t="str">
        <f>HYPERLINK("https://ceds.ed.gov/elementComment.aspx?elementName=Learning Resource Time Required &amp;elementID=5925", "Click here to submit comment")</f>
        <v>Click here to submit comment</v>
      </c>
    </row>
    <row r="1771" spans="1:16" ht="30">
      <c r="A1771" s="6" t="s">
        <v>6788</v>
      </c>
      <c r="B1771" s="6" t="s">
        <v>6866</v>
      </c>
      <c r="C1771" s="6"/>
      <c r="D1771" s="6" t="s">
        <v>3701</v>
      </c>
      <c r="E1771" s="6" t="s">
        <v>3702</v>
      </c>
      <c r="F1771" s="6" t="s">
        <v>13</v>
      </c>
      <c r="G1771" s="6"/>
      <c r="H1771" s="6"/>
      <c r="I1771" s="6" t="s">
        <v>100</v>
      </c>
      <c r="J1771" s="6"/>
      <c r="K1771" s="6"/>
      <c r="L1771" s="6" t="s">
        <v>3703</v>
      </c>
      <c r="M1771" s="6"/>
      <c r="N1771" s="6" t="s">
        <v>3704</v>
      </c>
      <c r="O1771" s="6" t="str">
        <f>HYPERLINK("https://ceds.ed.gov/cedselementdetails.aspx?termid=5912")</f>
        <v>https://ceds.ed.gov/cedselementdetails.aspx?termid=5912</v>
      </c>
      <c r="P1771" s="6" t="str">
        <f>HYPERLINK("https://ceds.ed.gov/elementComment.aspx?elementName=Learning Resource Title &amp;elementID=5912", "Click here to submit comment")</f>
        <v>Click here to submit comment</v>
      </c>
    </row>
    <row r="1772" spans="1:16" ht="409.5">
      <c r="A1772" s="6" t="s">
        <v>6788</v>
      </c>
      <c r="B1772" s="6" t="s">
        <v>6866</v>
      </c>
      <c r="C1772" s="6"/>
      <c r="D1772" s="6" t="s">
        <v>3705</v>
      </c>
      <c r="E1772" s="6" t="s">
        <v>3706</v>
      </c>
      <c r="F1772" s="7" t="s">
        <v>6567</v>
      </c>
      <c r="G1772" s="6"/>
      <c r="H1772" s="6" t="s">
        <v>66</v>
      </c>
      <c r="I1772" s="6"/>
      <c r="J1772" s="6" t="s">
        <v>3621</v>
      </c>
      <c r="K1772" s="6" t="s">
        <v>3707</v>
      </c>
      <c r="L1772" s="6" t="s">
        <v>3708</v>
      </c>
      <c r="M1772" s="6"/>
      <c r="N1772" s="6" t="s">
        <v>3709</v>
      </c>
      <c r="O1772" s="6" t="str">
        <f>HYPERLINK("https://ceds.ed.gov/cedselementdetails.aspx?termid=5929")</f>
        <v>https://ceds.ed.gov/cedselementdetails.aspx?termid=5929</v>
      </c>
      <c r="P1772" s="6" t="str">
        <f>HYPERLINK("https://ceds.ed.gov/elementComment.aspx?elementName=Learning Resource Type &amp;elementID=5929", "Click here to submit comment")</f>
        <v>Click here to submit comment</v>
      </c>
    </row>
    <row r="1773" spans="1:16" ht="45">
      <c r="A1773" s="6" t="s">
        <v>6788</v>
      </c>
      <c r="B1773" s="6" t="s">
        <v>6866</v>
      </c>
      <c r="C1773" s="6"/>
      <c r="D1773" s="6" t="s">
        <v>3710</v>
      </c>
      <c r="E1773" s="6" t="s">
        <v>3711</v>
      </c>
      <c r="F1773" s="6" t="s">
        <v>13</v>
      </c>
      <c r="G1773" s="6"/>
      <c r="H1773" s="6"/>
      <c r="I1773" s="6" t="s">
        <v>308</v>
      </c>
      <c r="J1773" s="6"/>
      <c r="K1773" s="6"/>
      <c r="L1773" s="6" t="s">
        <v>3712</v>
      </c>
      <c r="M1773" s="6"/>
      <c r="N1773" s="6" t="s">
        <v>3713</v>
      </c>
      <c r="O1773" s="6" t="str">
        <f>HYPERLINK("https://ceds.ed.gov/cedselementdetails.aspx?termid=5927")</f>
        <v>https://ceds.ed.gov/cedselementdetails.aspx?termid=5927</v>
      </c>
      <c r="P1773" s="6" t="str">
        <f>HYPERLINK("https://ceds.ed.gov/elementComment.aspx?elementName=Learning Resource Typical Age Range Maximum &amp;elementID=5927", "Click here to submit comment")</f>
        <v>Click here to submit comment</v>
      </c>
    </row>
    <row r="1774" spans="1:16" ht="45">
      <c r="A1774" s="6" t="s">
        <v>6788</v>
      </c>
      <c r="B1774" s="6" t="s">
        <v>6866</v>
      </c>
      <c r="C1774" s="6"/>
      <c r="D1774" s="6" t="s">
        <v>3714</v>
      </c>
      <c r="E1774" s="6" t="s">
        <v>3715</v>
      </c>
      <c r="F1774" s="6" t="s">
        <v>13</v>
      </c>
      <c r="G1774" s="6"/>
      <c r="H1774" s="6"/>
      <c r="I1774" s="6" t="s">
        <v>308</v>
      </c>
      <c r="J1774" s="6"/>
      <c r="K1774" s="6"/>
      <c r="L1774" s="6" t="s">
        <v>3716</v>
      </c>
      <c r="M1774" s="6"/>
      <c r="N1774" s="6" t="s">
        <v>3717</v>
      </c>
      <c r="O1774" s="6" t="str">
        <f>HYPERLINK("https://ceds.ed.gov/cedselementdetails.aspx?termid=5926")</f>
        <v>https://ceds.ed.gov/cedselementdetails.aspx?termid=5926</v>
      </c>
      <c r="P1774" s="6" t="str">
        <f>HYPERLINK("https://ceds.ed.gov/elementComment.aspx?elementName=Learning Resource Typical Age Range Minimum &amp;elementID=5926", "Click here to submit comment")</f>
        <v>Click here to submit comment</v>
      </c>
    </row>
    <row r="1775" spans="1:16" ht="75">
      <c r="A1775" s="6" t="s">
        <v>6788</v>
      </c>
      <c r="B1775" s="6" t="s">
        <v>6866</v>
      </c>
      <c r="C1775" s="6"/>
      <c r="D1775" s="6" t="s">
        <v>3718</v>
      </c>
      <c r="E1775" s="6" t="s">
        <v>3719</v>
      </c>
      <c r="F1775" s="6" t="s">
        <v>13</v>
      </c>
      <c r="G1775" s="6"/>
      <c r="H1775" s="6"/>
      <c r="I1775" s="6" t="s">
        <v>93</v>
      </c>
      <c r="J1775" s="6"/>
      <c r="K1775" s="6"/>
      <c r="L1775" s="6" t="s">
        <v>3720</v>
      </c>
      <c r="M1775" s="6"/>
      <c r="N1775" s="6" t="s">
        <v>3721</v>
      </c>
      <c r="O1775" s="6" t="str">
        <f>HYPERLINK("https://ceds.ed.gov/cedselementdetails.aspx?termid=5911")</f>
        <v>https://ceds.ed.gov/cedselementdetails.aspx?termid=5911</v>
      </c>
      <c r="P1775" s="6" t="str">
        <f>HYPERLINK("https://ceds.ed.gov/elementComment.aspx?elementName=Learning Resource URL &amp;elementID=5911", "Click here to submit comment")</f>
        <v>Click here to submit comment</v>
      </c>
    </row>
    <row r="1776" spans="1:16" ht="45">
      <c r="A1776" s="6" t="s">
        <v>6788</v>
      </c>
      <c r="B1776" s="6" t="s">
        <v>6866</v>
      </c>
      <c r="C1776" s="6"/>
      <c r="D1776" s="6" t="s">
        <v>3722</v>
      </c>
      <c r="E1776" s="6" t="s">
        <v>3723</v>
      </c>
      <c r="F1776" s="6" t="s">
        <v>13</v>
      </c>
      <c r="G1776" s="6"/>
      <c r="H1776" s="6"/>
      <c r="I1776" s="6" t="s">
        <v>93</v>
      </c>
      <c r="J1776" s="6"/>
      <c r="K1776" s="6" t="s">
        <v>3724</v>
      </c>
      <c r="L1776" s="6" t="s">
        <v>3725</v>
      </c>
      <c r="M1776" s="6"/>
      <c r="N1776" s="6" t="s">
        <v>3726</v>
      </c>
      <c r="O1776" s="6" t="str">
        <f>HYPERLINK("https://ceds.ed.gov/cedselementdetails.aspx?termid=5922")</f>
        <v>https://ceds.ed.gov/cedselementdetails.aspx?termid=5922</v>
      </c>
      <c r="P1776" s="6" t="str">
        <f>HYPERLINK("https://ceds.ed.gov/elementComment.aspx?elementName=Learning Resource Use Rights URL &amp;elementID=5922", "Click here to submit comment")</f>
        <v>Click here to submit comment</v>
      </c>
    </row>
    <row r="1777" spans="1:16" ht="30">
      <c r="A1777" s="6" t="s">
        <v>6788</v>
      </c>
      <c r="B1777" s="6" t="s">
        <v>6866</v>
      </c>
      <c r="C1777" s="6"/>
      <c r="D1777" s="6" t="s">
        <v>3727</v>
      </c>
      <c r="E1777" s="6" t="s">
        <v>3728</v>
      </c>
      <c r="F1777" s="6" t="s">
        <v>13</v>
      </c>
      <c r="G1777" s="6"/>
      <c r="H1777" s="6" t="s">
        <v>66</v>
      </c>
      <c r="I1777" s="6" t="s">
        <v>100</v>
      </c>
      <c r="J1777" s="6" t="s">
        <v>1820</v>
      </c>
      <c r="K1777" s="6"/>
      <c r="L1777" s="6" t="s">
        <v>3729</v>
      </c>
      <c r="M1777" s="6"/>
      <c r="N1777" s="6" t="s">
        <v>3730</v>
      </c>
      <c r="O1777" s="6" t="str">
        <f>HYPERLINK("https://ceds.ed.gov/cedselementdetails.aspx?termid=6182")</f>
        <v>https://ceds.ed.gov/cedselementdetails.aspx?termid=6182</v>
      </c>
      <c r="P1777" s="6" t="str">
        <f>HYPERLINK("https://ceds.ed.gov/elementComment.aspx?elementName=Learning Resource Version &amp;elementID=6182", "Click here to submit comment")</f>
        <v>Click here to submit comment</v>
      </c>
    </row>
    <row r="1778" spans="1:16" ht="30">
      <c r="A1778" s="6" t="s">
        <v>6788</v>
      </c>
      <c r="B1778" s="6" t="s">
        <v>6866</v>
      </c>
      <c r="C1778" s="6" t="s">
        <v>6867</v>
      </c>
      <c r="D1778" s="6" t="s">
        <v>4435</v>
      </c>
      <c r="E1778" s="6" t="s">
        <v>4436</v>
      </c>
      <c r="F1778" s="6" t="s">
        <v>13</v>
      </c>
      <c r="G1778" s="6"/>
      <c r="H1778" s="6"/>
      <c r="I1778" s="6" t="s">
        <v>73</v>
      </c>
      <c r="J1778" s="6"/>
      <c r="K1778" s="6"/>
      <c r="L1778" s="6" t="s">
        <v>4437</v>
      </c>
      <c r="M1778" s="6"/>
      <c r="N1778" s="6" t="s">
        <v>4438</v>
      </c>
      <c r="O1778" s="6" t="str">
        <f>HYPERLINK("https://ceds.ed.gov/cedselementdetails.aspx?termid=6171")</f>
        <v>https://ceds.ed.gov/cedselementdetails.aspx?termid=6171</v>
      </c>
      <c r="P1778" s="6" t="str">
        <f>HYPERLINK("https://ceds.ed.gov/elementComment.aspx?elementName=Peer Rating Date &amp;elementID=6171", "Click here to submit comment")</f>
        <v>Click here to submit comment</v>
      </c>
    </row>
    <row r="1779" spans="1:16" ht="45">
      <c r="A1779" s="6" t="s">
        <v>6788</v>
      </c>
      <c r="B1779" s="6" t="s">
        <v>6866</v>
      </c>
      <c r="C1779" s="6" t="s">
        <v>6868</v>
      </c>
      <c r="D1779" s="6" t="s">
        <v>4439</v>
      </c>
      <c r="E1779" s="6" t="s">
        <v>4440</v>
      </c>
      <c r="F1779" s="6" t="s">
        <v>13</v>
      </c>
      <c r="G1779" s="6"/>
      <c r="H1779" s="6"/>
      <c r="I1779" s="6" t="s">
        <v>957</v>
      </c>
      <c r="J1779" s="6"/>
      <c r="K1779" s="6"/>
      <c r="L1779" s="6" t="s">
        <v>4441</v>
      </c>
      <c r="M1779" s="6"/>
      <c r="N1779" s="6" t="s">
        <v>4442</v>
      </c>
      <c r="O1779" s="6" t="str">
        <f>HYPERLINK("https://ceds.ed.gov/cedselementdetails.aspx?termid=6162")</f>
        <v>https://ceds.ed.gov/cedselementdetails.aspx?termid=6162</v>
      </c>
      <c r="P1779" s="6" t="str">
        <f>HYPERLINK("https://ceds.ed.gov/elementComment.aspx?elementName=Peer Rating System Maximum Value &amp;elementID=6162", "Click here to submit comment")</f>
        <v>Click here to submit comment</v>
      </c>
    </row>
    <row r="1780" spans="1:16" ht="45">
      <c r="A1780" s="6" t="s">
        <v>6788</v>
      </c>
      <c r="B1780" s="6" t="s">
        <v>6866</v>
      </c>
      <c r="C1780" s="6" t="s">
        <v>6868</v>
      </c>
      <c r="D1780" s="6" t="s">
        <v>4443</v>
      </c>
      <c r="E1780" s="6" t="s">
        <v>4444</v>
      </c>
      <c r="F1780" s="6" t="s">
        <v>13</v>
      </c>
      <c r="G1780" s="6"/>
      <c r="H1780" s="6"/>
      <c r="I1780" s="6" t="s">
        <v>957</v>
      </c>
      <c r="J1780" s="6"/>
      <c r="K1780" s="6"/>
      <c r="L1780" s="6" t="s">
        <v>4445</v>
      </c>
      <c r="M1780" s="6"/>
      <c r="N1780" s="6" t="s">
        <v>4446</v>
      </c>
      <c r="O1780" s="6" t="str">
        <f>HYPERLINK("https://ceds.ed.gov/cedselementdetails.aspx?termid=6163")</f>
        <v>https://ceds.ed.gov/cedselementdetails.aspx?termid=6163</v>
      </c>
      <c r="P1780" s="6" t="str">
        <f>HYPERLINK("https://ceds.ed.gov/elementComment.aspx?elementName=Peer Rating System Minimum Value &amp;elementID=6163", "Click here to submit comment")</f>
        <v>Click here to submit comment</v>
      </c>
    </row>
    <row r="1781" spans="1:16" ht="30">
      <c r="A1781" s="6" t="s">
        <v>6788</v>
      </c>
      <c r="B1781" s="6" t="s">
        <v>6866</v>
      </c>
      <c r="C1781" s="6" t="s">
        <v>6868</v>
      </c>
      <c r="D1781" s="6" t="s">
        <v>4447</v>
      </c>
      <c r="E1781" s="6" t="s">
        <v>4448</v>
      </c>
      <c r="F1781" s="6" t="s">
        <v>13</v>
      </c>
      <c r="G1781" s="6"/>
      <c r="H1781" s="6"/>
      <c r="I1781" s="6" t="s">
        <v>106</v>
      </c>
      <c r="J1781" s="6"/>
      <c r="K1781" s="6"/>
      <c r="L1781" s="6" t="s">
        <v>4449</v>
      </c>
      <c r="M1781" s="6"/>
      <c r="N1781" s="6" t="s">
        <v>4450</v>
      </c>
      <c r="O1781" s="6" t="str">
        <f>HYPERLINK("https://ceds.ed.gov/cedselementdetails.aspx?termid=6160")</f>
        <v>https://ceds.ed.gov/cedselementdetails.aspx?termid=6160</v>
      </c>
      <c r="P1781" s="6" t="str">
        <f>HYPERLINK("https://ceds.ed.gov/elementComment.aspx?elementName=Peer Rating System Name &amp;elementID=6160", "Click here to submit comment")</f>
        <v>Click here to submit comment</v>
      </c>
    </row>
    <row r="1782" spans="1:16" ht="75">
      <c r="A1782" s="6" t="s">
        <v>6788</v>
      </c>
      <c r="B1782" s="6" t="s">
        <v>6866</v>
      </c>
      <c r="C1782" s="6" t="s">
        <v>6868</v>
      </c>
      <c r="D1782" s="6" t="s">
        <v>4451</v>
      </c>
      <c r="E1782" s="6" t="s">
        <v>4452</v>
      </c>
      <c r="F1782" s="6" t="s">
        <v>13</v>
      </c>
      <c r="G1782" s="6"/>
      <c r="H1782" s="6"/>
      <c r="I1782" s="6" t="s">
        <v>957</v>
      </c>
      <c r="J1782" s="6"/>
      <c r="K1782" s="6"/>
      <c r="L1782" s="6" t="s">
        <v>4453</v>
      </c>
      <c r="M1782" s="6"/>
      <c r="N1782" s="6" t="s">
        <v>4454</v>
      </c>
      <c r="O1782" s="6" t="str">
        <f>HYPERLINK("https://ceds.ed.gov/cedselementdetails.aspx?termid=6164")</f>
        <v>https://ceds.ed.gov/cedselementdetails.aspx?termid=6164</v>
      </c>
      <c r="P1782" s="6" t="str">
        <f>HYPERLINK("https://ceds.ed.gov/elementComment.aspx?elementName=Peer Rating System Optimum Value &amp;elementID=6164", "Click here to submit comment")</f>
        <v>Click here to submit comment</v>
      </c>
    </row>
    <row r="1783" spans="1:16" ht="30">
      <c r="A1783" s="6" t="s">
        <v>6788</v>
      </c>
      <c r="B1783" s="6" t="s">
        <v>6855</v>
      </c>
      <c r="C1783" s="6"/>
      <c r="D1783" s="6" t="s">
        <v>3528</v>
      </c>
      <c r="E1783" s="6" t="s">
        <v>3529</v>
      </c>
      <c r="F1783" s="6" t="s">
        <v>13</v>
      </c>
      <c r="G1783" s="6"/>
      <c r="H1783" s="6"/>
      <c r="I1783" s="6" t="s">
        <v>73</v>
      </c>
      <c r="J1783" s="6"/>
      <c r="K1783" s="6"/>
      <c r="L1783" s="6" t="s">
        <v>3530</v>
      </c>
      <c r="M1783" s="6"/>
      <c r="N1783" s="6" t="s">
        <v>3531</v>
      </c>
      <c r="O1783" s="6" t="str">
        <f>HYPERLINK("https://ceds.ed.gov/cedselementdetails.aspx?termid=6170")</f>
        <v>https://ceds.ed.gov/cedselementdetails.aspx?termid=6170</v>
      </c>
      <c r="P1783" s="6" t="str">
        <f>HYPERLINK("https://ceds.ed.gov/elementComment.aspx?elementName=Learning Goal End Date &amp;elementID=6170", "Click here to submit comment")</f>
        <v>Click here to submit comment</v>
      </c>
    </row>
    <row r="1784" spans="1:16" ht="30">
      <c r="A1784" s="6" t="s">
        <v>6788</v>
      </c>
      <c r="B1784" s="6" t="s">
        <v>6855</v>
      </c>
      <c r="C1784" s="6"/>
      <c r="D1784" s="6" t="s">
        <v>3532</v>
      </c>
      <c r="E1784" s="6" t="s">
        <v>3533</v>
      </c>
      <c r="F1784" s="6" t="s">
        <v>13</v>
      </c>
      <c r="G1784" s="6"/>
      <c r="H1784" s="6"/>
      <c r="I1784" s="6" t="s">
        <v>73</v>
      </c>
      <c r="J1784" s="6"/>
      <c r="K1784" s="6"/>
      <c r="L1784" s="6" t="s">
        <v>3534</v>
      </c>
      <c r="M1784" s="6"/>
      <c r="N1784" s="6" t="s">
        <v>3535</v>
      </c>
      <c r="O1784" s="6" t="str">
        <f>HYPERLINK("https://ceds.ed.gov/cedselementdetails.aspx?termid=6169")</f>
        <v>https://ceds.ed.gov/cedselementdetails.aspx?termid=6169</v>
      </c>
      <c r="P1784" s="6" t="str">
        <f>HYPERLINK("https://ceds.ed.gov/elementComment.aspx?elementName=Learning Goal Start Date &amp;elementID=6169", "Click here to submit comment")</f>
        <v>Click here to submit comment</v>
      </c>
    </row>
    <row r="1785" spans="1:16" ht="30">
      <c r="A1785" s="6" t="s">
        <v>6788</v>
      </c>
      <c r="B1785" s="6" t="s">
        <v>6854</v>
      </c>
      <c r="C1785" s="6"/>
      <c r="D1785" s="6" t="s">
        <v>143</v>
      </c>
      <c r="E1785" s="6" t="s">
        <v>144</v>
      </c>
      <c r="F1785" s="6" t="s">
        <v>13</v>
      </c>
      <c r="G1785" s="6"/>
      <c r="H1785" s="6"/>
      <c r="I1785" s="6" t="s">
        <v>93</v>
      </c>
      <c r="J1785" s="6"/>
      <c r="K1785" s="6"/>
      <c r="L1785" s="6" t="s">
        <v>145</v>
      </c>
      <c r="M1785" s="6"/>
      <c r="N1785" s="6" t="s">
        <v>146</v>
      </c>
      <c r="O1785" s="6" t="str">
        <f>HYPERLINK("https://ceds.ed.gov/cedselementdetails.aspx?termid=5893")</f>
        <v>https://ceds.ed.gov/cedselementdetails.aspx?termid=5893</v>
      </c>
      <c r="P1785" s="6" t="str">
        <f>HYPERLINK("https://ceds.ed.gov/elementComment.aspx?elementName=Achievement Title &amp;elementID=5893", "Click here to submit comment")</f>
        <v>Click here to submit comment</v>
      </c>
    </row>
    <row r="1786" spans="1:16" ht="30">
      <c r="A1786" s="6" t="s">
        <v>6788</v>
      </c>
      <c r="B1786" s="6" t="s">
        <v>6854</v>
      </c>
      <c r="C1786" s="6"/>
      <c r="D1786" s="6" t="s">
        <v>122</v>
      </c>
      <c r="E1786" s="6" t="s">
        <v>123</v>
      </c>
      <c r="F1786" s="6" t="s">
        <v>13</v>
      </c>
      <c r="G1786" s="6"/>
      <c r="H1786" s="6"/>
      <c r="I1786" s="6" t="s">
        <v>93</v>
      </c>
      <c r="J1786" s="6"/>
      <c r="K1786" s="6"/>
      <c r="L1786" s="6" t="s">
        <v>124</v>
      </c>
      <c r="M1786" s="6"/>
      <c r="N1786" s="6" t="s">
        <v>125</v>
      </c>
      <c r="O1786" s="6" t="str">
        <f>HYPERLINK("https://ceds.ed.gov/cedselementdetails.aspx?termid=5895")</f>
        <v>https://ceds.ed.gov/cedselementdetails.aspx?termid=5895</v>
      </c>
      <c r="P1786" s="6" t="str">
        <f>HYPERLINK("https://ceds.ed.gov/elementComment.aspx?elementName=Achievement Description &amp;elementID=5895", "Click here to submit comment")</f>
        <v>Click here to submit comment</v>
      </c>
    </row>
    <row r="1787" spans="1:16" ht="30">
      <c r="A1787" s="6" t="s">
        <v>6788</v>
      </c>
      <c r="B1787" s="6" t="s">
        <v>6854</v>
      </c>
      <c r="C1787" s="6"/>
      <c r="D1787" s="6" t="s">
        <v>139</v>
      </c>
      <c r="E1787" s="6" t="s">
        <v>140</v>
      </c>
      <c r="F1787" s="6" t="s">
        <v>13</v>
      </c>
      <c r="G1787" s="6"/>
      <c r="H1787" s="6"/>
      <c r="I1787" s="6" t="s">
        <v>73</v>
      </c>
      <c r="J1787" s="6"/>
      <c r="K1787" s="6"/>
      <c r="L1787" s="6" t="s">
        <v>141</v>
      </c>
      <c r="M1787" s="6"/>
      <c r="N1787" s="6" t="s">
        <v>142</v>
      </c>
      <c r="O1787" s="6" t="str">
        <f>HYPERLINK("https://ceds.ed.gov/cedselementdetails.aspx?termid=6120")</f>
        <v>https://ceds.ed.gov/cedselementdetails.aspx?termid=6120</v>
      </c>
      <c r="P1787" s="6" t="str">
        <f>HYPERLINK("https://ceds.ed.gov/elementComment.aspx?elementName=Achievement Start Date &amp;elementID=6120", "Click here to submit comment")</f>
        <v>Click here to submit comment</v>
      </c>
    </row>
    <row r="1788" spans="1:16" ht="45">
      <c r="A1788" s="6" t="s">
        <v>6788</v>
      </c>
      <c r="B1788" s="6" t="s">
        <v>6854</v>
      </c>
      <c r="C1788" s="6"/>
      <c r="D1788" s="6" t="s">
        <v>126</v>
      </c>
      <c r="E1788" s="6" t="s">
        <v>127</v>
      </c>
      <c r="F1788" s="6" t="s">
        <v>13</v>
      </c>
      <c r="G1788" s="6"/>
      <c r="H1788" s="6"/>
      <c r="I1788" s="6" t="s">
        <v>73</v>
      </c>
      <c r="J1788" s="6"/>
      <c r="K1788" s="6"/>
      <c r="L1788" s="6" t="s">
        <v>128</v>
      </c>
      <c r="M1788" s="6"/>
      <c r="N1788" s="6" t="s">
        <v>129</v>
      </c>
      <c r="O1788" s="6" t="str">
        <f>HYPERLINK("https://ceds.ed.gov/cedselementdetails.aspx?termid=6121")</f>
        <v>https://ceds.ed.gov/cedselementdetails.aspx?termid=6121</v>
      </c>
      <c r="P1788" s="6" t="str">
        <f>HYPERLINK("https://ceds.ed.gov/elementComment.aspx?elementName=Achievement End Date &amp;elementID=6121", "Click here to submit comment")</f>
        <v>Click here to submit comment</v>
      </c>
    </row>
    <row r="1789" spans="1:16" ht="45">
      <c r="A1789" s="6" t="s">
        <v>6788</v>
      </c>
      <c r="B1789" s="6" t="s">
        <v>6854</v>
      </c>
      <c r="C1789" s="6"/>
      <c r="D1789" s="6" t="s">
        <v>86</v>
      </c>
      <c r="E1789" s="6" t="s">
        <v>87</v>
      </c>
      <c r="F1789" s="6" t="s">
        <v>13</v>
      </c>
      <c r="G1789" s="6"/>
      <c r="H1789" s="6"/>
      <c r="I1789" s="6" t="s">
        <v>88</v>
      </c>
      <c r="J1789" s="6"/>
      <c r="K1789" s="6"/>
      <c r="L1789" s="6" t="s">
        <v>89</v>
      </c>
      <c r="M1789" s="6"/>
      <c r="N1789" s="6" t="s">
        <v>90</v>
      </c>
      <c r="O1789" s="6" t="str">
        <f>HYPERLINK("https://ceds.ed.gov/cedselementdetails.aspx?termid=5898")</f>
        <v>https://ceds.ed.gov/cedselementdetails.aspx?termid=5898</v>
      </c>
      <c r="P1789" s="6" t="str">
        <f>HYPERLINK("https://ceds.ed.gov/elementComment.aspx?elementName=Achievement Award Issuer Name &amp;elementID=5898", "Click here to submit comment")</f>
        <v>Click here to submit comment</v>
      </c>
    </row>
    <row r="1790" spans="1:16" ht="45">
      <c r="A1790" s="6" t="s">
        <v>6788</v>
      </c>
      <c r="B1790" s="6" t="s">
        <v>6854</v>
      </c>
      <c r="C1790" s="6"/>
      <c r="D1790" s="6" t="s">
        <v>91</v>
      </c>
      <c r="E1790" s="6" t="s">
        <v>92</v>
      </c>
      <c r="F1790" s="6" t="s">
        <v>13</v>
      </c>
      <c r="G1790" s="6"/>
      <c r="H1790" s="6" t="s">
        <v>66</v>
      </c>
      <c r="I1790" s="6" t="s">
        <v>93</v>
      </c>
      <c r="J1790" s="6" t="s">
        <v>94</v>
      </c>
      <c r="K1790" s="6" t="s">
        <v>95</v>
      </c>
      <c r="L1790" s="6" t="s">
        <v>96</v>
      </c>
      <c r="M1790" s="6"/>
      <c r="N1790" s="6" t="s">
        <v>97</v>
      </c>
      <c r="O1790" s="6" t="str">
        <f>HYPERLINK("https://ceds.ed.gov/cedselementdetails.aspx?termid=5900")</f>
        <v>https://ceds.ed.gov/cedselementdetails.aspx?termid=5900</v>
      </c>
      <c r="P1790" s="6" t="str">
        <f>HYPERLINK("https://ceds.ed.gov/elementComment.aspx?elementName=Achievement Award Issuer Origin URL &amp;elementID=5900", "Click here to submit comment")</f>
        <v>Click here to submit comment</v>
      </c>
    </row>
    <row r="1791" spans="1:16" ht="75">
      <c r="A1791" s="6" t="s">
        <v>6788</v>
      </c>
      <c r="B1791" s="6" t="s">
        <v>6854</v>
      </c>
      <c r="C1791" s="6"/>
      <c r="D1791" s="6" t="s">
        <v>98</v>
      </c>
      <c r="E1791" s="6" t="s">
        <v>99</v>
      </c>
      <c r="F1791" s="6" t="s">
        <v>13</v>
      </c>
      <c r="G1791" s="6"/>
      <c r="H1791" s="6"/>
      <c r="I1791" s="6" t="s">
        <v>100</v>
      </c>
      <c r="J1791" s="6"/>
      <c r="K1791" s="6" t="s">
        <v>101</v>
      </c>
      <c r="L1791" s="6" t="s">
        <v>102</v>
      </c>
      <c r="M1791" s="6"/>
      <c r="N1791" s="6" t="s">
        <v>103</v>
      </c>
      <c r="O1791" s="6" t="str">
        <f>HYPERLINK("https://ceds.ed.gov/cedselementdetails.aspx?termid=6211")</f>
        <v>https://ceds.ed.gov/cedselementdetails.aspx?termid=6211</v>
      </c>
      <c r="P1791" s="6" t="str">
        <f>HYPERLINK("https://ceds.ed.gov/elementComment.aspx?elementName=Achievement Category System &amp;elementID=6211", "Click here to submit comment")</f>
        <v>Click here to submit comment</v>
      </c>
    </row>
    <row r="1792" spans="1:16" ht="270">
      <c r="A1792" s="6" t="s">
        <v>6788</v>
      </c>
      <c r="B1792" s="6" t="s">
        <v>6854</v>
      </c>
      <c r="C1792" s="6"/>
      <c r="D1792" s="6" t="s">
        <v>104</v>
      </c>
      <c r="E1792" s="6" t="s">
        <v>105</v>
      </c>
      <c r="F1792" s="6" t="s">
        <v>13</v>
      </c>
      <c r="G1792" s="6"/>
      <c r="H1792" s="6"/>
      <c r="I1792" s="6" t="s">
        <v>106</v>
      </c>
      <c r="J1792" s="6"/>
      <c r="K1792" s="6" t="s">
        <v>107</v>
      </c>
      <c r="L1792" s="6" t="s">
        <v>108</v>
      </c>
      <c r="M1792" s="6"/>
      <c r="N1792" s="6" t="s">
        <v>109</v>
      </c>
      <c r="O1792" s="6" t="str">
        <f>HYPERLINK("https://ceds.ed.gov/cedselementdetails.aspx?termid=5892")</f>
        <v>https://ceds.ed.gov/cedselementdetails.aspx?termid=5892</v>
      </c>
      <c r="P1792" s="6" t="str">
        <f>HYPERLINK("https://ceds.ed.gov/elementComment.aspx?elementName=Achievement Category Type &amp;elementID=5892", "Click here to submit comment")</f>
        <v>Click here to submit comment</v>
      </c>
    </row>
    <row r="1793" spans="1:16" ht="60">
      <c r="A1793" s="6" t="s">
        <v>6788</v>
      </c>
      <c r="B1793" s="6" t="s">
        <v>6854</v>
      </c>
      <c r="C1793" s="6"/>
      <c r="D1793" s="6" t="s">
        <v>134</v>
      </c>
      <c r="E1793" s="6" t="s">
        <v>135</v>
      </c>
      <c r="F1793" s="6" t="s">
        <v>13</v>
      </c>
      <c r="G1793" s="6"/>
      <c r="H1793" s="6"/>
      <c r="I1793" s="6" t="s">
        <v>93</v>
      </c>
      <c r="J1793" s="6"/>
      <c r="K1793" s="6" t="s">
        <v>136</v>
      </c>
      <c r="L1793" s="6" t="s">
        <v>137</v>
      </c>
      <c r="M1793" s="6"/>
      <c r="N1793" s="6" t="s">
        <v>138</v>
      </c>
      <c r="O1793" s="6" t="str">
        <f>HYPERLINK("https://ceds.ed.gov/cedselementdetails.aspx?termid=5894")</f>
        <v>https://ceds.ed.gov/cedselementdetails.aspx?termid=5894</v>
      </c>
      <c r="P1793" s="6" t="str">
        <f>HYPERLINK("https://ceds.ed.gov/elementComment.aspx?elementName=Achievement Image URL &amp;elementID=5894", "Click here to submit comment")</f>
        <v>Click here to submit comment</v>
      </c>
    </row>
    <row r="1794" spans="1:16" ht="30">
      <c r="A1794" s="6" t="s">
        <v>6788</v>
      </c>
      <c r="B1794" s="6" t="s">
        <v>6854</v>
      </c>
      <c r="C1794" s="6"/>
      <c r="D1794" s="6" t="s">
        <v>110</v>
      </c>
      <c r="E1794" s="6" t="s">
        <v>111</v>
      </c>
      <c r="F1794" s="6" t="s">
        <v>13</v>
      </c>
      <c r="G1794" s="6"/>
      <c r="H1794" s="6"/>
      <c r="I1794" s="6" t="s">
        <v>93</v>
      </c>
      <c r="J1794" s="6"/>
      <c r="K1794" s="6"/>
      <c r="L1794" s="6" t="s">
        <v>112</v>
      </c>
      <c r="M1794" s="6"/>
      <c r="N1794" s="6" t="s">
        <v>113</v>
      </c>
      <c r="O1794" s="6" t="str">
        <f>HYPERLINK("https://ceds.ed.gov/cedselementdetails.aspx?termid=5896")</f>
        <v>https://ceds.ed.gov/cedselementdetails.aspx?termid=5896</v>
      </c>
      <c r="P1794" s="6" t="str">
        <f>HYPERLINK("https://ceds.ed.gov/elementComment.aspx?elementName=Achievement Criteria &amp;elementID=5896", "Click here to submit comment")</f>
        <v>Click here to submit comment</v>
      </c>
    </row>
    <row r="1795" spans="1:16" ht="75">
      <c r="A1795" s="6" t="s">
        <v>6788</v>
      </c>
      <c r="B1795" s="6" t="s">
        <v>6854</v>
      </c>
      <c r="C1795" s="6"/>
      <c r="D1795" s="6" t="s">
        <v>114</v>
      </c>
      <c r="E1795" s="6" t="s">
        <v>115</v>
      </c>
      <c r="F1795" s="6" t="s">
        <v>13</v>
      </c>
      <c r="G1795" s="6"/>
      <c r="H1795" s="6"/>
      <c r="I1795" s="6" t="s">
        <v>93</v>
      </c>
      <c r="J1795" s="6"/>
      <c r="K1795" s="6"/>
      <c r="L1795" s="6" t="s">
        <v>116</v>
      </c>
      <c r="M1795" s="6"/>
      <c r="N1795" s="6" t="s">
        <v>117</v>
      </c>
      <c r="O1795" s="6" t="str">
        <f>HYPERLINK("https://ceds.ed.gov/cedselementdetails.aspx?termid=6113")</f>
        <v>https://ceds.ed.gov/cedselementdetails.aspx?termid=6113</v>
      </c>
      <c r="P1795" s="6" t="str">
        <f>HYPERLINK("https://ceds.ed.gov/elementComment.aspx?elementName=Achievement Criteria URL &amp;elementID=6113", "Click here to submit comment")</f>
        <v>Click here to submit comment</v>
      </c>
    </row>
    <row r="1796" spans="1:16" ht="60">
      <c r="A1796" s="6" t="s">
        <v>6788</v>
      </c>
      <c r="B1796" s="6" t="s">
        <v>6854</v>
      </c>
      <c r="C1796" s="6"/>
      <c r="D1796" s="6" t="s">
        <v>130</v>
      </c>
      <c r="E1796" s="6" t="s">
        <v>131</v>
      </c>
      <c r="F1796" s="6" t="s">
        <v>13</v>
      </c>
      <c r="G1796" s="6"/>
      <c r="H1796" s="6"/>
      <c r="I1796" s="6" t="s">
        <v>93</v>
      </c>
      <c r="J1796" s="6"/>
      <c r="K1796" s="6"/>
      <c r="L1796" s="6" t="s">
        <v>132</v>
      </c>
      <c r="M1796" s="6"/>
      <c r="N1796" s="6" t="s">
        <v>133</v>
      </c>
      <c r="O1796" s="6" t="str">
        <f>HYPERLINK("https://ceds.ed.gov/cedselementdetails.aspx?termid=5901")</f>
        <v>https://ceds.ed.gov/cedselementdetails.aspx?termid=5901</v>
      </c>
      <c r="P1796" s="6" t="str">
        <f>HYPERLINK("https://ceds.ed.gov/elementComment.aspx?elementName=Achievement Evidence Statement &amp;elementID=5901", "Click here to submit comment")</f>
        <v>Click here to submit comment</v>
      </c>
    </row>
    <row r="1797" spans="1:16" ht="120">
      <c r="A1797" s="6" t="s">
        <v>6788</v>
      </c>
      <c r="B1797" s="6" t="s">
        <v>6754</v>
      </c>
      <c r="C1797" s="6"/>
      <c r="D1797" s="6" t="s">
        <v>2598</v>
      </c>
      <c r="E1797" s="6" t="s">
        <v>2599</v>
      </c>
      <c r="F1797" s="6" t="s">
        <v>13</v>
      </c>
      <c r="G1797" s="6"/>
      <c r="H1797" s="6"/>
      <c r="I1797" s="6" t="s">
        <v>149</v>
      </c>
      <c r="J1797" s="6"/>
      <c r="K1797" s="6"/>
      <c r="L1797" s="6" t="s">
        <v>2600</v>
      </c>
      <c r="M1797" s="6"/>
      <c r="N1797" s="6" t="s">
        <v>2601</v>
      </c>
      <c r="O1797" s="6" t="str">
        <f>HYPERLINK("https://ceds.ed.gov/cedselementdetails.aspx?termid=5495")</f>
        <v>https://ceds.ed.gov/cedselementdetails.aspx?termid=5495</v>
      </c>
      <c r="P1797" s="6" t="str">
        <f>HYPERLINK("https://ceds.ed.gov/elementComment.aspx?elementName=Facilities Identifier &amp;elementID=5495", "Click here to submit comment")</f>
        <v>Click here to submit comment</v>
      </c>
    </row>
    <row r="1798" spans="1:16" ht="45">
      <c r="A1798" s="6" t="s">
        <v>6788</v>
      </c>
      <c r="B1798" s="6" t="s">
        <v>6754</v>
      </c>
      <c r="C1798" s="6"/>
      <c r="D1798" s="6" t="s">
        <v>4349</v>
      </c>
      <c r="E1798" s="6" t="s">
        <v>4350</v>
      </c>
      <c r="F1798" s="6" t="s">
        <v>13</v>
      </c>
      <c r="G1798" s="6" t="s">
        <v>202</v>
      </c>
      <c r="H1798" s="6" t="s">
        <v>3</v>
      </c>
      <c r="I1798" s="6" t="s">
        <v>106</v>
      </c>
      <c r="J1798" s="6"/>
      <c r="K1798" s="6"/>
      <c r="L1798" s="6" t="s">
        <v>4351</v>
      </c>
      <c r="M1798" s="6"/>
      <c r="N1798" s="6" t="s">
        <v>4352</v>
      </c>
      <c r="O1798" s="6" t="str">
        <f>HYPERLINK("https://ceds.ed.gov/cedselementdetails.aspx?termid=5204")</f>
        <v>https://ceds.ed.gov/cedselementdetails.aspx?termid=5204</v>
      </c>
      <c r="P1798" s="6" t="str">
        <f>HYPERLINK("https://ceds.ed.gov/elementComment.aspx?elementName=Organization Name &amp;elementID=5204", "Click here to submit comment")</f>
        <v>Click here to submit comment</v>
      </c>
    </row>
    <row r="1799" spans="1:16" ht="60">
      <c r="A1799" s="6" t="s">
        <v>6788</v>
      </c>
      <c r="B1799" s="6" t="s">
        <v>6754</v>
      </c>
      <c r="C1799" s="6"/>
      <c r="D1799" s="6" t="s">
        <v>4341</v>
      </c>
      <c r="E1799" s="6" t="s">
        <v>4342</v>
      </c>
      <c r="F1799" s="6" t="s">
        <v>13</v>
      </c>
      <c r="G1799" s="6" t="s">
        <v>65</v>
      </c>
      <c r="H1799" s="6" t="s">
        <v>3</v>
      </c>
      <c r="I1799" s="6" t="s">
        <v>100</v>
      </c>
      <c r="J1799" s="6"/>
      <c r="K1799" s="6"/>
      <c r="L1799" s="6" t="s">
        <v>4343</v>
      </c>
      <c r="M1799" s="6"/>
      <c r="N1799" s="6" t="s">
        <v>4344</v>
      </c>
      <c r="O1799" s="6" t="str">
        <f>HYPERLINK("https://ceds.ed.gov/cedselementdetails.aspx?termid=5825")</f>
        <v>https://ceds.ed.gov/cedselementdetails.aspx?termid=5825</v>
      </c>
      <c r="P1799" s="6" t="str">
        <f>HYPERLINK("https://ceds.ed.gov/elementComment.aspx?elementName=Organization Identifier &amp;elementID=5825", "Click here to submit comment")</f>
        <v>Click here to submit comment</v>
      </c>
    </row>
    <row r="1800" spans="1:16" ht="315">
      <c r="A1800" s="6" t="s">
        <v>6788</v>
      </c>
      <c r="B1800" s="6" t="s">
        <v>6754</v>
      </c>
      <c r="C1800" s="6"/>
      <c r="D1800" s="6" t="s">
        <v>4337</v>
      </c>
      <c r="E1800" s="6" t="s">
        <v>4338</v>
      </c>
      <c r="F1800" s="7" t="s">
        <v>6364</v>
      </c>
      <c r="G1800" s="6" t="s">
        <v>65</v>
      </c>
      <c r="H1800" s="6" t="s">
        <v>66</v>
      </c>
      <c r="I1800" s="6"/>
      <c r="J1800" s="6" t="s">
        <v>2309</v>
      </c>
      <c r="K1800" s="6"/>
      <c r="L1800" s="6" t="s">
        <v>4339</v>
      </c>
      <c r="M1800" s="6"/>
      <c r="N1800" s="6" t="s">
        <v>4340</v>
      </c>
      <c r="O1800" s="6" t="str">
        <f>HYPERLINK("https://ceds.ed.gov/cedselementdetails.aspx?termid=5827")</f>
        <v>https://ceds.ed.gov/cedselementdetails.aspx?termid=5827</v>
      </c>
      <c r="P1800" s="6" t="str">
        <f>HYPERLINK("https://ceds.ed.gov/elementComment.aspx?elementName=Organization Identification System &amp;elementID=5827", "Click here to submit comment")</f>
        <v>Click here to submit comment</v>
      </c>
    </row>
    <row r="1801" spans="1:16" ht="90">
      <c r="A1801" s="6" t="s">
        <v>6788</v>
      </c>
      <c r="B1801" s="6" t="s">
        <v>6754</v>
      </c>
      <c r="C1801" s="6"/>
      <c r="D1801" s="6" t="s">
        <v>196</v>
      </c>
      <c r="E1801" s="6" t="s">
        <v>197</v>
      </c>
      <c r="F1801" s="7" t="s">
        <v>6354</v>
      </c>
      <c r="G1801" s="6" t="s">
        <v>5968</v>
      </c>
      <c r="H1801" s="6" t="s">
        <v>3</v>
      </c>
      <c r="I1801" s="6" t="s">
        <v>100</v>
      </c>
      <c r="J1801" s="6"/>
      <c r="K1801" s="6"/>
      <c r="L1801" s="6" t="s">
        <v>198</v>
      </c>
      <c r="M1801" s="6"/>
      <c r="N1801" s="6" t="s">
        <v>199</v>
      </c>
      <c r="O1801" s="6" t="str">
        <f>HYPERLINK("https://ceds.ed.gov/cedselementdetails.aspx?termid=5644")</f>
        <v>https://ceds.ed.gov/cedselementdetails.aspx?termid=5644</v>
      </c>
      <c r="P1801" s="6" t="str">
        <f>HYPERLINK("https://ceds.ed.gov/elementComment.aspx?elementName=Address Type for Organization &amp;elementID=5644", "Click here to submit comment")</f>
        <v>Click here to submit comment</v>
      </c>
    </row>
    <row r="1802" spans="1:16" ht="225">
      <c r="A1802" s="6" t="s">
        <v>6788</v>
      </c>
      <c r="B1802" s="6" t="s">
        <v>6754</v>
      </c>
      <c r="C1802" s="6"/>
      <c r="D1802" s="6" t="s">
        <v>187</v>
      </c>
      <c r="E1802" s="6" t="s">
        <v>188</v>
      </c>
      <c r="F1802" s="6" t="s">
        <v>13</v>
      </c>
      <c r="G1802" s="6" t="s">
        <v>5973</v>
      </c>
      <c r="H1802" s="6" t="s">
        <v>3</v>
      </c>
      <c r="I1802" s="6" t="s">
        <v>149</v>
      </c>
      <c r="J1802" s="6"/>
      <c r="K1802" s="6"/>
      <c r="L1802" s="6" t="s">
        <v>189</v>
      </c>
      <c r="M1802" s="6"/>
      <c r="N1802" s="6" t="s">
        <v>190</v>
      </c>
      <c r="O1802" s="6" t="str">
        <f>HYPERLINK("https://ceds.ed.gov/cedselementdetails.aspx?termid=5269")</f>
        <v>https://ceds.ed.gov/cedselementdetails.aspx?termid=5269</v>
      </c>
      <c r="P1802" s="6" t="str">
        <f>HYPERLINK("https://ceds.ed.gov/elementComment.aspx?elementName=Address Street Number and Name &amp;elementID=5269", "Click here to submit comment")</f>
        <v>Click here to submit comment</v>
      </c>
    </row>
    <row r="1803" spans="1:16" ht="225">
      <c r="A1803" s="6" t="s">
        <v>6788</v>
      </c>
      <c r="B1803" s="6" t="s">
        <v>6754</v>
      </c>
      <c r="C1803" s="6"/>
      <c r="D1803" s="6" t="s">
        <v>170</v>
      </c>
      <c r="E1803" s="6" t="s">
        <v>171</v>
      </c>
      <c r="F1803" s="6" t="s">
        <v>13</v>
      </c>
      <c r="G1803" s="6" t="s">
        <v>5973</v>
      </c>
      <c r="H1803" s="6" t="s">
        <v>3</v>
      </c>
      <c r="I1803" s="6" t="s">
        <v>100</v>
      </c>
      <c r="J1803" s="6"/>
      <c r="K1803" s="6"/>
      <c r="L1803" s="6" t="s">
        <v>172</v>
      </c>
      <c r="M1803" s="6"/>
      <c r="N1803" s="6" t="s">
        <v>173</v>
      </c>
      <c r="O1803" s="6" t="str">
        <f>HYPERLINK("https://ceds.ed.gov/cedselementdetails.aspx?termid=5019")</f>
        <v>https://ceds.ed.gov/cedselementdetails.aspx?termid=5019</v>
      </c>
      <c r="P1803" s="6" t="str">
        <f>HYPERLINK("https://ceds.ed.gov/elementComment.aspx?elementName=Address Apartment Room or Suite Number &amp;elementID=5019", "Click here to submit comment")</f>
        <v>Click here to submit comment</v>
      </c>
    </row>
    <row r="1804" spans="1:16" ht="225">
      <c r="A1804" s="6" t="s">
        <v>6788</v>
      </c>
      <c r="B1804" s="6" t="s">
        <v>6754</v>
      </c>
      <c r="C1804" s="6"/>
      <c r="D1804" s="6" t="s">
        <v>174</v>
      </c>
      <c r="E1804" s="6" t="s">
        <v>175</v>
      </c>
      <c r="F1804" s="6" t="s">
        <v>13</v>
      </c>
      <c r="G1804" s="6" t="s">
        <v>5973</v>
      </c>
      <c r="H1804" s="6" t="s">
        <v>3</v>
      </c>
      <c r="I1804" s="6" t="s">
        <v>100</v>
      </c>
      <c r="J1804" s="6"/>
      <c r="K1804" s="6"/>
      <c r="L1804" s="6" t="s">
        <v>176</v>
      </c>
      <c r="M1804" s="6"/>
      <c r="N1804" s="6" t="s">
        <v>177</v>
      </c>
      <c r="O1804" s="6" t="str">
        <f>HYPERLINK("https://ceds.ed.gov/cedselementdetails.aspx?termid=5040")</f>
        <v>https://ceds.ed.gov/cedselementdetails.aspx?termid=5040</v>
      </c>
      <c r="P1804" s="6" t="str">
        <f>HYPERLINK("https://ceds.ed.gov/elementComment.aspx?elementName=Address City &amp;elementID=5040", "Click here to submit comment")</f>
        <v>Click here to submit comment</v>
      </c>
    </row>
    <row r="1805" spans="1:16" ht="409.5">
      <c r="A1805" s="6" t="s">
        <v>6788</v>
      </c>
      <c r="B1805" s="6" t="s">
        <v>6754</v>
      </c>
      <c r="C1805" s="6"/>
      <c r="D1805" s="6" t="s">
        <v>5533</v>
      </c>
      <c r="E1805" s="6" t="s">
        <v>5534</v>
      </c>
      <c r="F1805" s="7" t="s">
        <v>6633</v>
      </c>
      <c r="G1805" s="6" t="s">
        <v>6324</v>
      </c>
      <c r="H1805" s="6" t="s">
        <v>3</v>
      </c>
      <c r="I1805" s="6"/>
      <c r="J1805" s="6"/>
      <c r="K1805" s="6"/>
      <c r="L1805" s="6" t="s">
        <v>5535</v>
      </c>
      <c r="M1805" s="6"/>
      <c r="N1805" s="6" t="s">
        <v>5536</v>
      </c>
      <c r="O1805" s="6" t="str">
        <f>HYPERLINK("https://ceds.ed.gov/cedselementdetails.aspx?termid=5267")</f>
        <v>https://ceds.ed.gov/cedselementdetails.aspx?termid=5267</v>
      </c>
      <c r="P1805" s="6" t="str">
        <f>HYPERLINK("https://ceds.ed.gov/elementComment.aspx?elementName=State Abbreviation &amp;elementID=5267", "Click here to submit comment")</f>
        <v>Click here to submit comment</v>
      </c>
    </row>
    <row r="1806" spans="1:16" ht="225">
      <c r="A1806" s="6" t="s">
        <v>6788</v>
      </c>
      <c r="B1806" s="6" t="s">
        <v>6754</v>
      </c>
      <c r="C1806" s="6"/>
      <c r="D1806" s="6" t="s">
        <v>182</v>
      </c>
      <c r="E1806" s="6" t="s">
        <v>183</v>
      </c>
      <c r="F1806" s="6" t="s">
        <v>13</v>
      </c>
      <c r="G1806" s="6" t="s">
        <v>5973</v>
      </c>
      <c r="H1806" s="6" t="s">
        <v>3</v>
      </c>
      <c r="I1806" s="6" t="s">
        <v>184</v>
      </c>
      <c r="J1806" s="6"/>
      <c r="K1806" s="6"/>
      <c r="L1806" s="6" t="s">
        <v>185</v>
      </c>
      <c r="M1806" s="6"/>
      <c r="N1806" s="6" t="s">
        <v>186</v>
      </c>
      <c r="O1806" s="6" t="str">
        <f>HYPERLINK("https://ceds.ed.gov/cedselementdetails.aspx?termid=5214")</f>
        <v>https://ceds.ed.gov/cedselementdetails.aspx?termid=5214</v>
      </c>
      <c r="P1806" s="6" t="str">
        <f>HYPERLINK("https://ceds.ed.gov/elementComment.aspx?elementName=Address Postal Code &amp;elementID=5214", "Click here to submit comment")</f>
        <v>Click here to submit comment</v>
      </c>
    </row>
    <row r="1807" spans="1:16" ht="225">
      <c r="A1807" s="6" t="s">
        <v>6788</v>
      </c>
      <c r="B1807" s="6" t="s">
        <v>6754</v>
      </c>
      <c r="C1807" s="6"/>
      <c r="D1807" s="6" t="s">
        <v>178</v>
      </c>
      <c r="E1807" s="6" t="s">
        <v>179</v>
      </c>
      <c r="F1807" s="6" t="s">
        <v>13</v>
      </c>
      <c r="G1807" s="6" t="s">
        <v>5973</v>
      </c>
      <c r="H1807" s="6" t="s">
        <v>3</v>
      </c>
      <c r="I1807" s="6" t="s">
        <v>100</v>
      </c>
      <c r="J1807" s="6"/>
      <c r="K1807" s="6"/>
      <c r="L1807" s="6" t="s">
        <v>180</v>
      </c>
      <c r="M1807" s="6"/>
      <c r="N1807" s="6" t="s">
        <v>181</v>
      </c>
      <c r="O1807" s="6" t="str">
        <f>HYPERLINK("https://ceds.ed.gov/cedselementdetails.aspx?termid=5190")</f>
        <v>https://ceds.ed.gov/cedselementdetails.aspx?termid=5190</v>
      </c>
      <c r="P1807" s="6" t="str">
        <f>HYPERLINK("https://ceds.ed.gov/elementComment.aspx?elementName=Address County Name &amp;elementID=5190", "Click here to submit comment")</f>
        <v>Click here to submit comment</v>
      </c>
    </row>
    <row r="1808" spans="1:16" ht="30">
      <c r="A1808" s="6" t="s">
        <v>6788</v>
      </c>
      <c r="B1808" s="6" t="s">
        <v>6754</v>
      </c>
      <c r="C1808" s="6"/>
      <c r="D1808" s="6" t="s">
        <v>2602</v>
      </c>
      <c r="E1808" s="6" t="s">
        <v>2603</v>
      </c>
      <c r="F1808" s="6" t="s">
        <v>13</v>
      </c>
      <c r="G1808" s="6"/>
      <c r="H1808" s="6"/>
      <c r="I1808" s="6" t="s">
        <v>106</v>
      </c>
      <c r="J1808" s="6"/>
      <c r="K1808" s="6"/>
      <c r="L1808" s="6" t="s">
        <v>2604</v>
      </c>
      <c r="M1808" s="6"/>
      <c r="N1808" s="6" t="s">
        <v>2605</v>
      </c>
      <c r="O1808" s="6" t="str">
        <f>HYPERLINK("https://ceds.ed.gov/cedselementdetails.aspx?termid=6172")</f>
        <v>https://ceds.ed.gov/cedselementdetails.aspx?termid=6172</v>
      </c>
      <c r="P1808" s="6" t="str">
        <f>HYPERLINK("https://ceds.ed.gov/elementComment.aspx?elementName=Facility Building Name &amp;elementID=6172", "Click here to submit comment")</f>
        <v>Click here to submit comment</v>
      </c>
    </row>
    <row r="1809" spans="1:16" ht="409.5">
      <c r="A1809" s="6" t="s">
        <v>6788</v>
      </c>
      <c r="B1809" s="6" t="s">
        <v>6754</v>
      </c>
      <c r="C1809" s="6"/>
      <c r="D1809" s="6" t="s">
        <v>1507</v>
      </c>
      <c r="E1809" s="6" t="s">
        <v>1508</v>
      </c>
      <c r="F1809" s="7" t="s">
        <v>6411</v>
      </c>
      <c r="G1809" s="6"/>
      <c r="H1809" s="6"/>
      <c r="I1809" s="6"/>
      <c r="J1809" s="6"/>
      <c r="K1809" s="6"/>
      <c r="L1809" s="6" t="s">
        <v>1510</v>
      </c>
      <c r="M1809" s="6"/>
      <c r="N1809" s="6" t="s">
        <v>1511</v>
      </c>
      <c r="O1809" s="6" t="str">
        <f>HYPERLINK("https://ceds.ed.gov/cedselementdetails.aspx?termid=6173")</f>
        <v>https://ceds.ed.gov/cedselementdetails.aspx?termid=6173</v>
      </c>
      <c r="P1809" s="6" t="str">
        <f>HYPERLINK("https://ceds.ed.gov/elementComment.aspx?elementName=Building Use Type &amp;elementID=6173", "Click here to submit comment")</f>
        <v>Click here to submit comment</v>
      </c>
    </row>
    <row r="1810" spans="1:16" ht="45">
      <c r="A1810" s="6" t="s">
        <v>6788</v>
      </c>
      <c r="B1810" s="6" t="s">
        <v>6754</v>
      </c>
      <c r="C1810" s="6"/>
      <c r="D1810" s="6" t="s">
        <v>2615</v>
      </c>
      <c r="E1810" s="6" t="s">
        <v>2616</v>
      </c>
      <c r="F1810" s="6" t="s">
        <v>13</v>
      </c>
      <c r="G1810" s="6"/>
      <c r="H1810" s="6"/>
      <c r="I1810" s="6" t="s">
        <v>93</v>
      </c>
      <c r="J1810" s="6"/>
      <c r="K1810" s="6"/>
      <c r="L1810" s="6" t="s">
        <v>2617</v>
      </c>
      <c r="M1810" s="6"/>
      <c r="N1810" s="6" t="s">
        <v>2618</v>
      </c>
      <c r="O1810" s="6" t="str">
        <f>HYPERLINK("https://ceds.ed.gov/cedselementdetails.aspx?termid=6174")</f>
        <v>https://ceds.ed.gov/cedselementdetails.aspx?termid=6174</v>
      </c>
      <c r="P1810" s="6" t="str">
        <f>HYPERLINK("https://ceds.ed.gov/elementComment.aspx?elementName=Facility Space Description &amp;elementID=6174", "Click here to submit comment")</f>
        <v>Click here to submit comment</v>
      </c>
    </row>
    <row r="1811" spans="1:16" ht="315">
      <c r="A1811" s="6" t="s">
        <v>6788</v>
      </c>
      <c r="B1811" s="6" t="s">
        <v>6754</v>
      </c>
      <c r="C1811" s="6"/>
      <c r="D1811" s="6" t="s">
        <v>2619</v>
      </c>
      <c r="E1811" s="6" t="s">
        <v>2620</v>
      </c>
      <c r="F1811" s="7" t="s">
        <v>6504</v>
      </c>
      <c r="G1811" s="6"/>
      <c r="H1811" s="6"/>
      <c r="I1811" s="6"/>
      <c r="J1811" s="6"/>
      <c r="K1811" s="6"/>
      <c r="L1811" s="6" t="s">
        <v>2621</v>
      </c>
      <c r="M1811" s="6"/>
      <c r="N1811" s="6" t="s">
        <v>2622</v>
      </c>
      <c r="O1811" s="6" t="str">
        <f>HYPERLINK("https://ceds.ed.gov/cedselementdetails.aspx?termid=6175")</f>
        <v>https://ceds.ed.gov/cedselementdetails.aspx?termid=6175</v>
      </c>
      <c r="P1811" s="6" t="str">
        <f>HYPERLINK("https://ceds.ed.gov/elementComment.aspx?elementName=Facility Space Use Type &amp;elementID=6175", "Click here to submit comment")</f>
        <v>Click here to submit comment</v>
      </c>
    </row>
    <row r="1812" spans="1:16" ht="225">
      <c r="A1812" s="6" t="s">
        <v>6869</v>
      </c>
      <c r="B1812" s="6" t="s">
        <v>6870</v>
      </c>
      <c r="C1812" s="6" t="s">
        <v>6790</v>
      </c>
      <c r="D1812" s="6" t="s">
        <v>4189</v>
      </c>
      <c r="E1812" s="6" t="s">
        <v>4190</v>
      </c>
      <c r="F1812" s="6" t="s">
        <v>13</v>
      </c>
      <c r="G1812" s="6" t="s">
        <v>6257</v>
      </c>
      <c r="H1812" s="6"/>
      <c r="I1812" s="6" t="s">
        <v>106</v>
      </c>
      <c r="J1812" s="6"/>
      <c r="K1812" s="6"/>
      <c r="L1812" s="6" t="s">
        <v>4191</v>
      </c>
      <c r="M1812" s="6"/>
      <c r="N1812" s="6" t="s">
        <v>4192</v>
      </c>
      <c r="O1812" s="6" t="str">
        <f>HYPERLINK("https://ceds.ed.gov/cedselementdetails.aspx?termid=5191")</f>
        <v>https://ceds.ed.gov/cedselementdetails.aspx?termid=5191</v>
      </c>
      <c r="P1812" s="6" t="str">
        <f>HYPERLINK("https://ceds.ed.gov/elementComment.aspx?elementName=Name of Institution &amp;elementID=5191", "Click here to submit comment")</f>
        <v>Click here to submit comment</v>
      </c>
    </row>
    <row r="1813" spans="1:16" ht="180">
      <c r="A1813" s="6" t="s">
        <v>6869</v>
      </c>
      <c r="B1813" s="6" t="s">
        <v>6870</v>
      </c>
      <c r="C1813" s="6" t="s">
        <v>6790</v>
      </c>
      <c r="D1813" s="6" t="s">
        <v>4312</v>
      </c>
      <c r="E1813" s="6" t="s">
        <v>4313</v>
      </c>
      <c r="F1813" s="6" t="s">
        <v>13</v>
      </c>
      <c r="G1813" s="6"/>
      <c r="H1813" s="6"/>
      <c r="I1813" s="6" t="s">
        <v>4314</v>
      </c>
      <c r="J1813" s="6"/>
      <c r="K1813" s="6"/>
      <c r="L1813" s="6" t="s">
        <v>4315</v>
      </c>
      <c r="M1813" s="6" t="s">
        <v>4316</v>
      </c>
      <c r="N1813" s="6" t="s">
        <v>4316</v>
      </c>
      <c r="O1813" s="6" t="str">
        <f>HYPERLINK("https://ceds.ed.gov/cedselementdetails.aspx?termid=5203")</f>
        <v>https://ceds.ed.gov/cedselementdetails.aspx?termid=5203</v>
      </c>
      <c r="P1813" s="6" t="str">
        <f>HYPERLINK("https://ceds.ed.gov/elementComment.aspx?elementName=Office of Postsecondary Education Identifier &amp;elementID=5203", "Click here to submit comment")</f>
        <v>Click here to submit comment</v>
      </c>
    </row>
    <row r="1814" spans="1:16" ht="135">
      <c r="A1814" s="6" t="s">
        <v>6869</v>
      </c>
      <c r="B1814" s="6" t="s">
        <v>6870</v>
      </c>
      <c r="C1814" s="6" t="s">
        <v>6790</v>
      </c>
      <c r="D1814" s="6" t="s">
        <v>2665</v>
      </c>
      <c r="E1814" s="6" t="s">
        <v>2666</v>
      </c>
      <c r="F1814" s="6" t="s">
        <v>2667</v>
      </c>
      <c r="G1814" s="6" t="s">
        <v>1537</v>
      </c>
      <c r="H1814" s="6"/>
      <c r="I1814" s="6"/>
      <c r="J1814" s="6"/>
      <c r="K1814" s="6"/>
      <c r="L1814" s="6" t="s">
        <v>2668</v>
      </c>
      <c r="M1814" s="6"/>
      <c r="N1814" s="6" t="s">
        <v>2669</v>
      </c>
      <c r="O1814" s="6" t="str">
        <f>HYPERLINK("https://ceds.ed.gov/cedselementdetails.aspx?termid=5111")</f>
        <v>https://ceds.ed.gov/cedselementdetails.aspx?termid=5111</v>
      </c>
      <c r="P1814" s="6" t="str">
        <f>HYPERLINK("https://ceds.ed.gov/elementComment.aspx?elementName=Federal School Code &amp;elementID=5111", "Click here to submit comment")</f>
        <v>Click here to submit comment</v>
      </c>
    </row>
    <row r="1815" spans="1:16" ht="105">
      <c r="A1815" s="6" t="s">
        <v>6869</v>
      </c>
      <c r="B1815" s="6" t="s">
        <v>6870</v>
      </c>
      <c r="C1815" s="6" t="s">
        <v>6790</v>
      </c>
      <c r="D1815" s="6" t="s">
        <v>3963</v>
      </c>
      <c r="E1815" s="6" t="s">
        <v>3964</v>
      </c>
      <c r="F1815" s="7" t="s">
        <v>6572</v>
      </c>
      <c r="G1815" s="6" t="s">
        <v>6093</v>
      </c>
      <c r="H1815" s="6"/>
      <c r="I1815" s="6"/>
      <c r="J1815" s="6"/>
      <c r="K1815" s="6"/>
      <c r="L1815" s="6" t="s">
        <v>3965</v>
      </c>
      <c r="M1815" s="6"/>
      <c r="N1815" s="6" t="s">
        <v>3966</v>
      </c>
      <c r="O1815" s="6" t="str">
        <f>HYPERLINK("https://ceds.ed.gov/cedselementdetails.aspx?termid=5178")</f>
        <v>https://ceds.ed.gov/cedselementdetails.aspx?termid=5178</v>
      </c>
      <c r="P1815" s="6" t="str">
        <f>HYPERLINK("https://ceds.ed.gov/elementComment.aspx?elementName=Level of Institution &amp;elementID=5178", "Click here to submit comment")</f>
        <v>Click here to submit comment</v>
      </c>
    </row>
    <row r="1816" spans="1:16" ht="105">
      <c r="A1816" s="6" t="s">
        <v>6869</v>
      </c>
      <c r="B1816" s="6" t="s">
        <v>6870</v>
      </c>
      <c r="C1816" s="6" t="s">
        <v>6790</v>
      </c>
      <c r="D1816" s="6" t="s">
        <v>1788</v>
      </c>
      <c r="E1816" s="6" t="s">
        <v>1789</v>
      </c>
      <c r="F1816" s="7" t="s">
        <v>6430</v>
      </c>
      <c r="G1816" s="6" t="s">
        <v>6093</v>
      </c>
      <c r="H1816" s="6"/>
      <c r="I1816" s="6"/>
      <c r="J1816" s="6"/>
      <c r="K1816" s="6"/>
      <c r="L1816" s="6" t="s">
        <v>1790</v>
      </c>
      <c r="M1816" s="6"/>
      <c r="N1816" s="6" t="s">
        <v>1791</v>
      </c>
      <c r="O1816" s="6" t="str">
        <f>HYPERLINK("https://ceds.ed.gov/cedselementdetails.aspx?termid=5048")</f>
        <v>https://ceds.ed.gov/cedselementdetails.aspx?termid=5048</v>
      </c>
      <c r="P1816" s="6" t="str">
        <f>HYPERLINK("https://ceds.ed.gov/elementComment.aspx?elementName=Control of Institution &amp;elementID=5048", "Click here to submit comment")</f>
        <v>Click here to submit comment</v>
      </c>
    </row>
    <row r="1817" spans="1:16" ht="409.5">
      <c r="A1817" s="6" t="s">
        <v>6869</v>
      </c>
      <c r="B1817" s="6" t="s">
        <v>6870</v>
      </c>
      <c r="C1817" s="6" t="s">
        <v>6790</v>
      </c>
      <c r="D1817" s="6" t="s">
        <v>1604</v>
      </c>
      <c r="E1817" s="6" t="s">
        <v>1605</v>
      </c>
      <c r="F1817" s="7" t="s">
        <v>6418</v>
      </c>
      <c r="G1817" s="6" t="s">
        <v>6093</v>
      </c>
      <c r="H1817" s="6" t="s">
        <v>66</v>
      </c>
      <c r="I1817" s="6"/>
      <c r="J1817" s="6" t="s">
        <v>1607</v>
      </c>
      <c r="K1817" s="6"/>
      <c r="L1817" s="6" t="s">
        <v>1608</v>
      </c>
      <c r="M1817" s="6"/>
      <c r="N1817" s="6" t="s">
        <v>1609</v>
      </c>
      <c r="O1817" s="6" t="str">
        <f>HYPERLINK("https://ceds.ed.gov/cedselementdetails.aspx?termid=5038")</f>
        <v>https://ceds.ed.gov/cedselementdetails.aspx?termid=5038</v>
      </c>
      <c r="P1817" s="6" t="str">
        <f>HYPERLINK("https://ceds.ed.gov/elementComment.aspx?elementName=Carnegie Basic Classification &amp;elementID=5038", "Click here to submit comment")</f>
        <v>Click here to submit comment</v>
      </c>
    </row>
    <row r="1818" spans="1:16" ht="30">
      <c r="A1818" s="6" t="s">
        <v>6869</v>
      </c>
      <c r="B1818" s="6" t="s">
        <v>6870</v>
      </c>
      <c r="C1818" s="6" t="s">
        <v>6790</v>
      </c>
      <c r="D1818" s="6" t="s">
        <v>5325</v>
      </c>
      <c r="E1818" s="6" t="s">
        <v>5326</v>
      </c>
      <c r="F1818" s="6" t="s">
        <v>13</v>
      </c>
      <c r="G1818" s="6" t="s">
        <v>6093</v>
      </c>
      <c r="H1818" s="6"/>
      <c r="I1818" s="6" t="s">
        <v>2191</v>
      </c>
      <c r="J1818" s="6"/>
      <c r="K1818" s="6"/>
      <c r="L1818" s="6" t="s">
        <v>5327</v>
      </c>
      <c r="M1818" s="6"/>
      <c r="N1818" s="6" t="s">
        <v>5328</v>
      </c>
      <c r="O1818" s="6" t="str">
        <f>HYPERLINK("https://ceds.ed.gov/cedselementdetails.aspx?termid=5252")</f>
        <v>https://ceds.ed.gov/cedselementdetails.aspx?termid=5252</v>
      </c>
      <c r="P1818" s="6" t="str">
        <f>HYPERLINK("https://ceds.ed.gov/elementComment.aspx?elementName=Session Designator &amp;elementID=5252", "Click here to submit comment")</f>
        <v>Click here to submit comment</v>
      </c>
    </row>
    <row r="1819" spans="1:16" ht="180">
      <c r="A1819" s="6" t="s">
        <v>6869</v>
      </c>
      <c r="B1819" s="6" t="s">
        <v>6870</v>
      </c>
      <c r="C1819" s="6" t="s">
        <v>6790</v>
      </c>
      <c r="D1819" s="6" t="s">
        <v>4554</v>
      </c>
      <c r="E1819" s="6" t="s">
        <v>4555</v>
      </c>
      <c r="F1819" s="7" t="s">
        <v>6603</v>
      </c>
      <c r="G1819" s="6" t="s">
        <v>6283</v>
      </c>
      <c r="H1819" s="6"/>
      <c r="I1819" s="6"/>
      <c r="J1819" s="6"/>
      <c r="K1819" s="6" t="s">
        <v>4556</v>
      </c>
      <c r="L1819" s="6" t="s">
        <v>4557</v>
      </c>
      <c r="M1819" s="6"/>
      <c r="N1819" s="6" t="s">
        <v>4558</v>
      </c>
      <c r="O1819" s="6" t="str">
        <f>HYPERLINK("https://ceds.ed.gov/cedselementdetails.aspx?termid=5705")</f>
        <v>https://ceds.ed.gov/cedselementdetails.aspx?termid=5705</v>
      </c>
      <c r="P1819" s="6" t="str">
        <f>HYPERLINK("https://ceds.ed.gov/elementComment.aspx?elementName=Predominant Calendar System &amp;elementID=5705", "Click here to submit comment")</f>
        <v>Click here to submit comment</v>
      </c>
    </row>
    <row r="1820" spans="1:16" ht="45">
      <c r="A1820" s="6" t="s">
        <v>6869</v>
      </c>
      <c r="B1820" s="6" t="s">
        <v>6870</v>
      </c>
      <c r="C1820" s="6" t="s">
        <v>6790</v>
      </c>
      <c r="D1820" s="6" t="s">
        <v>5736</v>
      </c>
      <c r="E1820" s="6" t="s">
        <v>5737</v>
      </c>
      <c r="F1820" s="6" t="s">
        <v>5963</v>
      </c>
      <c r="G1820" s="6" t="s">
        <v>36</v>
      </c>
      <c r="H1820" s="6"/>
      <c r="I1820" s="6"/>
      <c r="J1820" s="6"/>
      <c r="K1820" s="6"/>
      <c r="L1820" s="6" t="s">
        <v>5738</v>
      </c>
      <c r="M1820" s="6"/>
      <c r="N1820" s="6" t="s">
        <v>5739</v>
      </c>
      <c r="O1820" s="6" t="str">
        <f>HYPERLINK("https://ceds.ed.gov/cedselementdetails.aspx?termid=5715")</f>
        <v>https://ceds.ed.gov/cedselementdetails.aspx?termid=5715</v>
      </c>
      <c r="P1820" s="6" t="str">
        <f>HYPERLINK("https://ceds.ed.gov/elementComment.aspx?elementName=Tenure System &amp;elementID=5715", "Click here to submit comment")</f>
        <v>Click here to submit comment</v>
      </c>
    </row>
    <row r="1821" spans="1:16" ht="90">
      <c r="A1821" s="6" t="s">
        <v>6869</v>
      </c>
      <c r="B1821" s="6" t="s">
        <v>6870</v>
      </c>
      <c r="C1821" s="6" t="s">
        <v>6790</v>
      </c>
      <c r="D1821" s="6" t="s">
        <v>5361</v>
      </c>
      <c r="E1821" s="6" t="s">
        <v>5362</v>
      </c>
      <c r="F1821" s="6" t="s">
        <v>13</v>
      </c>
      <c r="G1821" s="6"/>
      <c r="H1821" s="6" t="s">
        <v>54</v>
      </c>
      <c r="I1821" s="6" t="s">
        <v>100</v>
      </c>
      <c r="J1821" s="6"/>
      <c r="K1821" s="6" t="s">
        <v>5363</v>
      </c>
      <c r="L1821" s="6" t="s">
        <v>5364</v>
      </c>
      <c r="M1821" s="6"/>
      <c r="N1821" s="6" t="s">
        <v>5365</v>
      </c>
      <c r="O1821" s="6" t="str">
        <f>HYPERLINK("https://ceds.ed.gov/cedselementdetails.aspx?termid=6459")</f>
        <v>https://ceds.ed.gov/cedselementdetails.aspx?termid=6459</v>
      </c>
      <c r="P1821" s="6" t="str">
        <f>HYPERLINK("https://ceds.ed.gov/elementComment.aspx?elementName=Short Name of Institution &amp;elementID=6459", "Click here to submit comment")</f>
        <v>Click here to submit comment</v>
      </c>
    </row>
    <row r="1822" spans="1:16" ht="105">
      <c r="A1822" s="6" t="s">
        <v>6869</v>
      </c>
      <c r="B1822" s="6" t="s">
        <v>6870</v>
      </c>
      <c r="C1822" s="6" t="s">
        <v>6790</v>
      </c>
      <c r="D1822" s="6" t="s">
        <v>5875</v>
      </c>
      <c r="E1822" s="6" t="s">
        <v>5876</v>
      </c>
      <c r="F1822" s="6" t="s">
        <v>5963</v>
      </c>
      <c r="G1822" s="6"/>
      <c r="H1822" s="6"/>
      <c r="I1822" s="6"/>
      <c r="J1822" s="6"/>
      <c r="K1822" s="6"/>
      <c r="L1822" s="6" t="s">
        <v>5877</v>
      </c>
      <c r="M1822" s="6"/>
      <c r="N1822" s="6" t="s">
        <v>5878</v>
      </c>
      <c r="O1822" s="6" t="str">
        <f>HYPERLINK("https://ceds.ed.gov/cedselementdetails.aspx?termid=6167")</f>
        <v>https://ceds.ed.gov/cedselementdetails.aspx?termid=6167</v>
      </c>
      <c r="P1822" s="6" t="str">
        <f>HYPERLINK("https://ceds.ed.gov/elementComment.aspx?elementName=Virtual Indicator &amp;elementID=6167", "Click here to submit comment")</f>
        <v>Click here to submit comment</v>
      </c>
    </row>
    <row r="1823" spans="1:16" ht="90">
      <c r="A1823" s="6" t="s">
        <v>6869</v>
      </c>
      <c r="B1823" s="6" t="s">
        <v>6870</v>
      </c>
      <c r="C1823" s="6" t="s">
        <v>6749</v>
      </c>
      <c r="D1823" s="6" t="s">
        <v>196</v>
      </c>
      <c r="E1823" s="6" t="s">
        <v>197</v>
      </c>
      <c r="F1823" s="7" t="s">
        <v>6354</v>
      </c>
      <c r="G1823" s="6" t="s">
        <v>5968</v>
      </c>
      <c r="H1823" s="6" t="s">
        <v>3</v>
      </c>
      <c r="I1823" s="6" t="s">
        <v>100</v>
      </c>
      <c r="J1823" s="6"/>
      <c r="K1823" s="6"/>
      <c r="L1823" s="6" t="s">
        <v>198</v>
      </c>
      <c r="M1823" s="6"/>
      <c r="N1823" s="6" t="s">
        <v>199</v>
      </c>
      <c r="O1823" s="6" t="str">
        <f>HYPERLINK("https://ceds.ed.gov/cedselementdetails.aspx?termid=5644")</f>
        <v>https://ceds.ed.gov/cedselementdetails.aspx?termid=5644</v>
      </c>
      <c r="P1823" s="6" t="str">
        <f>HYPERLINK("https://ceds.ed.gov/elementComment.aspx?elementName=Address Type for Organization &amp;elementID=5644", "Click here to submit comment")</f>
        <v>Click here to submit comment</v>
      </c>
    </row>
    <row r="1824" spans="1:16" ht="225">
      <c r="A1824" s="6" t="s">
        <v>6869</v>
      </c>
      <c r="B1824" s="6" t="s">
        <v>6870</v>
      </c>
      <c r="C1824" s="6" t="s">
        <v>6749</v>
      </c>
      <c r="D1824" s="6" t="s">
        <v>187</v>
      </c>
      <c r="E1824" s="6" t="s">
        <v>188</v>
      </c>
      <c r="F1824" s="6" t="s">
        <v>13</v>
      </c>
      <c r="G1824" s="6" t="s">
        <v>5973</v>
      </c>
      <c r="H1824" s="6" t="s">
        <v>3</v>
      </c>
      <c r="I1824" s="6" t="s">
        <v>149</v>
      </c>
      <c r="J1824" s="6"/>
      <c r="K1824" s="6"/>
      <c r="L1824" s="6" t="s">
        <v>189</v>
      </c>
      <c r="M1824" s="6"/>
      <c r="N1824" s="6" t="s">
        <v>190</v>
      </c>
      <c r="O1824" s="6" t="str">
        <f>HYPERLINK("https://ceds.ed.gov/cedselementdetails.aspx?termid=5269")</f>
        <v>https://ceds.ed.gov/cedselementdetails.aspx?termid=5269</v>
      </c>
      <c r="P1824" s="6" t="str">
        <f>HYPERLINK("https://ceds.ed.gov/elementComment.aspx?elementName=Address Street Number and Name &amp;elementID=5269", "Click here to submit comment")</f>
        <v>Click here to submit comment</v>
      </c>
    </row>
    <row r="1825" spans="1:16" ht="225">
      <c r="A1825" s="6" t="s">
        <v>6869</v>
      </c>
      <c r="B1825" s="6" t="s">
        <v>6870</v>
      </c>
      <c r="C1825" s="6" t="s">
        <v>6749</v>
      </c>
      <c r="D1825" s="6" t="s">
        <v>170</v>
      </c>
      <c r="E1825" s="6" t="s">
        <v>171</v>
      </c>
      <c r="F1825" s="6" t="s">
        <v>13</v>
      </c>
      <c r="G1825" s="6" t="s">
        <v>5973</v>
      </c>
      <c r="H1825" s="6" t="s">
        <v>3</v>
      </c>
      <c r="I1825" s="6" t="s">
        <v>100</v>
      </c>
      <c r="J1825" s="6"/>
      <c r="K1825" s="6"/>
      <c r="L1825" s="6" t="s">
        <v>172</v>
      </c>
      <c r="M1825" s="6"/>
      <c r="N1825" s="6" t="s">
        <v>173</v>
      </c>
      <c r="O1825" s="6" t="str">
        <f>HYPERLINK("https://ceds.ed.gov/cedselementdetails.aspx?termid=5019")</f>
        <v>https://ceds.ed.gov/cedselementdetails.aspx?termid=5019</v>
      </c>
      <c r="P1825" s="6" t="str">
        <f>HYPERLINK("https://ceds.ed.gov/elementComment.aspx?elementName=Address Apartment Room or Suite Number &amp;elementID=5019", "Click here to submit comment")</f>
        <v>Click here to submit comment</v>
      </c>
    </row>
    <row r="1826" spans="1:16" ht="225">
      <c r="A1826" s="6" t="s">
        <v>6869</v>
      </c>
      <c r="B1826" s="6" t="s">
        <v>6870</v>
      </c>
      <c r="C1826" s="6" t="s">
        <v>6749</v>
      </c>
      <c r="D1826" s="6" t="s">
        <v>174</v>
      </c>
      <c r="E1826" s="6" t="s">
        <v>175</v>
      </c>
      <c r="F1826" s="6" t="s">
        <v>13</v>
      </c>
      <c r="G1826" s="6" t="s">
        <v>5973</v>
      </c>
      <c r="H1826" s="6" t="s">
        <v>3</v>
      </c>
      <c r="I1826" s="6" t="s">
        <v>100</v>
      </c>
      <c r="J1826" s="6"/>
      <c r="K1826" s="6"/>
      <c r="L1826" s="6" t="s">
        <v>176</v>
      </c>
      <c r="M1826" s="6"/>
      <c r="N1826" s="6" t="s">
        <v>177</v>
      </c>
      <c r="O1826" s="6" t="str">
        <f>HYPERLINK("https://ceds.ed.gov/cedselementdetails.aspx?termid=5040")</f>
        <v>https://ceds.ed.gov/cedselementdetails.aspx?termid=5040</v>
      </c>
      <c r="P1826" s="6" t="str">
        <f>HYPERLINK("https://ceds.ed.gov/elementComment.aspx?elementName=Address City &amp;elementID=5040", "Click here to submit comment")</f>
        <v>Click here to submit comment</v>
      </c>
    </row>
    <row r="1827" spans="1:16" ht="409.5">
      <c r="A1827" s="6" t="s">
        <v>6869</v>
      </c>
      <c r="B1827" s="6" t="s">
        <v>6870</v>
      </c>
      <c r="C1827" s="6" t="s">
        <v>6749</v>
      </c>
      <c r="D1827" s="6" t="s">
        <v>5533</v>
      </c>
      <c r="E1827" s="6" t="s">
        <v>5534</v>
      </c>
      <c r="F1827" s="7" t="s">
        <v>6633</v>
      </c>
      <c r="G1827" s="6" t="s">
        <v>6324</v>
      </c>
      <c r="H1827" s="6" t="s">
        <v>3</v>
      </c>
      <c r="I1827" s="6"/>
      <c r="J1827" s="6"/>
      <c r="K1827" s="6"/>
      <c r="L1827" s="6" t="s">
        <v>5535</v>
      </c>
      <c r="M1827" s="6"/>
      <c r="N1827" s="6" t="s">
        <v>5536</v>
      </c>
      <c r="O1827" s="6" t="str">
        <f>HYPERLINK("https://ceds.ed.gov/cedselementdetails.aspx?termid=5267")</f>
        <v>https://ceds.ed.gov/cedselementdetails.aspx?termid=5267</v>
      </c>
      <c r="P1827" s="6" t="str">
        <f>HYPERLINK("https://ceds.ed.gov/elementComment.aspx?elementName=State Abbreviation &amp;elementID=5267", "Click here to submit comment")</f>
        <v>Click here to submit comment</v>
      </c>
    </row>
    <row r="1828" spans="1:16" ht="225">
      <c r="A1828" s="6" t="s">
        <v>6869</v>
      </c>
      <c r="B1828" s="6" t="s">
        <v>6870</v>
      </c>
      <c r="C1828" s="6" t="s">
        <v>6749</v>
      </c>
      <c r="D1828" s="6" t="s">
        <v>182</v>
      </c>
      <c r="E1828" s="6" t="s">
        <v>183</v>
      </c>
      <c r="F1828" s="6" t="s">
        <v>13</v>
      </c>
      <c r="G1828" s="6" t="s">
        <v>5973</v>
      </c>
      <c r="H1828" s="6" t="s">
        <v>3</v>
      </c>
      <c r="I1828" s="6" t="s">
        <v>184</v>
      </c>
      <c r="J1828" s="6"/>
      <c r="K1828" s="6"/>
      <c r="L1828" s="6" t="s">
        <v>185</v>
      </c>
      <c r="M1828" s="6"/>
      <c r="N1828" s="6" t="s">
        <v>186</v>
      </c>
      <c r="O1828" s="6" t="str">
        <f>HYPERLINK("https://ceds.ed.gov/cedselementdetails.aspx?termid=5214")</f>
        <v>https://ceds.ed.gov/cedselementdetails.aspx?termid=5214</v>
      </c>
      <c r="P1828" s="6" t="str">
        <f>HYPERLINK("https://ceds.ed.gov/elementComment.aspx?elementName=Address Postal Code &amp;elementID=5214", "Click here to submit comment")</f>
        <v>Click here to submit comment</v>
      </c>
    </row>
    <row r="1829" spans="1:16" ht="225">
      <c r="A1829" s="6" t="s">
        <v>6869</v>
      </c>
      <c r="B1829" s="6" t="s">
        <v>6870</v>
      </c>
      <c r="C1829" s="6" t="s">
        <v>6749</v>
      </c>
      <c r="D1829" s="6" t="s">
        <v>178</v>
      </c>
      <c r="E1829" s="6" t="s">
        <v>179</v>
      </c>
      <c r="F1829" s="6" t="s">
        <v>13</v>
      </c>
      <c r="G1829" s="6" t="s">
        <v>5973</v>
      </c>
      <c r="H1829" s="6" t="s">
        <v>3</v>
      </c>
      <c r="I1829" s="6" t="s">
        <v>100</v>
      </c>
      <c r="J1829" s="6"/>
      <c r="K1829" s="6"/>
      <c r="L1829" s="6" t="s">
        <v>180</v>
      </c>
      <c r="M1829" s="6"/>
      <c r="N1829" s="6" t="s">
        <v>181</v>
      </c>
      <c r="O1829" s="6" t="str">
        <f>HYPERLINK("https://ceds.ed.gov/cedselementdetails.aspx?termid=5190")</f>
        <v>https://ceds.ed.gov/cedselementdetails.aspx?termid=5190</v>
      </c>
      <c r="P1829" s="6" t="str">
        <f>HYPERLINK("https://ceds.ed.gov/elementComment.aspx?elementName=Address County Name &amp;elementID=5190", "Click here to submit comment")</f>
        <v>Click here to submit comment</v>
      </c>
    </row>
    <row r="1830" spans="1:16" ht="180">
      <c r="A1830" s="6" t="s">
        <v>6869</v>
      </c>
      <c r="B1830" s="6" t="s">
        <v>6870</v>
      </c>
      <c r="C1830" s="6" t="s">
        <v>6749</v>
      </c>
      <c r="D1830" s="6" t="s">
        <v>1817</v>
      </c>
      <c r="E1830" s="6" t="s">
        <v>1818</v>
      </c>
      <c r="F1830" s="6" t="s">
        <v>13</v>
      </c>
      <c r="G1830" s="6"/>
      <c r="H1830" s="6" t="s">
        <v>66</v>
      </c>
      <c r="I1830" s="6" t="s">
        <v>1819</v>
      </c>
      <c r="J1830" s="6" t="s">
        <v>1820</v>
      </c>
      <c r="K1830" s="6"/>
      <c r="L1830" s="6" t="s">
        <v>1821</v>
      </c>
      <c r="M1830" s="6"/>
      <c r="N1830" s="6" t="s">
        <v>1822</v>
      </c>
      <c r="O1830" s="6" t="str">
        <f>HYPERLINK("https://ceds.ed.gov/cedselementdetails.aspx?termid=6176")</f>
        <v>https://ceds.ed.gov/cedselementdetails.aspx?termid=6176</v>
      </c>
      <c r="P1830" s="6" t="str">
        <f>HYPERLINK("https://ceds.ed.gov/elementComment.aspx?elementName=County ANSI Code &amp;elementID=6176", "Click here to submit comment")</f>
        <v>Click here to submit comment</v>
      </c>
    </row>
    <row r="1831" spans="1:16" ht="75">
      <c r="A1831" s="6" t="s">
        <v>6869</v>
      </c>
      <c r="B1831" s="6" t="s">
        <v>6870</v>
      </c>
      <c r="C1831" s="6" t="s">
        <v>6749</v>
      </c>
      <c r="D1831" s="6" t="s">
        <v>3436</v>
      </c>
      <c r="E1831" s="6" t="s">
        <v>3437</v>
      </c>
      <c r="F1831" s="6" t="s">
        <v>13</v>
      </c>
      <c r="G1831" s="6"/>
      <c r="H1831" s="6"/>
      <c r="I1831" s="6" t="s">
        <v>1127</v>
      </c>
      <c r="J1831" s="6"/>
      <c r="K1831" s="6"/>
      <c r="L1831" s="6" t="s">
        <v>3438</v>
      </c>
      <c r="M1831" s="6"/>
      <c r="N1831" s="6" t="s">
        <v>3436</v>
      </c>
      <c r="O1831" s="6" t="str">
        <f>HYPERLINK("https://ceds.ed.gov/cedselementdetails.aspx?termid=5599")</f>
        <v>https://ceds.ed.gov/cedselementdetails.aspx?termid=5599</v>
      </c>
      <c r="P1831" s="6" t="str">
        <f>HYPERLINK("https://ceds.ed.gov/elementComment.aspx?elementName=Latitude &amp;elementID=5599", "Click here to submit comment")</f>
        <v>Click here to submit comment</v>
      </c>
    </row>
    <row r="1832" spans="1:16" ht="75">
      <c r="A1832" s="6" t="s">
        <v>6869</v>
      </c>
      <c r="B1832" s="6" t="s">
        <v>6870</v>
      </c>
      <c r="C1832" s="6" t="s">
        <v>6749</v>
      </c>
      <c r="D1832" s="6" t="s">
        <v>4053</v>
      </c>
      <c r="E1832" s="6" t="s">
        <v>4054</v>
      </c>
      <c r="F1832" s="6" t="s">
        <v>13</v>
      </c>
      <c r="G1832" s="6"/>
      <c r="H1832" s="6"/>
      <c r="I1832" s="6" t="s">
        <v>1127</v>
      </c>
      <c r="J1832" s="6"/>
      <c r="K1832" s="6"/>
      <c r="L1832" s="6" t="s">
        <v>4055</v>
      </c>
      <c r="M1832" s="6"/>
      <c r="N1832" s="6" t="s">
        <v>4053</v>
      </c>
      <c r="O1832" s="6" t="str">
        <f>HYPERLINK("https://ceds.ed.gov/cedselementdetails.aspx?termid=5600")</f>
        <v>https://ceds.ed.gov/cedselementdetails.aspx?termid=5600</v>
      </c>
      <c r="P1832" s="6" t="str">
        <f>HYPERLINK("https://ceds.ed.gov/elementComment.aspx?elementName=Longitude &amp;elementID=5600", "Click here to submit comment")</f>
        <v>Click here to submit comment</v>
      </c>
    </row>
    <row r="1833" spans="1:16" ht="75">
      <c r="A1833" s="6" t="s">
        <v>6869</v>
      </c>
      <c r="B1833" s="6" t="s">
        <v>6870</v>
      </c>
      <c r="C1833" s="6" t="s">
        <v>6871</v>
      </c>
      <c r="D1833" s="6" t="s">
        <v>3283</v>
      </c>
      <c r="E1833" s="6" t="s">
        <v>3284</v>
      </c>
      <c r="F1833" s="6" t="s">
        <v>13</v>
      </c>
      <c r="G1833" s="6" t="s">
        <v>5976</v>
      </c>
      <c r="H1833" s="6"/>
      <c r="I1833" s="6" t="s">
        <v>3285</v>
      </c>
      <c r="J1833" s="6"/>
      <c r="K1833" s="6"/>
      <c r="L1833" s="6" t="s">
        <v>3286</v>
      </c>
      <c r="M1833" s="6" t="s">
        <v>3287</v>
      </c>
      <c r="N1833" s="6" t="s">
        <v>3288</v>
      </c>
      <c r="O1833" s="6" t="str">
        <f>HYPERLINK("https://ceds.ed.gov/cedselementdetails.aspx?termid=5166")</f>
        <v>https://ceds.ed.gov/cedselementdetails.aspx?termid=5166</v>
      </c>
      <c r="P1833" s="6" t="str">
        <f>HYPERLINK("https://ceds.ed.gov/elementComment.aspx?elementName=Institution IPEDS UnitID &amp;elementID=5166", "Click here to submit comment")</f>
        <v>Click here to submit comment</v>
      </c>
    </row>
    <row r="1834" spans="1:16" ht="90">
      <c r="A1834" s="6" t="s">
        <v>6869</v>
      </c>
      <c r="B1834" s="6" t="s">
        <v>6870</v>
      </c>
      <c r="C1834" s="6" t="s">
        <v>6871</v>
      </c>
      <c r="D1834" s="6" t="s">
        <v>5841</v>
      </c>
      <c r="E1834" s="6" t="s">
        <v>5842</v>
      </c>
      <c r="F1834" s="6" t="s">
        <v>13</v>
      </c>
      <c r="G1834" s="6" t="s">
        <v>1495</v>
      </c>
      <c r="H1834" s="6"/>
      <c r="I1834" s="6" t="s">
        <v>1461</v>
      </c>
      <c r="J1834" s="6"/>
      <c r="K1834" s="6" t="s">
        <v>5843</v>
      </c>
      <c r="L1834" s="6" t="s">
        <v>5844</v>
      </c>
      <c r="M1834" s="6"/>
      <c r="N1834" s="6" t="s">
        <v>5845</v>
      </c>
      <c r="O1834" s="6" t="str">
        <f>HYPERLINK("https://ceds.ed.gov/cedselementdetails.aspx?termid=5723")</f>
        <v>https://ceds.ed.gov/cedselementdetails.aspx?termid=5723</v>
      </c>
      <c r="P1834" s="6" t="str">
        <f>HYPERLINK("https://ceds.ed.gov/elementComment.aspx?elementName=Tuition - Published &amp;elementID=5723", "Click here to submit comment")</f>
        <v>Click here to submit comment</v>
      </c>
    </row>
    <row r="1835" spans="1:16" ht="90">
      <c r="A1835" s="6" t="s">
        <v>6869</v>
      </c>
      <c r="B1835" s="6" t="s">
        <v>6870</v>
      </c>
      <c r="C1835" s="6" t="s">
        <v>6871</v>
      </c>
      <c r="D1835" s="6" t="s">
        <v>5850</v>
      </c>
      <c r="E1835" s="6" t="s">
        <v>5851</v>
      </c>
      <c r="F1835" s="7" t="s">
        <v>6687</v>
      </c>
      <c r="G1835" s="6" t="s">
        <v>1495</v>
      </c>
      <c r="H1835" s="6"/>
      <c r="I1835" s="6"/>
      <c r="J1835" s="6"/>
      <c r="K1835" s="6" t="s">
        <v>358</v>
      </c>
      <c r="L1835" s="6" t="s">
        <v>5852</v>
      </c>
      <c r="M1835" s="6"/>
      <c r="N1835" s="6" t="s">
        <v>5853</v>
      </c>
      <c r="O1835" s="6" t="str">
        <f>HYPERLINK("https://ceds.ed.gov/cedselementdetails.aspx?termid=5725")</f>
        <v>https://ceds.ed.gov/cedselementdetails.aspx?termid=5725</v>
      </c>
      <c r="P1835" s="6" t="str">
        <f>HYPERLINK("https://ceds.ed.gov/elementComment.aspx?elementName=Tuition Unit &amp;elementID=5725", "Click here to submit comment")</f>
        <v>Click here to submit comment</v>
      </c>
    </row>
    <row r="1836" spans="1:16" ht="45">
      <c r="A1836" s="6" t="s">
        <v>6869</v>
      </c>
      <c r="B1836" s="6" t="s">
        <v>6870</v>
      </c>
      <c r="C1836" s="6" t="s">
        <v>6871</v>
      </c>
      <c r="D1836" s="6" t="s">
        <v>1492</v>
      </c>
      <c r="E1836" s="6" t="s">
        <v>1493</v>
      </c>
      <c r="F1836" s="6" t="s">
        <v>13</v>
      </c>
      <c r="G1836" s="6" t="s">
        <v>1495</v>
      </c>
      <c r="H1836" s="6"/>
      <c r="I1836" s="6" t="s">
        <v>1461</v>
      </c>
      <c r="J1836" s="6"/>
      <c r="K1836" s="6" t="s">
        <v>358</v>
      </c>
      <c r="L1836" s="6" t="s">
        <v>1496</v>
      </c>
      <c r="M1836" s="6"/>
      <c r="N1836" s="6" t="s">
        <v>1497</v>
      </c>
      <c r="O1836" s="6" t="str">
        <f>HYPERLINK("https://ceds.ed.gov/cedselementdetails.aspx?termid=5729")</f>
        <v>https://ceds.ed.gov/cedselementdetails.aspx?termid=5729</v>
      </c>
      <c r="P1836" s="6" t="str">
        <f>HYPERLINK("https://ceds.ed.gov/elementComment.aspx?elementName=Board Charges &amp;elementID=5729", "Click here to submit comment")</f>
        <v>Click here to submit comment</v>
      </c>
    </row>
    <row r="1837" spans="1:16" ht="60">
      <c r="A1837" s="6" t="s">
        <v>6869</v>
      </c>
      <c r="B1837" s="6" t="s">
        <v>6870</v>
      </c>
      <c r="C1837" s="6" t="s">
        <v>6871</v>
      </c>
      <c r="D1837" s="6" t="s">
        <v>5078</v>
      </c>
      <c r="E1837" s="6" t="s">
        <v>5079</v>
      </c>
      <c r="F1837" s="6" t="s">
        <v>13</v>
      </c>
      <c r="G1837" s="6" t="s">
        <v>1495</v>
      </c>
      <c r="H1837" s="6"/>
      <c r="I1837" s="6" t="s">
        <v>1461</v>
      </c>
      <c r="J1837" s="6"/>
      <c r="K1837" s="6" t="s">
        <v>358</v>
      </c>
      <c r="L1837" s="6" t="s">
        <v>5080</v>
      </c>
      <c r="M1837" s="6"/>
      <c r="N1837" s="6" t="s">
        <v>5081</v>
      </c>
      <c r="O1837" s="6" t="str">
        <f>HYPERLINK("https://ceds.ed.gov/cedselementdetails.aspx?termid=5728")</f>
        <v>https://ceds.ed.gov/cedselementdetails.aspx?termid=5728</v>
      </c>
      <c r="P1837" s="6" t="str">
        <f>HYPERLINK("https://ceds.ed.gov/elementComment.aspx?elementName=Room Charges &amp;elementID=5728", "Click here to submit comment")</f>
        <v>Click here to submit comment</v>
      </c>
    </row>
    <row r="1838" spans="1:16" ht="120">
      <c r="A1838" s="6" t="s">
        <v>6869</v>
      </c>
      <c r="B1838" s="6" t="s">
        <v>6870</v>
      </c>
      <c r="C1838" s="6" t="s">
        <v>6871</v>
      </c>
      <c r="D1838" s="6" t="s">
        <v>1498</v>
      </c>
      <c r="E1838" s="6" t="s">
        <v>1499</v>
      </c>
      <c r="F1838" s="6" t="s">
        <v>13</v>
      </c>
      <c r="G1838" s="6" t="s">
        <v>1495</v>
      </c>
      <c r="H1838" s="6"/>
      <c r="I1838" s="6" t="s">
        <v>1461</v>
      </c>
      <c r="J1838" s="6"/>
      <c r="K1838" s="6" t="s">
        <v>358</v>
      </c>
      <c r="L1838" s="6" t="s">
        <v>1500</v>
      </c>
      <c r="M1838" s="6"/>
      <c r="N1838" s="6" t="s">
        <v>1501</v>
      </c>
      <c r="O1838" s="6" t="str">
        <f>HYPERLINK("https://ceds.ed.gov/cedselementdetails.aspx?termid=5730")</f>
        <v>https://ceds.ed.gov/cedselementdetails.aspx?termid=5730</v>
      </c>
      <c r="P1838" s="6" t="str">
        <f>HYPERLINK("https://ceds.ed.gov/elementComment.aspx?elementName=Books and Supplies Costs &amp;elementID=5730", "Click here to submit comment")</f>
        <v>Click here to submit comment</v>
      </c>
    </row>
    <row r="1839" spans="1:16" ht="75">
      <c r="A1839" s="6" t="s">
        <v>6869</v>
      </c>
      <c r="B1839" s="6" t="s">
        <v>6870</v>
      </c>
      <c r="C1839" s="6" t="s">
        <v>6871</v>
      </c>
      <c r="D1839" s="6" t="s">
        <v>5037</v>
      </c>
      <c r="E1839" s="6" t="s">
        <v>5038</v>
      </c>
      <c r="F1839" s="6" t="s">
        <v>13</v>
      </c>
      <c r="G1839" s="6" t="s">
        <v>1495</v>
      </c>
      <c r="H1839" s="6"/>
      <c r="I1839" s="6" t="s">
        <v>1461</v>
      </c>
      <c r="J1839" s="6"/>
      <c r="K1839" s="6" t="s">
        <v>358</v>
      </c>
      <c r="L1839" s="6" t="s">
        <v>5039</v>
      </c>
      <c r="M1839" s="6"/>
      <c r="N1839" s="6" t="s">
        <v>5040</v>
      </c>
      <c r="O1839" s="6" t="str">
        <f>HYPERLINK("https://ceds.ed.gov/cedselementdetails.aspx?termid=5726")</f>
        <v>https://ceds.ed.gov/cedselementdetails.aspx?termid=5726</v>
      </c>
      <c r="P1839" s="6" t="str">
        <f>HYPERLINK("https://ceds.ed.gov/elementComment.aspx?elementName=Required Student Fees &amp;elementID=5726", "Click here to submit comment")</f>
        <v>Click here to submit comment</v>
      </c>
    </row>
    <row r="1840" spans="1:16" ht="90">
      <c r="A1840" s="6" t="s">
        <v>6869</v>
      </c>
      <c r="B1840" s="6" t="s">
        <v>6870</v>
      </c>
      <c r="C1840" s="6" t="s">
        <v>6871</v>
      </c>
      <c r="D1840" s="6" t="s">
        <v>1753</v>
      </c>
      <c r="E1840" s="6" t="s">
        <v>1754</v>
      </c>
      <c r="F1840" s="6" t="s">
        <v>13</v>
      </c>
      <c r="G1840" s="6" t="s">
        <v>1495</v>
      </c>
      <c r="H1840" s="6"/>
      <c r="I1840" s="6" t="s">
        <v>1461</v>
      </c>
      <c r="J1840" s="6"/>
      <c r="K1840" s="6" t="s">
        <v>358</v>
      </c>
      <c r="L1840" s="6" t="s">
        <v>1755</v>
      </c>
      <c r="M1840" s="6"/>
      <c r="N1840" s="6" t="s">
        <v>1756</v>
      </c>
      <c r="O1840" s="6" t="str">
        <f>HYPERLINK("https://ceds.ed.gov/cedselementdetails.aspx?termid=5733")</f>
        <v>https://ceds.ed.gov/cedselementdetails.aspx?termid=5733</v>
      </c>
      <c r="P1840" s="6" t="str">
        <f>HYPERLINK("https://ceds.ed.gov/elementComment.aspx?elementName=Comprehensive Fee &amp;elementID=5733", "Click here to submit comment")</f>
        <v>Click here to submit comment</v>
      </c>
    </row>
    <row r="1841" spans="1:16" ht="75">
      <c r="A1841" s="6" t="s">
        <v>6869</v>
      </c>
      <c r="B1841" s="6" t="s">
        <v>6870</v>
      </c>
      <c r="C1841" s="6" t="s">
        <v>6871</v>
      </c>
      <c r="D1841" s="6" t="s">
        <v>4403</v>
      </c>
      <c r="E1841" s="6" t="s">
        <v>4404</v>
      </c>
      <c r="F1841" s="6" t="s">
        <v>13</v>
      </c>
      <c r="G1841" s="6" t="s">
        <v>1495</v>
      </c>
      <c r="H1841" s="6"/>
      <c r="I1841" s="6" t="s">
        <v>1461</v>
      </c>
      <c r="J1841" s="6"/>
      <c r="K1841" s="6" t="s">
        <v>358</v>
      </c>
      <c r="L1841" s="6" t="s">
        <v>4405</v>
      </c>
      <c r="M1841" s="6"/>
      <c r="N1841" s="6" t="s">
        <v>4406</v>
      </c>
      <c r="O1841" s="6" t="str">
        <f>HYPERLINK("https://ceds.ed.gov/cedselementdetails.aspx?termid=5731")</f>
        <v>https://ceds.ed.gov/cedselementdetails.aspx?termid=5731</v>
      </c>
      <c r="P1841" s="6" t="str">
        <f>HYPERLINK("https://ceds.ed.gov/elementComment.aspx?elementName=Other Student Expenses &amp;elementID=5731", "Click here to submit comment")</f>
        <v>Click here to submit comment</v>
      </c>
    </row>
    <row r="1842" spans="1:16" ht="180">
      <c r="A1842" s="6" t="s">
        <v>6869</v>
      </c>
      <c r="B1842" s="6" t="s">
        <v>6870</v>
      </c>
      <c r="C1842" s="6" t="s">
        <v>6871</v>
      </c>
      <c r="D1842" s="6" t="s">
        <v>4575</v>
      </c>
      <c r="E1842" s="6" t="s">
        <v>4576</v>
      </c>
      <c r="F1842" s="6" t="s">
        <v>13</v>
      </c>
      <c r="G1842" s="6" t="s">
        <v>1495</v>
      </c>
      <c r="H1842" s="6"/>
      <c r="I1842" s="6" t="s">
        <v>1461</v>
      </c>
      <c r="J1842" s="6"/>
      <c r="K1842" s="6" t="s">
        <v>358</v>
      </c>
      <c r="L1842" s="6" t="s">
        <v>4577</v>
      </c>
      <c r="M1842" s="6"/>
      <c r="N1842" s="6" t="s">
        <v>4578</v>
      </c>
      <c r="O1842" s="6" t="str">
        <f>HYPERLINK("https://ceds.ed.gov/cedselementdetails.aspx?termid=5732")</f>
        <v>https://ceds.ed.gov/cedselementdetails.aspx?termid=5732</v>
      </c>
      <c r="P1842" s="6" t="str">
        <f>HYPERLINK("https://ceds.ed.gov/elementComment.aspx?elementName=Price of Attendance &amp;elementID=5732", "Click here to submit comment")</f>
        <v>Click here to submit comment</v>
      </c>
    </row>
    <row r="1843" spans="1:16" ht="105">
      <c r="A1843" s="6" t="s">
        <v>6869</v>
      </c>
      <c r="B1843" s="6" t="s">
        <v>6870</v>
      </c>
      <c r="C1843" s="6" t="s">
        <v>6871</v>
      </c>
      <c r="D1843" s="6" t="s">
        <v>3293</v>
      </c>
      <c r="E1843" s="6" t="s">
        <v>3294</v>
      </c>
      <c r="F1843" s="6" t="s">
        <v>5963</v>
      </c>
      <c r="G1843" s="6" t="s">
        <v>1495</v>
      </c>
      <c r="H1843" s="6"/>
      <c r="I1843" s="6"/>
      <c r="J1843" s="6"/>
      <c r="K1843" s="6" t="s">
        <v>358</v>
      </c>
      <c r="L1843" s="6" t="s">
        <v>3295</v>
      </c>
      <c r="M1843" s="6"/>
      <c r="N1843" s="6" t="s">
        <v>3296</v>
      </c>
      <c r="O1843" s="6" t="str">
        <f>HYPERLINK("https://ceds.ed.gov/cedselementdetails.aspx?termid=5727")</f>
        <v>https://ceds.ed.gov/cedselementdetails.aspx?termid=5727</v>
      </c>
      <c r="P1843" s="6" t="str">
        <f>HYPERLINK("https://ceds.ed.gov/elementComment.aspx?elementName=Institutionally Controlled Housing Status &amp;elementID=5727", "Click here to submit comment")</f>
        <v>Click here to submit comment</v>
      </c>
    </row>
    <row r="1844" spans="1:16" ht="409.5">
      <c r="A1844" s="6" t="s">
        <v>6869</v>
      </c>
      <c r="B1844" s="6" t="s">
        <v>6872</v>
      </c>
      <c r="C1844" s="6"/>
      <c r="D1844" s="6" t="s">
        <v>51</v>
      </c>
      <c r="E1844" s="6" t="s">
        <v>52</v>
      </c>
      <c r="F1844" s="7" t="s">
        <v>6350</v>
      </c>
      <c r="G1844" s="6"/>
      <c r="H1844" s="6" t="s">
        <v>54</v>
      </c>
      <c r="I1844" s="6"/>
      <c r="J1844" s="6"/>
      <c r="K1844" s="6"/>
      <c r="L1844" s="6" t="s">
        <v>55</v>
      </c>
      <c r="M1844" s="6"/>
      <c r="N1844" s="6" t="s">
        <v>56</v>
      </c>
      <c r="O1844" s="6" t="str">
        <f>HYPERLINK("https://ceds.ed.gov/cedselementdetails.aspx?termid=6243")</f>
        <v>https://ceds.ed.gov/cedselementdetails.aspx?termid=6243</v>
      </c>
      <c r="P1844" s="6" t="str">
        <f>HYPERLINK("https://ceds.ed.gov/elementComment.aspx?elementName=Accommodations Needed Type &amp;elementID=6243", "Click here to submit comment")</f>
        <v>Click here to submit comment</v>
      </c>
    </row>
    <row r="1845" spans="1:16" ht="105">
      <c r="A1845" s="6" t="s">
        <v>6869</v>
      </c>
      <c r="B1845" s="6" t="s">
        <v>6872</v>
      </c>
      <c r="C1845" s="6"/>
      <c r="D1845" s="6" t="s">
        <v>2194</v>
      </c>
      <c r="E1845" s="6" t="s">
        <v>2195</v>
      </c>
      <c r="F1845" s="7" t="s">
        <v>6458</v>
      </c>
      <c r="G1845" s="6"/>
      <c r="H1845" s="6" t="s">
        <v>54</v>
      </c>
      <c r="I1845" s="6"/>
      <c r="J1845" s="6"/>
      <c r="K1845" s="6"/>
      <c r="L1845" s="6" t="s">
        <v>2196</v>
      </c>
      <c r="M1845" s="6" t="s">
        <v>2197</v>
      </c>
      <c r="N1845" s="6" t="s">
        <v>2198</v>
      </c>
      <c r="O1845" s="6" t="str">
        <f>HYPERLINK("https://ceds.ed.gov/cedselementdetails.aspx?termid=6285")</f>
        <v>https://ceds.ed.gov/cedselementdetails.aspx?termid=6285</v>
      </c>
      <c r="P1845" s="6" t="str">
        <f>HYPERLINK("https://ceds.ed.gov/elementComment.aspx?elementName=Disability Condition Status Type &amp;elementID=6285", "Click here to submit comment")</f>
        <v>Click here to submit comment</v>
      </c>
    </row>
    <row r="1846" spans="1:16" ht="409.5">
      <c r="A1846" s="6" t="s">
        <v>6869</v>
      </c>
      <c r="B1846" s="6" t="s">
        <v>6872</v>
      </c>
      <c r="C1846" s="6"/>
      <c r="D1846" s="6" t="s">
        <v>2199</v>
      </c>
      <c r="E1846" s="6" t="s">
        <v>2200</v>
      </c>
      <c r="F1846" s="7" t="s">
        <v>6459</v>
      </c>
      <c r="G1846" s="6"/>
      <c r="H1846" s="6" t="s">
        <v>54</v>
      </c>
      <c r="I1846" s="6"/>
      <c r="J1846" s="6"/>
      <c r="K1846" s="6" t="s">
        <v>2201</v>
      </c>
      <c r="L1846" s="6" t="s">
        <v>2202</v>
      </c>
      <c r="M1846" s="6"/>
      <c r="N1846" s="6" t="s">
        <v>2203</v>
      </c>
      <c r="O1846" s="6" t="str">
        <f>HYPERLINK("https://ceds.ed.gov/cedselementdetails.aspx?termid=6286")</f>
        <v>https://ceds.ed.gov/cedselementdetails.aspx?termid=6286</v>
      </c>
      <c r="P1846" s="6" t="str">
        <f>HYPERLINK("https://ceds.ed.gov/elementComment.aspx?elementName=Disability Condition Type &amp;elementID=6286", "Click here to submit comment")</f>
        <v>Click here to submit comment</v>
      </c>
    </row>
    <row r="1847" spans="1:16" ht="255">
      <c r="A1847" s="6" t="s">
        <v>6869</v>
      </c>
      <c r="B1847" s="6" t="s">
        <v>6872</v>
      </c>
      <c r="C1847" s="6"/>
      <c r="D1847" s="6" t="s">
        <v>2204</v>
      </c>
      <c r="E1847" s="6" t="s">
        <v>2205</v>
      </c>
      <c r="F1847" s="7" t="s">
        <v>6460</v>
      </c>
      <c r="G1847" s="6"/>
      <c r="H1847" s="6" t="s">
        <v>54</v>
      </c>
      <c r="I1847" s="6"/>
      <c r="J1847" s="6"/>
      <c r="K1847" s="6" t="s">
        <v>2201</v>
      </c>
      <c r="L1847" s="6" t="s">
        <v>2206</v>
      </c>
      <c r="M1847" s="6"/>
      <c r="N1847" s="6" t="s">
        <v>2207</v>
      </c>
      <c r="O1847" s="6" t="str">
        <f>HYPERLINK("https://ceds.ed.gov/cedselementdetails.aspx?termid=6287")</f>
        <v>https://ceds.ed.gov/cedselementdetails.aspx?termid=6287</v>
      </c>
      <c r="P1847" s="6" t="str">
        <f>HYPERLINK("https://ceds.ed.gov/elementComment.aspx?elementName=Disability Determination Source Type &amp;elementID=6287", "Click here to submit comment")</f>
        <v>Click here to submit comment</v>
      </c>
    </row>
    <row r="1848" spans="1:16" ht="45">
      <c r="A1848" s="6" t="s">
        <v>6869</v>
      </c>
      <c r="B1848" s="6" t="s">
        <v>6872</v>
      </c>
      <c r="C1848" s="6"/>
      <c r="D1848" s="6" t="s">
        <v>2208</v>
      </c>
      <c r="E1848" s="6" t="s">
        <v>2209</v>
      </c>
      <c r="F1848" s="6" t="s">
        <v>5963</v>
      </c>
      <c r="G1848" s="6" t="s">
        <v>218</v>
      </c>
      <c r="H1848" s="6" t="s">
        <v>3</v>
      </c>
      <c r="I1848" s="6"/>
      <c r="J1848" s="6"/>
      <c r="K1848" s="6"/>
      <c r="L1848" s="6" t="s">
        <v>2210</v>
      </c>
      <c r="M1848" s="6"/>
      <c r="N1848" s="6" t="s">
        <v>2211</v>
      </c>
      <c r="O1848" s="6" t="str">
        <f>HYPERLINK("https://ceds.ed.gov/cedselementdetails.aspx?termid=5569")</f>
        <v>https://ceds.ed.gov/cedselementdetails.aspx?termid=5569</v>
      </c>
      <c r="P1848" s="6" t="str">
        <f>HYPERLINK("https://ceds.ed.gov/elementComment.aspx?elementName=Disability Status &amp;elementID=5569", "Click here to submit comment")</f>
        <v>Click here to submit comment</v>
      </c>
    </row>
    <row r="1849" spans="1:16" ht="285">
      <c r="A1849" s="6" t="s">
        <v>6869</v>
      </c>
      <c r="B1849" s="6" t="s">
        <v>6872</v>
      </c>
      <c r="C1849" s="6"/>
      <c r="D1849" s="6" t="s">
        <v>3040</v>
      </c>
      <c r="E1849" s="6" t="s">
        <v>3041</v>
      </c>
      <c r="F1849" s="6" t="s">
        <v>5963</v>
      </c>
      <c r="G1849" s="6" t="s">
        <v>6200</v>
      </c>
      <c r="H1849" s="6" t="s">
        <v>3</v>
      </c>
      <c r="I1849" s="6"/>
      <c r="J1849" s="6"/>
      <c r="K1849" s="6"/>
      <c r="L1849" s="6" t="s">
        <v>3042</v>
      </c>
      <c r="M1849" s="6"/>
      <c r="N1849" s="6" t="s">
        <v>3043</v>
      </c>
      <c r="O1849" s="6" t="str">
        <f>HYPERLINK("https://ceds.ed.gov/cedselementdetails.aspx?termid=5151")</f>
        <v>https://ceds.ed.gov/cedselementdetails.aspx?termid=5151</v>
      </c>
      <c r="P1849" s="6" t="str">
        <f>HYPERLINK("https://ceds.ed.gov/elementComment.aspx?elementName=IDEA Indicator &amp;elementID=5151", "Click here to submit comment")</f>
        <v>Click here to submit comment</v>
      </c>
    </row>
    <row r="1850" spans="1:16" ht="105">
      <c r="A1850" s="6" t="s">
        <v>6869</v>
      </c>
      <c r="B1850" s="6" t="s">
        <v>6872</v>
      </c>
      <c r="C1850" s="6"/>
      <c r="D1850" s="6" t="s">
        <v>4536</v>
      </c>
      <c r="E1850" s="6" t="s">
        <v>4537</v>
      </c>
      <c r="F1850" s="6" t="s">
        <v>5963</v>
      </c>
      <c r="G1850" s="6"/>
      <c r="H1850" s="6" t="s">
        <v>54</v>
      </c>
      <c r="I1850" s="6"/>
      <c r="J1850" s="6"/>
      <c r="K1850" s="6" t="s">
        <v>4538</v>
      </c>
      <c r="L1850" s="6" t="s">
        <v>4539</v>
      </c>
      <c r="M1850" s="6"/>
      <c r="N1850" s="6" t="s">
        <v>4540</v>
      </c>
      <c r="O1850" s="6" t="str">
        <f>HYPERLINK("https://ceds.ed.gov/cedselementdetails.aspx?termid=6395")</f>
        <v>https://ceds.ed.gov/cedselementdetails.aspx?termid=6395</v>
      </c>
      <c r="P1850" s="6" t="str">
        <f>HYPERLINK("https://ceds.ed.gov/elementComment.aspx?elementName=Postsecondary Entering Student Indicator &amp;elementID=6395", "Click here to submit comment")</f>
        <v>Click here to submit comment</v>
      </c>
    </row>
    <row r="1851" spans="1:16" ht="120">
      <c r="A1851" s="6" t="s">
        <v>6869</v>
      </c>
      <c r="B1851" s="6" t="s">
        <v>6872</v>
      </c>
      <c r="C1851" s="6"/>
      <c r="D1851" s="6" t="s">
        <v>4541</v>
      </c>
      <c r="E1851" s="6" t="s">
        <v>4542</v>
      </c>
      <c r="F1851" s="6" t="s">
        <v>13</v>
      </c>
      <c r="G1851" s="6"/>
      <c r="H1851" s="6" t="s">
        <v>54</v>
      </c>
      <c r="I1851" s="6" t="s">
        <v>100</v>
      </c>
      <c r="J1851" s="6"/>
      <c r="K1851" s="6" t="s">
        <v>4538</v>
      </c>
      <c r="L1851" s="6" t="s">
        <v>4543</v>
      </c>
      <c r="M1851" s="6"/>
      <c r="N1851" s="6" t="s">
        <v>4544</v>
      </c>
      <c r="O1851" s="6" t="str">
        <f>HYPERLINK("https://ceds.ed.gov/cedselementdetails.aspx?termid=6396")</f>
        <v>https://ceds.ed.gov/cedselementdetails.aspx?termid=6396</v>
      </c>
      <c r="P1851" s="6" t="str">
        <f>HYPERLINK("https://ceds.ed.gov/elementComment.aspx?elementName=Postsecondary Student Entering Term &amp;elementID=6396", "Click here to submit comment")</f>
        <v>Click here to submit comment</v>
      </c>
    </row>
    <row r="1852" spans="1:16" ht="315">
      <c r="A1852" s="6" t="s">
        <v>6869</v>
      </c>
      <c r="B1852" s="6" t="s">
        <v>6872</v>
      </c>
      <c r="C1852" s="6"/>
      <c r="D1852" s="6" t="s">
        <v>4587</v>
      </c>
      <c r="E1852" s="6" t="s">
        <v>4588</v>
      </c>
      <c r="F1852" s="7" t="s">
        <v>6607</v>
      </c>
      <c r="G1852" s="6" t="s">
        <v>6286</v>
      </c>
      <c r="H1852" s="6" t="s">
        <v>3</v>
      </c>
      <c r="I1852" s="6"/>
      <c r="J1852" s="6"/>
      <c r="K1852" s="6"/>
      <c r="L1852" s="6" t="s">
        <v>4589</v>
      </c>
      <c r="M1852" s="6"/>
      <c r="N1852" s="6" t="s">
        <v>4590</v>
      </c>
      <c r="O1852" s="6" t="str">
        <f>HYPERLINK("https://ceds.ed.gov/cedselementdetails.aspx?termid=5218")</f>
        <v>https://ceds.ed.gov/cedselementdetails.aspx?termid=5218</v>
      </c>
      <c r="P1852" s="6" t="str">
        <f>HYPERLINK("https://ceds.ed.gov/elementComment.aspx?elementName=Primary Disability Type &amp;elementID=5218", "Click here to submit comment")</f>
        <v>Click here to submit comment</v>
      </c>
    </row>
    <row r="1853" spans="1:16" ht="195">
      <c r="A1853" s="6" t="s">
        <v>6869</v>
      </c>
      <c r="B1853" s="6" t="s">
        <v>6872</v>
      </c>
      <c r="C1853" s="6" t="s">
        <v>6717</v>
      </c>
      <c r="D1853" s="6" t="s">
        <v>2776</v>
      </c>
      <c r="E1853" s="6" t="s">
        <v>2777</v>
      </c>
      <c r="F1853" s="6" t="s">
        <v>13</v>
      </c>
      <c r="G1853" s="6" t="s">
        <v>6176</v>
      </c>
      <c r="H1853" s="6" t="s">
        <v>3</v>
      </c>
      <c r="I1853" s="6" t="s">
        <v>1368</v>
      </c>
      <c r="J1853" s="6"/>
      <c r="K1853" s="6" t="s">
        <v>2778</v>
      </c>
      <c r="L1853" s="6" t="s">
        <v>2779</v>
      </c>
      <c r="M1853" s="6"/>
      <c r="N1853" s="6" t="s">
        <v>2780</v>
      </c>
      <c r="O1853" s="6" t="str">
        <f>HYPERLINK("https://ceds.ed.gov/cedselementdetails.aspx?termid=5115")</f>
        <v>https://ceds.ed.gov/cedselementdetails.aspx?termid=5115</v>
      </c>
      <c r="P1853" s="6" t="str">
        <f>HYPERLINK("https://ceds.ed.gov/elementComment.aspx?elementName=First Name &amp;elementID=5115", "Click here to submit comment")</f>
        <v>Click here to submit comment</v>
      </c>
    </row>
    <row r="1854" spans="1:16" ht="195">
      <c r="A1854" s="6" t="s">
        <v>6869</v>
      </c>
      <c r="B1854" s="6" t="s">
        <v>6872</v>
      </c>
      <c r="C1854" s="6" t="s">
        <v>6717</v>
      </c>
      <c r="D1854" s="6" t="s">
        <v>4088</v>
      </c>
      <c r="E1854" s="6" t="s">
        <v>4089</v>
      </c>
      <c r="F1854" s="6" t="s">
        <v>13</v>
      </c>
      <c r="G1854" s="6" t="s">
        <v>6176</v>
      </c>
      <c r="H1854" s="6" t="s">
        <v>3</v>
      </c>
      <c r="I1854" s="6" t="s">
        <v>1368</v>
      </c>
      <c r="J1854" s="6"/>
      <c r="K1854" s="6" t="s">
        <v>2778</v>
      </c>
      <c r="L1854" s="6" t="s">
        <v>4090</v>
      </c>
      <c r="M1854" s="6"/>
      <c r="N1854" s="6" t="s">
        <v>4091</v>
      </c>
      <c r="O1854" s="6" t="str">
        <f>HYPERLINK("https://ceds.ed.gov/cedselementdetails.aspx?termid=5184")</f>
        <v>https://ceds.ed.gov/cedselementdetails.aspx?termid=5184</v>
      </c>
      <c r="P1854" s="6" t="str">
        <f>HYPERLINK("https://ceds.ed.gov/elementComment.aspx?elementName=Middle Name &amp;elementID=5184", "Click here to submit comment")</f>
        <v>Click here to submit comment</v>
      </c>
    </row>
    <row r="1855" spans="1:16" ht="195">
      <c r="A1855" s="6" t="s">
        <v>6869</v>
      </c>
      <c r="B1855" s="6" t="s">
        <v>6872</v>
      </c>
      <c r="C1855" s="6" t="s">
        <v>6717</v>
      </c>
      <c r="D1855" s="6" t="s">
        <v>3427</v>
      </c>
      <c r="E1855" s="6" t="s">
        <v>3428</v>
      </c>
      <c r="F1855" s="6" t="s">
        <v>13</v>
      </c>
      <c r="G1855" s="6" t="s">
        <v>6176</v>
      </c>
      <c r="H1855" s="6" t="s">
        <v>3</v>
      </c>
      <c r="I1855" s="6" t="s">
        <v>1368</v>
      </c>
      <c r="J1855" s="6"/>
      <c r="K1855" s="6" t="s">
        <v>2778</v>
      </c>
      <c r="L1855" s="6" t="s">
        <v>3429</v>
      </c>
      <c r="M1855" s="6" t="s">
        <v>3430</v>
      </c>
      <c r="N1855" s="6" t="s">
        <v>3431</v>
      </c>
      <c r="O1855" s="6" t="str">
        <f>HYPERLINK("https://ceds.ed.gov/cedselementdetails.aspx?termid=5172")</f>
        <v>https://ceds.ed.gov/cedselementdetails.aspx?termid=5172</v>
      </c>
      <c r="P1855" s="6" t="str">
        <f>HYPERLINK("https://ceds.ed.gov/elementComment.aspx?elementName=Last or Surname &amp;elementID=5172", "Click here to submit comment")</f>
        <v>Click here to submit comment</v>
      </c>
    </row>
    <row r="1856" spans="1:16" ht="150">
      <c r="A1856" s="6" t="s">
        <v>6869</v>
      </c>
      <c r="B1856" s="6" t="s">
        <v>6872</v>
      </c>
      <c r="C1856" s="6" t="s">
        <v>6717</v>
      </c>
      <c r="D1856" s="6" t="s">
        <v>2829</v>
      </c>
      <c r="E1856" s="6" t="s">
        <v>2830</v>
      </c>
      <c r="F1856" s="6" t="s">
        <v>13</v>
      </c>
      <c r="G1856" s="6" t="s">
        <v>6179</v>
      </c>
      <c r="H1856" s="6" t="s">
        <v>3</v>
      </c>
      <c r="I1856" s="6" t="s">
        <v>2031</v>
      </c>
      <c r="J1856" s="6"/>
      <c r="K1856" s="6" t="s">
        <v>2778</v>
      </c>
      <c r="L1856" s="6" t="s">
        <v>2831</v>
      </c>
      <c r="M1856" s="6"/>
      <c r="N1856" s="6" t="s">
        <v>2832</v>
      </c>
      <c r="O1856" s="6" t="str">
        <f>HYPERLINK("https://ceds.ed.gov/cedselementdetails.aspx?termid=5121")</f>
        <v>https://ceds.ed.gov/cedselementdetails.aspx?termid=5121</v>
      </c>
      <c r="P1856" s="6" t="str">
        <f>HYPERLINK("https://ceds.ed.gov/elementComment.aspx?elementName=Generation Code or Suffix &amp;elementID=5121", "Click here to submit comment")</f>
        <v>Click here to submit comment</v>
      </c>
    </row>
    <row r="1857" spans="1:16" ht="105">
      <c r="A1857" s="6" t="s">
        <v>6869</v>
      </c>
      <c r="B1857" s="6" t="s">
        <v>6872</v>
      </c>
      <c r="C1857" s="6" t="s">
        <v>6717</v>
      </c>
      <c r="D1857" s="6" t="s">
        <v>4498</v>
      </c>
      <c r="E1857" s="6" t="s">
        <v>4499</v>
      </c>
      <c r="F1857" s="6" t="s">
        <v>13</v>
      </c>
      <c r="G1857" s="6" t="s">
        <v>6280</v>
      </c>
      <c r="H1857" s="6" t="s">
        <v>3</v>
      </c>
      <c r="I1857" s="6" t="s">
        <v>100</v>
      </c>
      <c r="J1857" s="6"/>
      <c r="K1857" s="6"/>
      <c r="L1857" s="6" t="s">
        <v>4500</v>
      </c>
      <c r="M1857" s="6" t="s">
        <v>4501</v>
      </c>
      <c r="N1857" s="6" t="s">
        <v>4502</v>
      </c>
      <c r="O1857" s="6" t="str">
        <f>HYPERLINK("https://ceds.ed.gov/cedselementdetails.aspx?termid=5212")</f>
        <v>https://ceds.ed.gov/cedselementdetails.aspx?termid=5212</v>
      </c>
      <c r="P1857" s="6" t="str">
        <f>HYPERLINK("https://ceds.ed.gov/elementComment.aspx?elementName=Personal Title or Prefix &amp;elementID=5212", "Click here to submit comment")</f>
        <v>Click here to submit comment</v>
      </c>
    </row>
    <row r="1858" spans="1:16" ht="30">
      <c r="A1858" s="6" t="s">
        <v>6869</v>
      </c>
      <c r="B1858" s="6" t="s">
        <v>6872</v>
      </c>
      <c r="C1858" s="6" t="s">
        <v>6718</v>
      </c>
      <c r="D1858" s="6" t="s">
        <v>4375</v>
      </c>
      <c r="E1858" s="6" t="s">
        <v>4376</v>
      </c>
      <c r="F1858" s="6" t="s">
        <v>13</v>
      </c>
      <c r="G1858" s="6"/>
      <c r="H1858" s="6" t="s">
        <v>54</v>
      </c>
      <c r="I1858" s="6" t="s">
        <v>1368</v>
      </c>
      <c r="J1858" s="6"/>
      <c r="K1858" s="6" t="s">
        <v>4377</v>
      </c>
      <c r="L1858" s="6" t="s">
        <v>4378</v>
      </c>
      <c r="M1858" s="6"/>
      <c r="N1858" s="6" t="s">
        <v>4379</v>
      </c>
      <c r="O1858" s="6" t="str">
        <f>HYPERLINK("https://ceds.ed.gov/cedselementdetails.aspx?termid=6486")</f>
        <v>https://ceds.ed.gov/cedselementdetails.aspx?termid=6486</v>
      </c>
      <c r="P1858" s="6" t="str">
        <f>HYPERLINK("https://ceds.ed.gov/elementComment.aspx?elementName=Other First Name &amp;elementID=6486", "Click here to submit comment")</f>
        <v>Click here to submit comment</v>
      </c>
    </row>
    <row r="1859" spans="1:16" ht="30">
      <c r="A1859" s="6" t="s">
        <v>6869</v>
      </c>
      <c r="B1859" s="6" t="s">
        <v>6872</v>
      </c>
      <c r="C1859" s="6" t="s">
        <v>6718</v>
      </c>
      <c r="D1859" s="6" t="s">
        <v>4380</v>
      </c>
      <c r="E1859" s="6" t="s">
        <v>4381</v>
      </c>
      <c r="F1859" s="6" t="s">
        <v>13</v>
      </c>
      <c r="G1859" s="6"/>
      <c r="H1859" s="6" t="s">
        <v>54</v>
      </c>
      <c r="I1859" s="6" t="s">
        <v>1368</v>
      </c>
      <c r="J1859" s="6"/>
      <c r="K1859" s="6" t="s">
        <v>4382</v>
      </c>
      <c r="L1859" s="6" t="s">
        <v>4383</v>
      </c>
      <c r="M1859" s="6"/>
      <c r="N1859" s="6" t="s">
        <v>4384</v>
      </c>
      <c r="O1859" s="6" t="str">
        <f>HYPERLINK("https://ceds.ed.gov/cedselementdetails.aspx?termid=6485")</f>
        <v>https://ceds.ed.gov/cedselementdetails.aspx?termid=6485</v>
      </c>
      <c r="P1859" s="6" t="str">
        <f>HYPERLINK("https://ceds.ed.gov/elementComment.aspx?elementName=Other Last Name &amp;elementID=6485", "Click here to submit comment")</f>
        <v>Click here to submit comment</v>
      </c>
    </row>
    <row r="1860" spans="1:16" ht="30">
      <c r="A1860" s="6" t="s">
        <v>6869</v>
      </c>
      <c r="B1860" s="6" t="s">
        <v>6872</v>
      </c>
      <c r="C1860" s="6" t="s">
        <v>6718</v>
      </c>
      <c r="D1860" s="6" t="s">
        <v>4385</v>
      </c>
      <c r="E1860" s="6" t="s">
        <v>4386</v>
      </c>
      <c r="F1860" s="6" t="s">
        <v>13</v>
      </c>
      <c r="G1860" s="6"/>
      <c r="H1860" s="6" t="s">
        <v>54</v>
      </c>
      <c r="I1860" s="6" t="s">
        <v>1368</v>
      </c>
      <c r="J1860" s="6"/>
      <c r="K1860" s="6" t="s">
        <v>4387</v>
      </c>
      <c r="L1860" s="6" t="s">
        <v>4388</v>
      </c>
      <c r="M1860" s="6"/>
      <c r="N1860" s="6" t="s">
        <v>4389</v>
      </c>
      <c r="O1860" s="6" t="str">
        <f>HYPERLINK("https://ceds.ed.gov/cedselementdetails.aspx?termid=6487")</f>
        <v>https://ceds.ed.gov/cedselementdetails.aspx?termid=6487</v>
      </c>
      <c r="P1860" s="6" t="str">
        <f>HYPERLINK("https://ceds.ed.gov/elementComment.aspx?elementName=Other Middle Name &amp;elementID=6487", "Click here to submit comment")</f>
        <v>Click here to submit comment</v>
      </c>
    </row>
    <row r="1861" spans="1:16" ht="150">
      <c r="A1861" s="6" t="s">
        <v>6869</v>
      </c>
      <c r="B1861" s="6" t="s">
        <v>6872</v>
      </c>
      <c r="C1861" s="6" t="s">
        <v>6718</v>
      </c>
      <c r="D1861" s="6" t="s">
        <v>4390</v>
      </c>
      <c r="E1861" s="6" t="s">
        <v>4391</v>
      </c>
      <c r="F1861" s="6" t="s">
        <v>13</v>
      </c>
      <c r="G1861" s="6" t="s">
        <v>6179</v>
      </c>
      <c r="H1861" s="6" t="s">
        <v>3</v>
      </c>
      <c r="I1861" s="6" t="s">
        <v>149</v>
      </c>
      <c r="J1861" s="6"/>
      <c r="K1861" s="6"/>
      <c r="L1861" s="6" t="s">
        <v>4392</v>
      </c>
      <c r="M1861" s="6"/>
      <c r="N1861" s="6" t="s">
        <v>4393</v>
      </c>
      <c r="O1861" s="6" t="str">
        <f>HYPERLINK("https://ceds.ed.gov/cedselementdetails.aspx?termid=5206")</f>
        <v>https://ceds.ed.gov/cedselementdetails.aspx?termid=5206</v>
      </c>
      <c r="P1861" s="6" t="str">
        <f>HYPERLINK("https://ceds.ed.gov/elementComment.aspx?elementName=Other Name &amp;elementID=5206", "Click here to submit comment")</f>
        <v>Click here to submit comment</v>
      </c>
    </row>
    <row r="1862" spans="1:16" ht="90">
      <c r="A1862" s="6" t="s">
        <v>6869</v>
      </c>
      <c r="B1862" s="6" t="s">
        <v>6872</v>
      </c>
      <c r="C1862" s="6" t="s">
        <v>6718</v>
      </c>
      <c r="D1862" s="6" t="s">
        <v>4394</v>
      </c>
      <c r="E1862" s="6" t="s">
        <v>4395</v>
      </c>
      <c r="F1862" s="7" t="s">
        <v>6593</v>
      </c>
      <c r="G1862" s="6" t="s">
        <v>6273</v>
      </c>
      <c r="H1862" s="6" t="s">
        <v>3</v>
      </c>
      <c r="I1862" s="6" t="s">
        <v>100</v>
      </c>
      <c r="J1862" s="6"/>
      <c r="K1862" s="6"/>
      <c r="L1862" s="6" t="s">
        <v>4396</v>
      </c>
      <c r="M1862" s="6"/>
      <c r="N1862" s="6" t="s">
        <v>4397</v>
      </c>
      <c r="O1862" s="6" t="str">
        <f>HYPERLINK("https://ceds.ed.gov/cedselementdetails.aspx?termid=5627")</f>
        <v>https://ceds.ed.gov/cedselementdetails.aspx?termid=5627</v>
      </c>
      <c r="P1862" s="6" t="str">
        <f>HYPERLINK("https://ceds.ed.gov/elementComment.aspx?elementName=Other Name Type &amp;elementID=5627", "Click here to submit comment")</f>
        <v>Click here to submit comment</v>
      </c>
    </row>
    <row r="1863" spans="1:16" ht="135">
      <c r="A1863" s="6" t="s">
        <v>6869</v>
      </c>
      <c r="B1863" s="6" t="s">
        <v>6872</v>
      </c>
      <c r="C1863" s="6" t="s">
        <v>6719</v>
      </c>
      <c r="D1863" s="6" t="s">
        <v>5614</v>
      </c>
      <c r="E1863" s="6" t="s">
        <v>5615</v>
      </c>
      <c r="F1863" s="6" t="s">
        <v>13</v>
      </c>
      <c r="G1863" s="6" t="s">
        <v>6330</v>
      </c>
      <c r="H1863" s="6"/>
      <c r="I1863" s="6" t="s">
        <v>100</v>
      </c>
      <c r="J1863" s="6"/>
      <c r="K1863" s="6"/>
      <c r="L1863" s="6" t="s">
        <v>5616</v>
      </c>
      <c r="M1863" s="6"/>
      <c r="N1863" s="6" t="s">
        <v>5617</v>
      </c>
      <c r="O1863" s="6" t="str">
        <f>HYPERLINK("https://ceds.ed.gov/cedselementdetails.aspx?termid=5157")</f>
        <v>https://ceds.ed.gov/cedselementdetails.aspx?termid=5157</v>
      </c>
      <c r="P1863" s="6" t="str">
        <f>HYPERLINK("https://ceds.ed.gov/elementComment.aspx?elementName=Student Identifier &amp;elementID=5157", "Click here to submit comment")</f>
        <v>Click here to submit comment</v>
      </c>
    </row>
    <row r="1864" spans="1:16" ht="285">
      <c r="A1864" s="6" t="s">
        <v>6869</v>
      </c>
      <c r="B1864" s="6" t="s">
        <v>6872</v>
      </c>
      <c r="C1864" s="6" t="s">
        <v>6719</v>
      </c>
      <c r="D1864" s="6" t="s">
        <v>5610</v>
      </c>
      <c r="E1864" s="6" t="s">
        <v>5611</v>
      </c>
      <c r="F1864" s="7" t="s">
        <v>6665</v>
      </c>
      <c r="G1864" s="6" t="s">
        <v>6330</v>
      </c>
      <c r="H1864" s="6"/>
      <c r="I1864" s="6"/>
      <c r="J1864" s="6"/>
      <c r="K1864" s="6"/>
      <c r="L1864" s="6" t="s">
        <v>5612</v>
      </c>
      <c r="M1864" s="6"/>
      <c r="N1864" s="6" t="s">
        <v>5613</v>
      </c>
      <c r="O1864" s="6" t="str">
        <f>HYPERLINK("https://ceds.ed.gov/cedselementdetails.aspx?termid=5163")</f>
        <v>https://ceds.ed.gov/cedselementdetails.aspx?termid=5163</v>
      </c>
      <c r="P1864" s="6" t="str">
        <f>HYPERLINK("https://ceds.ed.gov/elementComment.aspx?elementName=Student Identification System &amp;elementID=5163", "Click here to submit comment")</f>
        <v>Click here to submit comment</v>
      </c>
    </row>
    <row r="1865" spans="1:16" ht="390">
      <c r="A1865" s="6" t="s">
        <v>6869</v>
      </c>
      <c r="B1865" s="6" t="s">
        <v>6872</v>
      </c>
      <c r="C1865" s="6" t="s">
        <v>6719</v>
      </c>
      <c r="D1865" s="6" t="s">
        <v>5383</v>
      </c>
      <c r="E1865" s="6" t="s">
        <v>5384</v>
      </c>
      <c r="F1865" s="6" t="s">
        <v>13</v>
      </c>
      <c r="G1865" s="6" t="s">
        <v>6315</v>
      </c>
      <c r="H1865" s="6" t="s">
        <v>3</v>
      </c>
      <c r="I1865" s="6" t="s">
        <v>5385</v>
      </c>
      <c r="J1865" s="6"/>
      <c r="K1865" s="6" t="s">
        <v>5386</v>
      </c>
      <c r="L1865" s="6" t="s">
        <v>5387</v>
      </c>
      <c r="M1865" s="6" t="s">
        <v>5388</v>
      </c>
      <c r="N1865" s="6" t="s">
        <v>5389</v>
      </c>
      <c r="O1865" s="6" t="str">
        <f>HYPERLINK("https://ceds.ed.gov/cedselementdetails.aspx?termid=5259")</f>
        <v>https://ceds.ed.gov/cedselementdetails.aspx?termid=5259</v>
      </c>
      <c r="P1865" s="6" t="str">
        <f>HYPERLINK("https://ceds.ed.gov/elementComment.aspx?elementName=Social Security Number &amp;elementID=5259", "Click here to submit comment")</f>
        <v>Click here to submit comment</v>
      </c>
    </row>
    <row r="1866" spans="1:16" ht="375">
      <c r="A1866" s="6" t="s">
        <v>6869</v>
      </c>
      <c r="B1866" s="6" t="s">
        <v>6872</v>
      </c>
      <c r="C1866" s="6" t="s">
        <v>6719</v>
      </c>
      <c r="D1866" s="6" t="s">
        <v>4494</v>
      </c>
      <c r="E1866" s="6" t="s">
        <v>4495</v>
      </c>
      <c r="F1866" s="7" t="s">
        <v>6599</v>
      </c>
      <c r="G1866" s="6"/>
      <c r="H1866" s="6" t="s">
        <v>3</v>
      </c>
      <c r="I1866" s="6"/>
      <c r="J1866" s="6"/>
      <c r="K1866" s="6"/>
      <c r="L1866" s="6" t="s">
        <v>4496</v>
      </c>
      <c r="M1866" s="6"/>
      <c r="N1866" s="6" t="s">
        <v>4497</v>
      </c>
      <c r="O1866" s="6" t="str">
        <f>HYPERLINK("https://ceds.ed.gov/cedselementdetails.aspx?termid=5611")</f>
        <v>https://ceds.ed.gov/cedselementdetails.aspx?termid=5611</v>
      </c>
      <c r="P1866" s="6" t="str">
        <f>HYPERLINK("https://ceds.ed.gov/elementComment.aspx?elementName=Personal Information Verification &amp;elementID=5611", "Click here to submit comment")</f>
        <v>Click here to submit comment</v>
      </c>
    </row>
    <row r="1867" spans="1:16" ht="285">
      <c r="A1867" s="6" t="s">
        <v>6869</v>
      </c>
      <c r="B1867" s="6" t="s">
        <v>6872</v>
      </c>
      <c r="C1867" s="6" t="s">
        <v>6720</v>
      </c>
      <c r="D1867" s="6" t="s">
        <v>191</v>
      </c>
      <c r="E1867" s="6" t="s">
        <v>192</v>
      </c>
      <c r="F1867" s="7" t="s">
        <v>6353</v>
      </c>
      <c r="G1867" s="6" t="s">
        <v>5976</v>
      </c>
      <c r="H1867" s="6" t="s">
        <v>66</v>
      </c>
      <c r="I1867" s="6" t="s">
        <v>100</v>
      </c>
      <c r="J1867" s="6" t="s">
        <v>193</v>
      </c>
      <c r="K1867" s="6"/>
      <c r="L1867" s="6" t="s">
        <v>194</v>
      </c>
      <c r="M1867" s="6"/>
      <c r="N1867" s="6" t="s">
        <v>195</v>
      </c>
      <c r="O1867" s="6" t="str">
        <f>HYPERLINK("https://ceds.ed.gov/cedselementdetails.aspx?termid=5358")</f>
        <v>https://ceds.ed.gov/cedselementdetails.aspx?termid=5358</v>
      </c>
      <c r="P1867" s="6" t="str">
        <f>HYPERLINK("https://ceds.ed.gov/elementComment.aspx?elementName=Address Type for Learner or Family &amp;elementID=5358", "Click here to submit comment")</f>
        <v>Click here to submit comment</v>
      </c>
    </row>
    <row r="1868" spans="1:16" ht="225">
      <c r="A1868" s="6" t="s">
        <v>6869</v>
      </c>
      <c r="B1868" s="6" t="s">
        <v>6872</v>
      </c>
      <c r="C1868" s="6" t="s">
        <v>6720</v>
      </c>
      <c r="D1868" s="6" t="s">
        <v>187</v>
      </c>
      <c r="E1868" s="6" t="s">
        <v>188</v>
      </c>
      <c r="F1868" s="6" t="s">
        <v>13</v>
      </c>
      <c r="G1868" s="6" t="s">
        <v>5973</v>
      </c>
      <c r="H1868" s="6" t="s">
        <v>3</v>
      </c>
      <c r="I1868" s="6" t="s">
        <v>149</v>
      </c>
      <c r="J1868" s="6"/>
      <c r="K1868" s="6"/>
      <c r="L1868" s="6" t="s">
        <v>189</v>
      </c>
      <c r="M1868" s="6"/>
      <c r="N1868" s="6" t="s">
        <v>190</v>
      </c>
      <c r="O1868" s="6" t="str">
        <f>HYPERLINK("https://ceds.ed.gov/cedselementdetails.aspx?termid=5269")</f>
        <v>https://ceds.ed.gov/cedselementdetails.aspx?termid=5269</v>
      </c>
      <c r="P1868" s="6" t="str">
        <f>HYPERLINK("https://ceds.ed.gov/elementComment.aspx?elementName=Address Street Number and Name &amp;elementID=5269", "Click here to submit comment")</f>
        <v>Click here to submit comment</v>
      </c>
    </row>
    <row r="1869" spans="1:16" ht="225">
      <c r="A1869" s="6" t="s">
        <v>6869</v>
      </c>
      <c r="B1869" s="6" t="s">
        <v>6872</v>
      </c>
      <c r="C1869" s="6" t="s">
        <v>6720</v>
      </c>
      <c r="D1869" s="6" t="s">
        <v>170</v>
      </c>
      <c r="E1869" s="6" t="s">
        <v>171</v>
      </c>
      <c r="F1869" s="6" t="s">
        <v>13</v>
      </c>
      <c r="G1869" s="6" t="s">
        <v>5973</v>
      </c>
      <c r="H1869" s="6" t="s">
        <v>3</v>
      </c>
      <c r="I1869" s="6" t="s">
        <v>100</v>
      </c>
      <c r="J1869" s="6"/>
      <c r="K1869" s="6"/>
      <c r="L1869" s="6" t="s">
        <v>172</v>
      </c>
      <c r="M1869" s="6"/>
      <c r="N1869" s="6" t="s">
        <v>173</v>
      </c>
      <c r="O1869" s="6" t="str">
        <f>HYPERLINK("https://ceds.ed.gov/cedselementdetails.aspx?termid=5019")</f>
        <v>https://ceds.ed.gov/cedselementdetails.aspx?termid=5019</v>
      </c>
      <c r="P1869" s="6" t="str">
        <f>HYPERLINK("https://ceds.ed.gov/elementComment.aspx?elementName=Address Apartment Room or Suite Number &amp;elementID=5019", "Click here to submit comment")</f>
        <v>Click here to submit comment</v>
      </c>
    </row>
    <row r="1870" spans="1:16" ht="225">
      <c r="A1870" s="6" t="s">
        <v>6869</v>
      </c>
      <c r="B1870" s="6" t="s">
        <v>6872</v>
      </c>
      <c r="C1870" s="6" t="s">
        <v>6720</v>
      </c>
      <c r="D1870" s="6" t="s">
        <v>174</v>
      </c>
      <c r="E1870" s="6" t="s">
        <v>175</v>
      </c>
      <c r="F1870" s="6" t="s">
        <v>13</v>
      </c>
      <c r="G1870" s="6" t="s">
        <v>5973</v>
      </c>
      <c r="H1870" s="6" t="s">
        <v>3</v>
      </c>
      <c r="I1870" s="6" t="s">
        <v>100</v>
      </c>
      <c r="J1870" s="6"/>
      <c r="K1870" s="6"/>
      <c r="L1870" s="6" t="s">
        <v>176</v>
      </c>
      <c r="M1870" s="6"/>
      <c r="N1870" s="6" t="s">
        <v>177</v>
      </c>
      <c r="O1870" s="6" t="str">
        <f>HYPERLINK("https://ceds.ed.gov/cedselementdetails.aspx?termid=5040")</f>
        <v>https://ceds.ed.gov/cedselementdetails.aspx?termid=5040</v>
      </c>
      <c r="P1870" s="6" t="str">
        <f>HYPERLINK("https://ceds.ed.gov/elementComment.aspx?elementName=Address City &amp;elementID=5040", "Click here to submit comment")</f>
        <v>Click here to submit comment</v>
      </c>
    </row>
    <row r="1871" spans="1:16" ht="409.5">
      <c r="A1871" s="6" t="s">
        <v>6869</v>
      </c>
      <c r="B1871" s="6" t="s">
        <v>6872</v>
      </c>
      <c r="C1871" s="6" t="s">
        <v>6720</v>
      </c>
      <c r="D1871" s="6" t="s">
        <v>5533</v>
      </c>
      <c r="E1871" s="6" t="s">
        <v>5534</v>
      </c>
      <c r="F1871" s="7" t="s">
        <v>6633</v>
      </c>
      <c r="G1871" s="6" t="s">
        <v>6324</v>
      </c>
      <c r="H1871" s="6" t="s">
        <v>3</v>
      </c>
      <c r="I1871" s="6"/>
      <c r="J1871" s="6"/>
      <c r="K1871" s="6"/>
      <c r="L1871" s="6" t="s">
        <v>5535</v>
      </c>
      <c r="M1871" s="6"/>
      <c r="N1871" s="6" t="s">
        <v>5536</v>
      </c>
      <c r="O1871" s="6" t="str">
        <f>HYPERLINK("https://ceds.ed.gov/cedselementdetails.aspx?termid=5267")</f>
        <v>https://ceds.ed.gov/cedselementdetails.aspx?termid=5267</v>
      </c>
      <c r="P1871" s="6" t="str">
        <f>HYPERLINK("https://ceds.ed.gov/elementComment.aspx?elementName=State Abbreviation &amp;elementID=5267", "Click here to submit comment")</f>
        <v>Click here to submit comment</v>
      </c>
    </row>
    <row r="1872" spans="1:16" ht="225">
      <c r="A1872" s="6" t="s">
        <v>6869</v>
      </c>
      <c r="B1872" s="6" t="s">
        <v>6872</v>
      </c>
      <c r="C1872" s="6" t="s">
        <v>6720</v>
      </c>
      <c r="D1872" s="6" t="s">
        <v>182</v>
      </c>
      <c r="E1872" s="6" t="s">
        <v>183</v>
      </c>
      <c r="F1872" s="6" t="s">
        <v>13</v>
      </c>
      <c r="G1872" s="6" t="s">
        <v>5973</v>
      </c>
      <c r="H1872" s="6" t="s">
        <v>3</v>
      </c>
      <c r="I1872" s="6" t="s">
        <v>184</v>
      </c>
      <c r="J1872" s="6"/>
      <c r="K1872" s="6"/>
      <c r="L1872" s="6" t="s">
        <v>185</v>
      </c>
      <c r="M1872" s="6"/>
      <c r="N1872" s="6" t="s">
        <v>186</v>
      </c>
      <c r="O1872" s="6" t="str">
        <f>HYPERLINK("https://ceds.ed.gov/cedselementdetails.aspx?termid=5214")</f>
        <v>https://ceds.ed.gov/cedselementdetails.aspx?termid=5214</v>
      </c>
      <c r="P1872" s="6" t="str">
        <f>HYPERLINK("https://ceds.ed.gov/elementComment.aspx?elementName=Address Postal Code &amp;elementID=5214", "Click here to submit comment")</f>
        <v>Click here to submit comment</v>
      </c>
    </row>
    <row r="1873" spans="1:16" ht="225">
      <c r="A1873" s="6" t="s">
        <v>6869</v>
      </c>
      <c r="B1873" s="6" t="s">
        <v>6872</v>
      </c>
      <c r="C1873" s="6" t="s">
        <v>6720</v>
      </c>
      <c r="D1873" s="6" t="s">
        <v>178</v>
      </c>
      <c r="E1873" s="6" t="s">
        <v>179</v>
      </c>
      <c r="F1873" s="6" t="s">
        <v>13</v>
      </c>
      <c r="G1873" s="6" t="s">
        <v>5973</v>
      </c>
      <c r="H1873" s="6" t="s">
        <v>3</v>
      </c>
      <c r="I1873" s="6" t="s">
        <v>100</v>
      </c>
      <c r="J1873" s="6"/>
      <c r="K1873" s="6"/>
      <c r="L1873" s="6" t="s">
        <v>180</v>
      </c>
      <c r="M1873" s="6"/>
      <c r="N1873" s="6" t="s">
        <v>181</v>
      </c>
      <c r="O1873" s="6" t="str">
        <f>HYPERLINK("https://ceds.ed.gov/cedselementdetails.aspx?termid=5190")</f>
        <v>https://ceds.ed.gov/cedselementdetails.aspx?termid=5190</v>
      </c>
      <c r="P1873" s="6" t="str">
        <f>HYPERLINK("https://ceds.ed.gov/elementComment.aspx?elementName=Address County Name &amp;elementID=5190", "Click here to submit comment")</f>
        <v>Click here to submit comment</v>
      </c>
    </row>
    <row r="1874" spans="1:16" ht="409.5">
      <c r="A1874" s="6" t="s">
        <v>6869</v>
      </c>
      <c r="B1874" s="6" t="s">
        <v>6872</v>
      </c>
      <c r="C1874" s="6" t="s">
        <v>6720</v>
      </c>
      <c r="D1874" s="6" t="s">
        <v>1809</v>
      </c>
      <c r="E1874" s="6" t="s">
        <v>1810</v>
      </c>
      <c r="F1874" s="7" t="s">
        <v>6433</v>
      </c>
      <c r="G1874" s="6" t="s">
        <v>6107</v>
      </c>
      <c r="H1874" s="6" t="s">
        <v>3</v>
      </c>
      <c r="I1874" s="6"/>
      <c r="J1874" s="6"/>
      <c r="K1874" s="6"/>
      <c r="L1874" s="6" t="s">
        <v>1811</v>
      </c>
      <c r="M1874" s="6"/>
      <c r="N1874" s="6" t="s">
        <v>1812</v>
      </c>
      <c r="O1874" s="6" t="str">
        <f>HYPERLINK("https://ceds.ed.gov/cedselementdetails.aspx?termid=5050")</f>
        <v>https://ceds.ed.gov/cedselementdetails.aspx?termid=5050</v>
      </c>
      <c r="P1874" s="6" t="str">
        <f>HYPERLINK("https://ceds.ed.gov/elementComment.aspx?elementName=Country Code &amp;elementID=5050", "Click here to submit comment")</f>
        <v>Click here to submit comment</v>
      </c>
    </row>
    <row r="1875" spans="1:16" ht="409.5">
      <c r="A1875" s="6" t="s">
        <v>6869</v>
      </c>
      <c r="B1875" s="6" t="s">
        <v>6872</v>
      </c>
      <c r="C1875" s="6" t="s">
        <v>6720</v>
      </c>
      <c r="D1875" s="6" t="s">
        <v>5579</v>
      </c>
      <c r="E1875" s="6" t="s">
        <v>5580</v>
      </c>
      <c r="F1875" s="7" t="s">
        <v>6633</v>
      </c>
      <c r="G1875" s="6" t="s">
        <v>5976</v>
      </c>
      <c r="H1875" s="6"/>
      <c r="I1875" s="6"/>
      <c r="J1875" s="6"/>
      <c r="K1875" s="6"/>
      <c r="L1875" s="6" t="s">
        <v>5582</v>
      </c>
      <c r="M1875" s="6"/>
      <c r="N1875" s="6" t="s">
        <v>5583</v>
      </c>
      <c r="O1875" s="6" t="str">
        <f>HYPERLINK("https://ceds.ed.gov/cedselementdetails.aspx?termid=5268")</f>
        <v>https://ceds.ed.gov/cedselementdetails.aspx?termid=5268</v>
      </c>
      <c r="P1875" s="6" t="str">
        <f>HYPERLINK("https://ceds.ed.gov/elementComment.aspx?elementName=State of Residence &amp;elementID=5268", "Click here to submit comment")</f>
        <v>Click here to submit comment</v>
      </c>
    </row>
    <row r="1876" spans="1:16" ht="135">
      <c r="A1876" s="6" t="s">
        <v>6869</v>
      </c>
      <c r="B1876" s="6" t="s">
        <v>6872</v>
      </c>
      <c r="C1876" s="6" t="s">
        <v>6721</v>
      </c>
      <c r="D1876" s="6" t="s">
        <v>5732</v>
      </c>
      <c r="E1876" s="6" t="s">
        <v>5733</v>
      </c>
      <c r="F1876" s="7" t="s">
        <v>6675</v>
      </c>
      <c r="G1876" s="6" t="s">
        <v>5968</v>
      </c>
      <c r="H1876" s="6" t="s">
        <v>3</v>
      </c>
      <c r="I1876" s="6" t="s">
        <v>2844</v>
      </c>
      <c r="J1876" s="6"/>
      <c r="K1876" s="6"/>
      <c r="L1876" s="6" t="s">
        <v>5734</v>
      </c>
      <c r="M1876" s="6"/>
      <c r="N1876" s="6" t="s">
        <v>5735</v>
      </c>
      <c r="O1876" s="6" t="str">
        <f>HYPERLINK("https://ceds.ed.gov/cedselementdetails.aspx?termid=5280")</f>
        <v>https://ceds.ed.gov/cedselementdetails.aspx?termid=5280</v>
      </c>
      <c r="P1876" s="6" t="str">
        <f>HYPERLINK("https://ceds.ed.gov/elementComment.aspx?elementName=Telephone Number Type &amp;elementID=5280", "Click here to submit comment")</f>
        <v>Click here to submit comment</v>
      </c>
    </row>
    <row r="1877" spans="1:16" ht="90">
      <c r="A1877" s="6" t="s">
        <v>6869</v>
      </c>
      <c r="B1877" s="6" t="s">
        <v>6872</v>
      </c>
      <c r="C1877" s="6" t="s">
        <v>6721</v>
      </c>
      <c r="D1877" s="6" t="s">
        <v>4591</v>
      </c>
      <c r="E1877" s="6" t="s">
        <v>4592</v>
      </c>
      <c r="F1877" s="6" t="s">
        <v>5963</v>
      </c>
      <c r="G1877" s="6" t="s">
        <v>5968</v>
      </c>
      <c r="H1877" s="6" t="s">
        <v>3</v>
      </c>
      <c r="I1877" s="6"/>
      <c r="J1877" s="6"/>
      <c r="K1877" s="6"/>
      <c r="L1877" s="6" t="s">
        <v>4593</v>
      </c>
      <c r="M1877" s="6"/>
      <c r="N1877" s="6" t="s">
        <v>4594</v>
      </c>
      <c r="O1877" s="6" t="str">
        <f>HYPERLINK("https://ceds.ed.gov/cedselementdetails.aspx?termid=5219")</f>
        <v>https://ceds.ed.gov/cedselementdetails.aspx?termid=5219</v>
      </c>
      <c r="P1877" s="6" t="str">
        <f>HYPERLINK("https://ceds.ed.gov/elementComment.aspx?elementName=Primary Telephone Number Indicator &amp;elementID=5219", "Click here to submit comment")</f>
        <v>Click here to submit comment</v>
      </c>
    </row>
    <row r="1878" spans="1:16" ht="90">
      <c r="A1878" s="6" t="s">
        <v>6869</v>
      </c>
      <c r="B1878" s="6" t="s">
        <v>6872</v>
      </c>
      <c r="C1878" s="6" t="s">
        <v>6721</v>
      </c>
      <c r="D1878" s="6" t="s">
        <v>5727</v>
      </c>
      <c r="E1878" s="6" t="s">
        <v>5728</v>
      </c>
      <c r="F1878" s="6" t="s">
        <v>13</v>
      </c>
      <c r="G1878" s="6" t="s">
        <v>5968</v>
      </c>
      <c r="H1878" s="6" t="s">
        <v>3</v>
      </c>
      <c r="I1878" s="6" t="s">
        <v>5729</v>
      </c>
      <c r="J1878" s="6"/>
      <c r="K1878" s="6"/>
      <c r="L1878" s="6" t="s">
        <v>5730</v>
      </c>
      <c r="M1878" s="6"/>
      <c r="N1878" s="6" t="s">
        <v>5731</v>
      </c>
      <c r="O1878" s="6" t="str">
        <f>HYPERLINK("https://ceds.ed.gov/cedselementdetails.aspx?termid=5279")</f>
        <v>https://ceds.ed.gov/cedselementdetails.aspx?termid=5279</v>
      </c>
      <c r="P1878" s="6" t="str">
        <f>HYPERLINK("https://ceds.ed.gov/elementComment.aspx?elementName=Telephone Number &amp;elementID=5279", "Click here to submit comment")</f>
        <v>Click here to submit comment</v>
      </c>
    </row>
    <row r="1879" spans="1:16" ht="105">
      <c r="A1879" s="6" t="s">
        <v>6869</v>
      </c>
      <c r="B1879" s="6" t="s">
        <v>6872</v>
      </c>
      <c r="C1879" s="6" t="s">
        <v>6742</v>
      </c>
      <c r="D1879" s="6" t="s">
        <v>2457</v>
      </c>
      <c r="E1879" s="6" t="s">
        <v>2458</v>
      </c>
      <c r="F1879" s="7" t="s">
        <v>6489</v>
      </c>
      <c r="G1879" s="6" t="s">
        <v>5968</v>
      </c>
      <c r="H1879" s="6" t="s">
        <v>3</v>
      </c>
      <c r="I1879" s="6"/>
      <c r="J1879" s="6"/>
      <c r="K1879" s="6"/>
      <c r="L1879" s="6" t="s">
        <v>2459</v>
      </c>
      <c r="M1879" s="6" t="s">
        <v>2460</v>
      </c>
      <c r="N1879" s="6" t="s">
        <v>2461</v>
      </c>
      <c r="O1879" s="6" t="str">
        <f>HYPERLINK("https://ceds.ed.gov/cedselementdetails.aspx?termid=5089")</f>
        <v>https://ceds.ed.gov/cedselementdetails.aspx?termid=5089</v>
      </c>
      <c r="P1879" s="6" t="str">
        <f>HYPERLINK("https://ceds.ed.gov/elementComment.aspx?elementName=Electronic Mail Address Type &amp;elementID=5089", "Click here to submit comment")</f>
        <v>Click here to submit comment</v>
      </c>
    </row>
    <row r="1880" spans="1:16" ht="90">
      <c r="A1880" s="6" t="s">
        <v>6869</v>
      </c>
      <c r="B1880" s="6" t="s">
        <v>6872</v>
      </c>
      <c r="C1880" s="6" t="s">
        <v>6742</v>
      </c>
      <c r="D1880" s="6" t="s">
        <v>2451</v>
      </c>
      <c r="E1880" s="6" t="s">
        <v>2452</v>
      </c>
      <c r="F1880" s="6" t="s">
        <v>13</v>
      </c>
      <c r="G1880" s="6" t="s">
        <v>5968</v>
      </c>
      <c r="H1880" s="6" t="s">
        <v>3</v>
      </c>
      <c r="I1880" s="6" t="s">
        <v>2453</v>
      </c>
      <c r="J1880" s="6"/>
      <c r="K1880" s="6"/>
      <c r="L1880" s="6" t="s">
        <v>2454</v>
      </c>
      <c r="M1880" s="6" t="s">
        <v>2455</v>
      </c>
      <c r="N1880" s="6" t="s">
        <v>2456</v>
      </c>
      <c r="O1880" s="6" t="str">
        <f>HYPERLINK("https://ceds.ed.gov/cedselementdetails.aspx?termid=5088")</f>
        <v>https://ceds.ed.gov/cedselementdetails.aspx?termid=5088</v>
      </c>
      <c r="P1880" s="6" t="str">
        <f>HYPERLINK("https://ceds.ed.gov/elementComment.aspx?elementName=Electronic Mail Address &amp;elementID=5088", "Click here to submit comment")</f>
        <v>Click here to submit comment</v>
      </c>
    </row>
    <row r="1881" spans="1:16" ht="240">
      <c r="A1881" s="6" t="s">
        <v>6869</v>
      </c>
      <c r="B1881" s="6" t="s">
        <v>6872</v>
      </c>
      <c r="C1881" s="6" t="s">
        <v>6722</v>
      </c>
      <c r="D1881" s="6" t="s">
        <v>1474</v>
      </c>
      <c r="E1881" s="6" t="s">
        <v>1475</v>
      </c>
      <c r="F1881" s="6" t="s">
        <v>13</v>
      </c>
      <c r="G1881" s="6" t="s">
        <v>6080</v>
      </c>
      <c r="H1881" s="6" t="s">
        <v>3</v>
      </c>
      <c r="I1881" s="6" t="s">
        <v>73</v>
      </c>
      <c r="J1881" s="6"/>
      <c r="K1881" s="6"/>
      <c r="L1881" s="6" t="s">
        <v>1476</v>
      </c>
      <c r="M1881" s="6"/>
      <c r="N1881" s="6" t="s">
        <v>1474</v>
      </c>
      <c r="O1881" s="6" t="str">
        <f>HYPERLINK("https://ceds.ed.gov/cedselementdetails.aspx?termid=5033")</f>
        <v>https://ceds.ed.gov/cedselementdetails.aspx?termid=5033</v>
      </c>
      <c r="P1881" s="6" t="str">
        <f>HYPERLINK("https://ceds.ed.gov/elementComment.aspx?elementName=Birthdate &amp;elementID=5033", "Click here to submit comment")</f>
        <v>Click here to submit comment</v>
      </c>
    </row>
    <row r="1882" spans="1:16" ht="255">
      <c r="A1882" s="6" t="s">
        <v>6869</v>
      </c>
      <c r="B1882" s="6" t="s">
        <v>6872</v>
      </c>
      <c r="C1882" s="6" t="s">
        <v>6722</v>
      </c>
      <c r="D1882" s="6" t="s">
        <v>5353</v>
      </c>
      <c r="E1882" s="6" t="s">
        <v>5354</v>
      </c>
      <c r="F1882" s="7" t="s">
        <v>6656</v>
      </c>
      <c r="G1882" s="6" t="s">
        <v>6312</v>
      </c>
      <c r="H1882" s="6" t="s">
        <v>3</v>
      </c>
      <c r="I1882" s="6"/>
      <c r="J1882" s="6"/>
      <c r="K1882" s="6" t="s">
        <v>5355</v>
      </c>
      <c r="L1882" s="6" t="s">
        <v>5356</v>
      </c>
      <c r="M1882" s="6"/>
      <c r="N1882" s="6" t="s">
        <v>5353</v>
      </c>
      <c r="O1882" s="6" t="str">
        <f>HYPERLINK("https://ceds.ed.gov/cedselementdetails.aspx?termid=5255")</f>
        <v>https://ceds.ed.gov/cedselementdetails.aspx?termid=5255</v>
      </c>
      <c r="P1882" s="6" t="str">
        <f>HYPERLINK("https://ceds.ed.gov/elementComment.aspx?elementName=Sex &amp;elementID=5255", "Click here to submit comment")</f>
        <v>Click here to submit comment</v>
      </c>
    </row>
    <row r="1883" spans="1:16" ht="225">
      <c r="A1883" s="6" t="s">
        <v>6869</v>
      </c>
      <c r="B1883" s="6" t="s">
        <v>6872</v>
      </c>
      <c r="C1883" s="6" t="s">
        <v>6722</v>
      </c>
      <c r="D1883" s="6" t="s">
        <v>351</v>
      </c>
      <c r="E1883" s="6" t="s">
        <v>352</v>
      </c>
      <c r="F1883" s="7" t="s">
        <v>6373</v>
      </c>
      <c r="G1883" s="6" t="s">
        <v>5986</v>
      </c>
      <c r="H1883" s="6"/>
      <c r="I1883" s="6"/>
      <c r="J1883" s="6"/>
      <c r="K1883" s="6" t="s">
        <v>353</v>
      </c>
      <c r="L1883" s="6" t="s">
        <v>354</v>
      </c>
      <c r="M1883" s="6"/>
      <c r="N1883" s="6" t="s">
        <v>355</v>
      </c>
      <c r="O1883" s="6" t="str">
        <f>HYPERLINK("https://ceds.ed.gov/cedselementdetails.aspx?termid=5655")</f>
        <v>https://ceds.ed.gov/cedselementdetails.aspx?termid=5655</v>
      </c>
      <c r="P1883" s="6" t="str">
        <f>HYPERLINK("https://ceds.ed.gov/elementComment.aspx?elementName=American Indian or Alaska Native &amp;elementID=5655", "Click here to submit comment")</f>
        <v>Click here to submit comment</v>
      </c>
    </row>
    <row r="1884" spans="1:16" ht="225">
      <c r="A1884" s="6" t="s">
        <v>6869</v>
      </c>
      <c r="B1884" s="6" t="s">
        <v>6872</v>
      </c>
      <c r="C1884" s="6" t="s">
        <v>6722</v>
      </c>
      <c r="D1884" s="6" t="s">
        <v>392</v>
      </c>
      <c r="E1884" s="6" t="s">
        <v>393</v>
      </c>
      <c r="F1884" s="7" t="s">
        <v>6373</v>
      </c>
      <c r="G1884" s="6" t="s">
        <v>5986</v>
      </c>
      <c r="H1884" s="6"/>
      <c r="I1884" s="6"/>
      <c r="J1884" s="6"/>
      <c r="K1884" s="6" t="s">
        <v>353</v>
      </c>
      <c r="L1884" s="6" t="s">
        <v>394</v>
      </c>
      <c r="M1884" s="6"/>
      <c r="N1884" s="6" t="s">
        <v>392</v>
      </c>
      <c r="O1884" s="6" t="str">
        <f>HYPERLINK("https://ceds.ed.gov/cedselementdetails.aspx?termid=5656")</f>
        <v>https://ceds.ed.gov/cedselementdetails.aspx?termid=5656</v>
      </c>
      <c r="P1884" s="6" t="str">
        <f>HYPERLINK("https://ceds.ed.gov/elementComment.aspx?elementName=Asian &amp;elementID=5656", "Click here to submit comment")</f>
        <v>Click here to submit comment</v>
      </c>
    </row>
    <row r="1885" spans="1:16" ht="225">
      <c r="A1885" s="6" t="s">
        <v>6869</v>
      </c>
      <c r="B1885" s="6" t="s">
        <v>6872</v>
      </c>
      <c r="C1885" s="6" t="s">
        <v>6722</v>
      </c>
      <c r="D1885" s="6" t="s">
        <v>1483</v>
      </c>
      <c r="E1885" s="6" t="s">
        <v>1484</v>
      </c>
      <c r="F1885" s="7" t="s">
        <v>6373</v>
      </c>
      <c r="G1885" s="6" t="s">
        <v>5986</v>
      </c>
      <c r="H1885" s="6"/>
      <c r="I1885" s="6"/>
      <c r="J1885" s="6"/>
      <c r="K1885" s="6" t="s">
        <v>353</v>
      </c>
      <c r="L1885" s="6" t="s">
        <v>1485</v>
      </c>
      <c r="M1885" s="6"/>
      <c r="N1885" s="6" t="s">
        <v>1486</v>
      </c>
      <c r="O1885" s="6" t="str">
        <f>HYPERLINK("https://ceds.ed.gov/cedselementdetails.aspx?termid=5657")</f>
        <v>https://ceds.ed.gov/cedselementdetails.aspx?termid=5657</v>
      </c>
      <c r="P1885" s="6" t="str">
        <f>HYPERLINK("https://ceds.ed.gov/elementComment.aspx?elementName=Black or African American &amp;elementID=5657", "Click here to submit comment")</f>
        <v>Click here to submit comment</v>
      </c>
    </row>
    <row r="1886" spans="1:16" ht="225">
      <c r="A1886" s="6" t="s">
        <v>6869</v>
      </c>
      <c r="B1886" s="6" t="s">
        <v>6872</v>
      </c>
      <c r="C1886" s="6" t="s">
        <v>6722</v>
      </c>
      <c r="D1886" s="6" t="s">
        <v>4202</v>
      </c>
      <c r="E1886" s="6" t="s">
        <v>4203</v>
      </c>
      <c r="F1886" s="7" t="s">
        <v>6373</v>
      </c>
      <c r="G1886" s="6" t="s">
        <v>5986</v>
      </c>
      <c r="H1886" s="6"/>
      <c r="I1886" s="6"/>
      <c r="J1886" s="6"/>
      <c r="K1886" s="6" t="s">
        <v>353</v>
      </c>
      <c r="L1886" s="6" t="s">
        <v>4204</v>
      </c>
      <c r="M1886" s="6"/>
      <c r="N1886" s="6" t="s">
        <v>4205</v>
      </c>
      <c r="O1886" s="6" t="str">
        <f>HYPERLINK("https://ceds.ed.gov/cedselementdetails.aspx?termid=5658")</f>
        <v>https://ceds.ed.gov/cedselementdetails.aspx?termid=5658</v>
      </c>
      <c r="P1886" s="6" t="str">
        <f>HYPERLINK("https://ceds.ed.gov/elementComment.aspx?elementName=Native Hawaiian or Other Pacific Islander &amp;elementID=5658", "Click here to submit comment")</f>
        <v>Click here to submit comment</v>
      </c>
    </row>
    <row r="1887" spans="1:16" ht="225">
      <c r="A1887" s="6" t="s">
        <v>6869</v>
      </c>
      <c r="B1887" s="6" t="s">
        <v>6872</v>
      </c>
      <c r="C1887" s="6" t="s">
        <v>6722</v>
      </c>
      <c r="D1887" s="6" t="s">
        <v>5925</v>
      </c>
      <c r="E1887" s="6" t="s">
        <v>5926</v>
      </c>
      <c r="F1887" s="7" t="s">
        <v>6373</v>
      </c>
      <c r="G1887" s="6" t="s">
        <v>5986</v>
      </c>
      <c r="H1887" s="6"/>
      <c r="I1887" s="6"/>
      <c r="J1887" s="6"/>
      <c r="K1887" s="6" t="s">
        <v>353</v>
      </c>
      <c r="L1887" s="6" t="s">
        <v>5927</v>
      </c>
      <c r="M1887" s="6"/>
      <c r="N1887" s="6" t="s">
        <v>5925</v>
      </c>
      <c r="O1887" s="6" t="str">
        <f>HYPERLINK("https://ceds.ed.gov/cedselementdetails.aspx?termid=5659")</f>
        <v>https://ceds.ed.gov/cedselementdetails.aspx?termid=5659</v>
      </c>
      <c r="P1887" s="6" t="str">
        <f>HYPERLINK("https://ceds.ed.gov/elementComment.aspx?elementName=White &amp;elementID=5659", "Click here to submit comment")</f>
        <v>Click here to submit comment</v>
      </c>
    </row>
    <row r="1888" spans="1:16" ht="225">
      <c r="A1888" s="6" t="s">
        <v>6869</v>
      </c>
      <c r="B1888" s="6" t="s">
        <v>6872</v>
      </c>
      <c r="C1888" s="6" t="s">
        <v>6722</v>
      </c>
      <c r="D1888" s="6" t="s">
        <v>2985</v>
      </c>
      <c r="E1888" s="6" t="s">
        <v>2986</v>
      </c>
      <c r="F1888" s="7" t="s">
        <v>6373</v>
      </c>
      <c r="G1888" s="6" t="s">
        <v>5986</v>
      </c>
      <c r="H1888" s="6"/>
      <c r="I1888" s="6"/>
      <c r="J1888" s="6"/>
      <c r="K1888" s="6" t="s">
        <v>353</v>
      </c>
      <c r="L1888" s="6" t="s">
        <v>2987</v>
      </c>
      <c r="M1888" s="6"/>
      <c r="N1888" s="6" t="s">
        <v>2988</v>
      </c>
      <c r="O1888" s="6" t="str">
        <f>HYPERLINK("https://ceds.ed.gov/cedselementdetails.aspx?termid=5144")</f>
        <v>https://ceds.ed.gov/cedselementdetails.aspx?termid=5144</v>
      </c>
      <c r="P1888" s="6" t="str">
        <f>HYPERLINK("https://ceds.ed.gov/elementComment.aspx?elementName=Hispanic or Latino Ethnicity &amp;elementID=5144", "Click here to submit comment")</f>
        <v>Click here to submit comment</v>
      </c>
    </row>
    <row r="1889" spans="1:16" ht="60">
      <c r="A1889" s="6" t="s">
        <v>6869</v>
      </c>
      <c r="B1889" s="6" t="s">
        <v>6872</v>
      </c>
      <c r="C1889" s="6" t="s">
        <v>6722</v>
      </c>
      <c r="D1889" s="6" t="s">
        <v>2161</v>
      </c>
      <c r="E1889" s="6" t="s">
        <v>2162</v>
      </c>
      <c r="F1889" s="6" t="s">
        <v>6132</v>
      </c>
      <c r="G1889" s="6" t="s">
        <v>6133</v>
      </c>
      <c r="H1889" s="6"/>
      <c r="I1889" s="6"/>
      <c r="J1889" s="6"/>
      <c r="K1889" s="6"/>
      <c r="L1889" s="6" t="s">
        <v>2163</v>
      </c>
      <c r="M1889" s="6"/>
      <c r="N1889" s="6" t="s">
        <v>2164</v>
      </c>
      <c r="O1889" s="6" t="str">
        <f>HYPERLINK("https://ceds.ed.gov/cedselementdetails.aspx?termid=5079")</f>
        <v>https://ceds.ed.gov/cedselementdetails.aspx?termid=5079</v>
      </c>
      <c r="P1889" s="6" t="str">
        <f>HYPERLINK("https://ceds.ed.gov/elementComment.aspx?elementName=Dependency Status &amp;elementID=5079", "Click here to submit comment")</f>
        <v>Click here to submit comment</v>
      </c>
    </row>
    <row r="1890" spans="1:16" ht="135">
      <c r="A1890" s="6" t="s">
        <v>6869</v>
      </c>
      <c r="B1890" s="6" t="s">
        <v>6872</v>
      </c>
      <c r="C1890" s="6" t="s">
        <v>6722</v>
      </c>
      <c r="D1890" s="6" t="s">
        <v>5867</v>
      </c>
      <c r="E1890" s="6" t="s">
        <v>5868</v>
      </c>
      <c r="F1890" s="7" t="s">
        <v>6689</v>
      </c>
      <c r="G1890" s="6" t="s">
        <v>6340</v>
      </c>
      <c r="H1890" s="6"/>
      <c r="I1890" s="6"/>
      <c r="J1890" s="6"/>
      <c r="K1890" s="6" t="s">
        <v>5355</v>
      </c>
      <c r="L1890" s="6" t="s">
        <v>5869</v>
      </c>
      <c r="M1890" s="6"/>
      <c r="N1890" s="6" t="s">
        <v>5870</v>
      </c>
      <c r="O1890" s="6" t="str">
        <f>HYPERLINK("https://ceds.ed.gov/cedselementdetails.aspx?termid=5299")</f>
        <v>https://ceds.ed.gov/cedselementdetails.aspx?termid=5299</v>
      </c>
      <c r="P1890" s="6" t="str">
        <f>HYPERLINK("https://ceds.ed.gov/elementComment.aspx?elementName=United States Citizenship Status &amp;elementID=5299", "Click here to submit comment")</f>
        <v>Click here to submit comment</v>
      </c>
    </row>
    <row r="1891" spans="1:16" ht="165">
      <c r="A1891" s="6" t="s">
        <v>6869</v>
      </c>
      <c r="B1891" s="6" t="s">
        <v>6872</v>
      </c>
      <c r="C1891" s="6" t="s">
        <v>6722</v>
      </c>
      <c r="D1891" s="6" t="s">
        <v>5879</v>
      </c>
      <c r="E1891" s="6" t="s">
        <v>5880</v>
      </c>
      <c r="F1891" s="7" t="s">
        <v>6691</v>
      </c>
      <c r="G1891" s="6" t="s">
        <v>1537</v>
      </c>
      <c r="H1891" s="6"/>
      <c r="I1891" s="6"/>
      <c r="J1891" s="6"/>
      <c r="K1891" s="6"/>
      <c r="L1891" s="6" t="s">
        <v>5881</v>
      </c>
      <c r="M1891" s="6"/>
      <c r="N1891" s="6" t="s">
        <v>5882</v>
      </c>
      <c r="O1891" s="6" t="str">
        <f>HYPERLINK("https://ceds.ed.gov/cedselementdetails.aspx?termid=5196")</f>
        <v>https://ceds.ed.gov/cedselementdetails.aspx?termid=5196</v>
      </c>
      <c r="P1891" s="6" t="str">
        <f>HYPERLINK("https://ceds.ed.gov/elementComment.aspx?elementName=Visa Type &amp;elementID=5196", "Click here to submit comment")</f>
        <v>Click here to submit comment</v>
      </c>
    </row>
    <row r="1892" spans="1:16" ht="195">
      <c r="A1892" s="6" t="s">
        <v>6869</v>
      </c>
      <c r="B1892" s="6" t="s">
        <v>6872</v>
      </c>
      <c r="C1892" s="6" t="s">
        <v>6722</v>
      </c>
      <c r="D1892" s="6" t="s">
        <v>1730</v>
      </c>
      <c r="E1892" s="6" t="s">
        <v>1731</v>
      </c>
      <c r="F1892" s="7" t="s">
        <v>6427</v>
      </c>
      <c r="G1892" s="6" t="s">
        <v>1537</v>
      </c>
      <c r="H1892" s="6"/>
      <c r="I1892" s="6"/>
      <c r="J1892" s="6"/>
      <c r="K1892" s="6"/>
      <c r="L1892" s="6" t="s">
        <v>1732</v>
      </c>
      <c r="M1892" s="6"/>
      <c r="N1892" s="6" t="s">
        <v>1733</v>
      </c>
      <c r="O1892" s="6" t="str">
        <f>HYPERLINK("https://ceds.ed.gov/cedselementdetails.aspx?termid=5106")</f>
        <v>https://ceds.ed.gov/cedselementdetails.aspx?termid=5106</v>
      </c>
      <c r="P1892" s="6" t="str">
        <f>HYPERLINK("https://ceds.ed.gov/elementComment.aspx?elementName=Cohort Exclusion &amp;elementID=5106", "Click here to submit comment")</f>
        <v>Click here to submit comment</v>
      </c>
    </row>
    <row r="1893" spans="1:16" ht="105">
      <c r="A1893" s="6" t="s">
        <v>6869</v>
      </c>
      <c r="B1893" s="6" t="s">
        <v>6872</v>
      </c>
      <c r="C1893" s="6" t="s">
        <v>6722</v>
      </c>
      <c r="D1893" s="6" t="s">
        <v>5846</v>
      </c>
      <c r="E1893" s="6" t="s">
        <v>5847</v>
      </c>
      <c r="F1893" s="7" t="s">
        <v>6686</v>
      </c>
      <c r="G1893" s="6" t="s">
        <v>1537</v>
      </c>
      <c r="H1893" s="6"/>
      <c r="I1893" s="6"/>
      <c r="J1893" s="6"/>
      <c r="K1893" s="6"/>
      <c r="L1893" s="6" t="s">
        <v>5848</v>
      </c>
      <c r="M1893" s="6"/>
      <c r="N1893" s="6" t="s">
        <v>5849</v>
      </c>
      <c r="O1893" s="6" t="str">
        <f>HYPERLINK("https://ceds.ed.gov/cedselementdetails.aspx?termid=5297")</f>
        <v>https://ceds.ed.gov/cedselementdetails.aspx?termid=5297</v>
      </c>
      <c r="P1893" s="6" t="str">
        <f>HYPERLINK("https://ceds.ed.gov/elementComment.aspx?elementName=Tuition Residency Type &amp;elementID=5297", "Click here to submit comment")</f>
        <v>Click here to submit comment</v>
      </c>
    </row>
    <row r="1894" spans="1:16" ht="120">
      <c r="A1894" s="6" t="s">
        <v>6869</v>
      </c>
      <c r="B1894" s="6" t="s">
        <v>6872</v>
      </c>
      <c r="C1894" s="6" t="s">
        <v>6722</v>
      </c>
      <c r="D1894" s="6" t="s">
        <v>1534</v>
      </c>
      <c r="E1894" s="6" t="s">
        <v>1535</v>
      </c>
      <c r="F1894" s="7" t="s">
        <v>6413</v>
      </c>
      <c r="G1894" s="6" t="s">
        <v>1537</v>
      </c>
      <c r="H1894" s="6"/>
      <c r="I1894" s="6"/>
      <c r="J1894" s="6"/>
      <c r="K1894" s="6"/>
      <c r="L1894" s="6" t="s">
        <v>1538</v>
      </c>
      <c r="M1894" s="6"/>
      <c r="N1894" s="6" t="s">
        <v>1539</v>
      </c>
      <c r="O1894" s="6" t="str">
        <f>HYPERLINK("https://ceds.ed.gov/cedselementdetails.aspx?termid=5035")</f>
        <v>https://ceds.ed.gov/cedselementdetails.aspx?termid=5035</v>
      </c>
      <c r="P1894" s="6" t="str">
        <f>HYPERLINK("https://ceds.ed.gov/elementComment.aspx?elementName=Campus Residency Type &amp;elementID=5035", "Click here to submit comment")</f>
        <v>Click here to submit comment</v>
      </c>
    </row>
    <row r="1895" spans="1:16" ht="165">
      <c r="A1895" s="6" t="s">
        <v>6869</v>
      </c>
      <c r="B1895" s="6" t="s">
        <v>6872</v>
      </c>
      <c r="C1895" s="6" t="s">
        <v>6722</v>
      </c>
      <c r="D1895" s="6" t="s">
        <v>3975</v>
      </c>
      <c r="E1895" s="6" t="s">
        <v>3976</v>
      </c>
      <c r="F1895" s="7" t="s">
        <v>6574</v>
      </c>
      <c r="G1895" s="6" t="s">
        <v>24</v>
      </c>
      <c r="H1895" s="6"/>
      <c r="I1895" s="6"/>
      <c r="J1895" s="6"/>
      <c r="K1895" s="6"/>
      <c r="L1895" s="6" t="s">
        <v>3977</v>
      </c>
      <c r="M1895" s="6" t="s">
        <v>3978</v>
      </c>
      <c r="N1895" s="6" t="s">
        <v>3979</v>
      </c>
      <c r="O1895" s="6" t="str">
        <f>HYPERLINK("https://ceds.ed.gov/cedselementdetails.aspx?termid=5179")</f>
        <v>https://ceds.ed.gov/cedselementdetails.aspx?termid=5179</v>
      </c>
      <c r="P1895" s="6" t="str">
        <f>HYPERLINK("https://ceds.ed.gov/elementComment.aspx?elementName=Limited English Proficiency - Postsecondary &amp;elementID=5179", "Click here to submit comment")</f>
        <v>Click here to submit comment</v>
      </c>
    </row>
    <row r="1896" spans="1:16" ht="45">
      <c r="A1896" s="6" t="s">
        <v>6869</v>
      </c>
      <c r="B1896" s="6" t="s">
        <v>6872</v>
      </c>
      <c r="C1896" s="6" t="s">
        <v>6722</v>
      </c>
      <c r="D1896" s="6" t="s">
        <v>1734</v>
      </c>
      <c r="E1896" s="6" t="s">
        <v>1735</v>
      </c>
      <c r="F1896" s="6" t="s">
        <v>13</v>
      </c>
      <c r="G1896" s="6" t="s">
        <v>6101</v>
      </c>
      <c r="H1896" s="6" t="s">
        <v>3</v>
      </c>
      <c r="I1896" s="6" t="s">
        <v>1736</v>
      </c>
      <c r="J1896" s="6"/>
      <c r="K1896" s="6"/>
      <c r="L1896" s="6" t="s">
        <v>1737</v>
      </c>
      <c r="M1896" s="6"/>
      <c r="N1896" s="6" t="s">
        <v>1738</v>
      </c>
      <c r="O1896" s="6" t="str">
        <f>HYPERLINK("https://ceds.ed.gov/cedselementdetails.aspx?termid=5577")</f>
        <v>https://ceds.ed.gov/cedselementdetails.aspx?termid=5577</v>
      </c>
      <c r="P1896" s="6" t="str">
        <f>HYPERLINK("https://ceds.ed.gov/elementComment.aspx?elementName=Cohort Graduation Year &amp;elementID=5577", "Click here to submit comment")</f>
        <v>Click here to submit comment</v>
      </c>
    </row>
    <row r="1897" spans="1:16" ht="210">
      <c r="A1897" s="6" t="s">
        <v>6869</v>
      </c>
      <c r="B1897" s="6" t="s">
        <v>6872</v>
      </c>
      <c r="C1897" s="6" t="s">
        <v>6722</v>
      </c>
      <c r="D1897" s="6" t="s">
        <v>2649</v>
      </c>
      <c r="E1897" s="6" t="s">
        <v>2650</v>
      </c>
      <c r="F1897" s="7" t="s">
        <v>6506</v>
      </c>
      <c r="G1897" s="6"/>
      <c r="H1897" s="6"/>
      <c r="I1897" s="6"/>
      <c r="J1897" s="6"/>
      <c r="K1897" s="6"/>
      <c r="L1897" s="6" t="s">
        <v>2651</v>
      </c>
      <c r="M1897" s="6"/>
      <c r="N1897" s="6" t="s">
        <v>2652</v>
      </c>
      <c r="O1897" s="6" t="str">
        <f>HYPERLINK("https://ceds.ed.gov/cedselementdetails.aspx?termid=6195")</f>
        <v>https://ceds.ed.gov/cedselementdetails.aspx?termid=6195</v>
      </c>
      <c r="P1897" s="6" t="str">
        <f>HYPERLINK("https://ceds.ed.gov/elementComment.aspx?elementName=Father's or Paternal Guardian Education &amp;elementID=6195", "Click here to submit comment")</f>
        <v>Click here to submit comment</v>
      </c>
    </row>
    <row r="1898" spans="1:16" ht="210">
      <c r="A1898" s="6" t="s">
        <v>6869</v>
      </c>
      <c r="B1898" s="6" t="s">
        <v>6872</v>
      </c>
      <c r="C1898" s="6" t="s">
        <v>6722</v>
      </c>
      <c r="D1898" s="6" t="s">
        <v>4173</v>
      </c>
      <c r="E1898" s="6" t="s">
        <v>4174</v>
      </c>
      <c r="F1898" s="7" t="s">
        <v>6506</v>
      </c>
      <c r="G1898" s="6"/>
      <c r="H1898" s="6"/>
      <c r="I1898" s="6"/>
      <c r="J1898" s="6"/>
      <c r="K1898" s="6"/>
      <c r="L1898" s="6" t="s">
        <v>4175</v>
      </c>
      <c r="M1898" s="6"/>
      <c r="N1898" s="6" t="s">
        <v>4176</v>
      </c>
      <c r="O1898" s="6" t="str">
        <f>HYPERLINK("https://ceds.ed.gov/cedselementdetails.aspx?termid=6194")</f>
        <v>https://ceds.ed.gov/cedselementdetails.aspx?termid=6194</v>
      </c>
      <c r="P1898" s="6" t="str">
        <f>HYPERLINK("https://ceds.ed.gov/elementComment.aspx?elementName=Mother's or Maternal Guardian Education &amp;elementID=6194", "Click here to submit comment")</f>
        <v>Click here to submit comment</v>
      </c>
    </row>
    <row r="1899" spans="1:16" ht="60">
      <c r="A1899" s="6" t="s">
        <v>6869</v>
      </c>
      <c r="B1899" s="6" t="s">
        <v>6872</v>
      </c>
      <c r="C1899" s="6" t="s">
        <v>6722</v>
      </c>
      <c r="D1899" s="6" t="s">
        <v>4274</v>
      </c>
      <c r="E1899" s="6" t="s">
        <v>4275</v>
      </c>
      <c r="F1899" s="6" t="s">
        <v>13</v>
      </c>
      <c r="G1899" s="6"/>
      <c r="H1899" s="6" t="s">
        <v>54</v>
      </c>
      <c r="I1899" s="6" t="s">
        <v>575</v>
      </c>
      <c r="J1899" s="6"/>
      <c r="K1899" s="6"/>
      <c r="L1899" s="6" t="s">
        <v>4276</v>
      </c>
      <c r="M1899" s="6"/>
      <c r="N1899" s="6" t="s">
        <v>4277</v>
      </c>
      <c r="O1899" s="6" t="str">
        <f>HYPERLINK("https://ceds.ed.gov/cedselementdetails.aspx?termid=6384")</f>
        <v>https://ceds.ed.gov/cedselementdetails.aspx?termid=6384</v>
      </c>
      <c r="P1899" s="6" t="str">
        <f>HYPERLINK("https://ceds.ed.gov/elementComment.aspx?elementName=Number of Dependents &amp;elementID=6384", "Click here to submit comment")</f>
        <v>Click here to submit comment</v>
      </c>
    </row>
    <row r="1900" spans="1:16" ht="105">
      <c r="A1900" s="6" t="s">
        <v>6869</v>
      </c>
      <c r="B1900" s="6" t="s">
        <v>6872</v>
      </c>
      <c r="C1900" s="6" t="s">
        <v>6722</v>
      </c>
      <c r="D1900" s="6" t="s">
        <v>5370</v>
      </c>
      <c r="E1900" s="6" t="s">
        <v>5371</v>
      </c>
      <c r="F1900" s="6" t="s">
        <v>5963</v>
      </c>
      <c r="G1900" s="6" t="s">
        <v>6101</v>
      </c>
      <c r="H1900" s="6" t="s">
        <v>3</v>
      </c>
      <c r="I1900" s="6"/>
      <c r="J1900" s="6"/>
      <c r="K1900" s="6"/>
      <c r="L1900" s="6" t="s">
        <v>5372</v>
      </c>
      <c r="M1900" s="6"/>
      <c r="N1900" s="6" t="s">
        <v>5373</v>
      </c>
      <c r="O1900" s="6" t="str">
        <f>HYPERLINK("https://ceds.ed.gov/cedselementdetails.aspx?termid=5573")</f>
        <v>https://ceds.ed.gov/cedselementdetails.aspx?termid=5573</v>
      </c>
      <c r="P1900" s="6" t="str">
        <f>HYPERLINK("https://ceds.ed.gov/elementComment.aspx?elementName=Single Parent Or Single Pregnant Woman Status &amp;elementID=5573", "Click here to submit comment")</f>
        <v>Click here to submit comment</v>
      </c>
    </row>
    <row r="1901" spans="1:16" ht="255">
      <c r="A1901" s="6" t="s">
        <v>6869</v>
      </c>
      <c r="B1901" s="6" t="s">
        <v>6872</v>
      </c>
      <c r="C1901" s="6" t="s">
        <v>6873</v>
      </c>
      <c r="D1901" s="6" t="s">
        <v>5529</v>
      </c>
      <c r="E1901" s="6" t="s">
        <v>5530</v>
      </c>
      <c r="F1901" s="6" t="s">
        <v>6323</v>
      </c>
      <c r="G1901" s="6" t="s">
        <v>1537</v>
      </c>
      <c r="H1901" s="6"/>
      <c r="I1901" s="6"/>
      <c r="J1901" s="6"/>
      <c r="K1901" s="6"/>
      <c r="L1901" s="6" t="s">
        <v>5531</v>
      </c>
      <c r="M1901" s="6"/>
      <c r="N1901" s="6" t="s">
        <v>5532</v>
      </c>
      <c r="O1901" s="6" t="str">
        <f>HYPERLINK("https://ceds.ed.gov/cedselementdetails.aspx?termid=5266")</f>
        <v>https://ceds.ed.gov/cedselementdetails.aspx?termid=5266</v>
      </c>
      <c r="P1901" s="6" t="str">
        <f>HYPERLINK("https://ceds.ed.gov/elementComment.aspx?elementName=Standardized Admission Test Type &amp;elementID=5266", "Click here to submit comment")</f>
        <v>Click here to submit comment</v>
      </c>
    </row>
    <row r="1902" spans="1:16" ht="45">
      <c r="A1902" s="6" t="s">
        <v>6869</v>
      </c>
      <c r="B1902" s="6" t="s">
        <v>6872</v>
      </c>
      <c r="C1902" s="6" t="s">
        <v>6873</v>
      </c>
      <c r="D1902" s="6" t="s">
        <v>5524</v>
      </c>
      <c r="E1902" s="6" t="s">
        <v>5525</v>
      </c>
      <c r="F1902" s="6" t="s">
        <v>13</v>
      </c>
      <c r="G1902" s="6" t="s">
        <v>1537</v>
      </c>
      <c r="H1902" s="6"/>
      <c r="I1902" s="6" t="s">
        <v>545</v>
      </c>
      <c r="J1902" s="6"/>
      <c r="K1902" s="6"/>
      <c r="L1902" s="6" t="s">
        <v>5527</v>
      </c>
      <c r="M1902" s="6"/>
      <c r="N1902" s="6" t="s">
        <v>5528</v>
      </c>
      <c r="O1902" s="6" t="str">
        <f>HYPERLINK("https://ceds.ed.gov/cedselementdetails.aspx?termid=5265")</f>
        <v>https://ceds.ed.gov/cedselementdetails.aspx?termid=5265</v>
      </c>
      <c r="P1902" s="6" t="str">
        <f>HYPERLINK("https://ceds.ed.gov/elementComment.aspx?elementName=Standardized Admission Test Score &amp;elementID=5265", "Click here to submit comment")</f>
        <v>Click here to submit comment</v>
      </c>
    </row>
    <row r="1903" spans="1:16" ht="90">
      <c r="A1903" s="6" t="s">
        <v>6869</v>
      </c>
      <c r="B1903" s="6" t="s">
        <v>6872</v>
      </c>
      <c r="C1903" s="6" t="s">
        <v>6805</v>
      </c>
      <c r="D1903" s="6" t="s">
        <v>1712</v>
      </c>
      <c r="E1903" s="6" t="s">
        <v>1713</v>
      </c>
      <c r="F1903" s="7" t="s">
        <v>6425</v>
      </c>
      <c r="G1903" s="6" t="s">
        <v>5976</v>
      </c>
      <c r="H1903" s="6"/>
      <c r="I1903" s="6"/>
      <c r="J1903" s="6"/>
      <c r="K1903" s="6"/>
      <c r="L1903" s="6" t="s">
        <v>1714</v>
      </c>
      <c r="M1903" s="6" t="s">
        <v>1715</v>
      </c>
      <c r="N1903" s="6" t="s">
        <v>1716</v>
      </c>
      <c r="O1903" s="6" t="str">
        <f>HYPERLINK("https://ceds.ed.gov/cedselementdetails.aspx?termid=5045")</f>
        <v>https://ceds.ed.gov/cedselementdetails.aspx?termid=5045</v>
      </c>
      <c r="P1903" s="6" t="str">
        <f>HYPERLINK("https://ceds.ed.gov/elementComment.aspx?elementName=Classification of Instructional Program Version &amp;elementID=5045", "Click here to submit comment")</f>
        <v>Click here to submit comment</v>
      </c>
    </row>
    <row r="1904" spans="1:16" ht="135">
      <c r="A1904" s="6" t="s">
        <v>6869</v>
      </c>
      <c r="B1904" s="6" t="s">
        <v>6872</v>
      </c>
      <c r="C1904" s="6" t="s">
        <v>6805</v>
      </c>
      <c r="D1904" s="6" t="s">
        <v>1706</v>
      </c>
      <c r="E1904" s="6" t="s">
        <v>1707</v>
      </c>
      <c r="F1904" s="7" t="s">
        <v>6424</v>
      </c>
      <c r="G1904" s="6" t="s">
        <v>5976</v>
      </c>
      <c r="H1904" s="6"/>
      <c r="I1904" s="6"/>
      <c r="J1904" s="6"/>
      <c r="K1904" s="6"/>
      <c r="L1904" s="6" t="s">
        <v>1709</v>
      </c>
      <c r="M1904" s="6" t="s">
        <v>1710</v>
      </c>
      <c r="N1904" s="6" t="s">
        <v>1711</v>
      </c>
      <c r="O1904" s="6" t="str">
        <f>HYPERLINK("https://ceds.ed.gov/cedselementdetails.aspx?termid=5044")</f>
        <v>https://ceds.ed.gov/cedselementdetails.aspx?termid=5044</v>
      </c>
      <c r="P1904" s="6" t="str">
        <f>HYPERLINK("https://ceds.ed.gov/elementComment.aspx?elementName=Classification of Instructional Program Use &amp;elementID=5044", "Click here to submit comment")</f>
        <v>Click here to submit comment</v>
      </c>
    </row>
    <row r="1905" spans="1:16" ht="75">
      <c r="A1905" s="6" t="s">
        <v>6869</v>
      </c>
      <c r="B1905" s="6" t="s">
        <v>6872</v>
      </c>
      <c r="C1905" s="6" t="s">
        <v>6805</v>
      </c>
      <c r="D1905" s="6" t="s">
        <v>1700</v>
      </c>
      <c r="E1905" s="6" t="s">
        <v>1701</v>
      </c>
      <c r="F1905" s="5" t="s">
        <v>1702</v>
      </c>
      <c r="G1905" s="6" t="s">
        <v>5967</v>
      </c>
      <c r="H1905" s="6" t="s">
        <v>3</v>
      </c>
      <c r="I1905" s="6"/>
      <c r="J1905" s="6"/>
      <c r="K1905" s="6"/>
      <c r="L1905" s="6" t="s">
        <v>1703</v>
      </c>
      <c r="M1905" s="6" t="s">
        <v>1704</v>
      </c>
      <c r="N1905" s="6" t="s">
        <v>1705</v>
      </c>
      <c r="O1905" s="6" t="str">
        <f>HYPERLINK("https://ceds.ed.gov/cedselementdetails.aspx?termid=5043")</f>
        <v>https://ceds.ed.gov/cedselementdetails.aspx?termid=5043</v>
      </c>
      <c r="P1905" s="6" t="str">
        <f>HYPERLINK("https://ceds.ed.gov/elementComment.aspx?elementName=Classification of Instructional Program Code &amp;elementID=5043", "Click here to submit comment")</f>
        <v>Click here to submit comment</v>
      </c>
    </row>
    <row r="1906" spans="1:16" ht="105">
      <c r="A1906" s="6" t="s">
        <v>6869</v>
      </c>
      <c r="B1906" s="6" t="s">
        <v>6872</v>
      </c>
      <c r="C1906" s="6" t="s">
        <v>6805</v>
      </c>
      <c r="D1906" s="6" t="s">
        <v>2127</v>
      </c>
      <c r="E1906" s="6" t="s">
        <v>2128</v>
      </c>
      <c r="F1906" s="6" t="s">
        <v>5963</v>
      </c>
      <c r="G1906" s="6" t="s">
        <v>5967</v>
      </c>
      <c r="H1906" s="6"/>
      <c r="I1906" s="6"/>
      <c r="J1906" s="6"/>
      <c r="K1906" s="6"/>
      <c r="L1906" s="6" t="s">
        <v>2129</v>
      </c>
      <c r="M1906" s="6"/>
      <c r="N1906" s="6" t="s">
        <v>2130</v>
      </c>
      <c r="O1906" s="6" t="str">
        <f>HYPERLINK("https://ceds.ed.gov/cedselementdetails.aspx?termid=5078")</f>
        <v>https://ceds.ed.gov/cedselementdetails.aspx?termid=5078</v>
      </c>
      <c r="P1906" s="6" t="str">
        <f>HYPERLINK("https://ceds.ed.gov/elementComment.aspx?elementName=Degree or Certificate Seeking Student &amp;elementID=5078", "Click here to submit comment")</f>
        <v>Click here to submit comment</v>
      </c>
    </row>
    <row r="1907" spans="1:16" ht="75">
      <c r="A1907" s="6" t="s">
        <v>6869</v>
      </c>
      <c r="B1907" s="6" t="s">
        <v>6872</v>
      </c>
      <c r="C1907" s="6" t="s">
        <v>6805</v>
      </c>
      <c r="D1907" s="6" t="s">
        <v>4805</v>
      </c>
      <c r="E1907" s="6" t="s">
        <v>4806</v>
      </c>
      <c r="F1907" s="6" t="s">
        <v>13</v>
      </c>
      <c r="G1907" s="6" t="s">
        <v>1537</v>
      </c>
      <c r="H1907" s="6"/>
      <c r="I1907" s="6" t="s">
        <v>1461</v>
      </c>
      <c r="J1907" s="6"/>
      <c r="K1907" s="6"/>
      <c r="L1907" s="6" t="s">
        <v>4807</v>
      </c>
      <c r="M1907" s="6"/>
      <c r="N1907" s="6" t="s">
        <v>4808</v>
      </c>
      <c r="O1907" s="6" t="str">
        <f>HYPERLINK("https://ceds.ed.gov/cedselementdetails.aspx?termid=5223")</f>
        <v>https://ceds.ed.gov/cedselementdetails.aspx?termid=5223</v>
      </c>
      <c r="P1907" s="6" t="str">
        <f>HYPERLINK("https://ceds.ed.gov/elementComment.aspx?elementName=Program Length Hours &amp;elementID=5223", "Click here to submit comment")</f>
        <v>Click here to submit comment</v>
      </c>
    </row>
    <row r="1908" spans="1:16" ht="45">
      <c r="A1908" s="6" t="s">
        <v>6869</v>
      </c>
      <c r="B1908" s="6" t="s">
        <v>6872</v>
      </c>
      <c r="C1908" s="6" t="s">
        <v>6805</v>
      </c>
      <c r="D1908" s="6" t="s">
        <v>4809</v>
      </c>
      <c r="E1908" s="6" t="s">
        <v>4810</v>
      </c>
      <c r="F1908" s="6" t="s">
        <v>6212</v>
      </c>
      <c r="G1908" s="6" t="s">
        <v>1537</v>
      </c>
      <c r="H1908" s="6"/>
      <c r="I1908" s="6"/>
      <c r="J1908" s="6"/>
      <c r="K1908" s="6"/>
      <c r="L1908" s="6" t="s">
        <v>4811</v>
      </c>
      <c r="M1908" s="6"/>
      <c r="N1908" s="6" t="s">
        <v>4812</v>
      </c>
      <c r="O1908" s="6" t="str">
        <f>HYPERLINK("https://ceds.ed.gov/cedselementdetails.aspx?termid=5224")</f>
        <v>https://ceds.ed.gov/cedselementdetails.aspx?termid=5224</v>
      </c>
      <c r="P1908" s="6" t="str">
        <f>HYPERLINK("https://ceds.ed.gov/elementComment.aspx?elementName=Program Length Hours Type &amp;elementID=5224", "Click here to submit comment")</f>
        <v>Click here to submit comment</v>
      </c>
    </row>
    <row r="1909" spans="1:16" ht="210">
      <c r="A1909" s="6" t="s">
        <v>6869</v>
      </c>
      <c r="B1909" s="6" t="s">
        <v>6872</v>
      </c>
      <c r="C1909" s="6" t="s">
        <v>6805</v>
      </c>
      <c r="D1909" s="6" t="s">
        <v>4237</v>
      </c>
      <c r="E1909" s="6" t="s">
        <v>4238</v>
      </c>
      <c r="F1909" s="6" t="s">
        <v>13</v>
      </c>
      <c r="G1909" s="6" t="s">
        <v>5976</v>
      </c>
      <c r="H1909" s="6"/>
      <c r="I1909" s="6" t="s">
        <v>106</v>
      </c>
      <c r="J1909" s="6"/>
      <c r="K1909" s="6"/>
      <c r="L1909" s="6" t="s">
        <v>4239</v>
      </c>
      <c r="M1909" s="6"/>
      <c r="N1909" s="6" t="s">
        <v>4240</v>
      </c>
      <c r="O1909" s="6" t="str">
        <f>HYPERLINK("https://ceds.ed.gov/cedselementdetails.aspx?termid=5197")</f>
        <v>https://ceds.ed.gov/cedselementdetails.aspx?termid=5197</v>
      </c>
      <c r="P1909" s="6" t="str">
        <f>HYPERLINK("https://ceds.ed.gov/elementComment.aspx?elementName=Normal Length of Time for Completion &amp;elementID=5197", "Click here to submit comment")</f>
        <v>Click here to submit comment</v>
      </c>
    </row>
    <row r="1910" spans="1:16" ht="90">
      <c r="A1910" s="6" t="s">
        <v>6869</v>
      </c>
      <c r="B1910" s="6" t="s">
        <v>6872</v>
      </c>
      <c r="C1910" s="6" t="s">
        <v>6805</v>
      </c>
      <c r="D1910" s="6" t="s">
        <v>4241</v>
      </c>
      <c r="E1910" s="6" t="s">
        <v>4242</v>
      </c>
      <c r="F1910" s="6" t="s">
        <v>6258</v>
      </c>
      <c r="G1910" s="6" t="s">
        <v>5976</v>
      </c>
      <c r="H1910" s="6"/>
      <c r="I1910" s="6"/>
      <c r="J1910" s="6"/>
      <c r="K1910" s="6"/>
      <c r="L1910" s="6" t="s">
        <v>4243</v>
      </c>
      <c r="M1910" s="6"/>
      <c r="N1910" s="6" t="s">
        <v>4244</v>
      </c>
      <c r="O1910" s="6" t="str">
        <f>HYPERLINK("https://ceds.ed.gov/cedselementdetails.aspx?termid=5198")</f>
        <v>https://ceds.ed.gov/cedselementdetails.aspx?termid=5198</v>
      </c>
      <c r="P1910" s="6" t="str">
        <f>HYPERLINK("https://ceds.ed.gov/elementComment.aspx?elementName=Normal Length of Time for Completion Units &amp;elementID=5198", "Click here to submit comment")</f>
        <v>Click here to submit comment</v>
      </c>
    </row>
    <row r="1911" spans="1:16" ht="195">
      <c r="A1911" s="6" t="s">
        <v>6869</v>
      </c>
      <c r="B1911" s="6" t="s">
        <v>6872</v>
      </c>
      <c r="C1911" s="6" t="s">
        <v>6805</v>
      </c>
      <c r="D1911" s="6" t="s">
        <v>2781</v>
      </c>
      <c r="E1911" s="6" t="s">
        <v>2782</v>
      </c>
      <c r="F1911" s="6" t="s">
        <v>5963</v>
      </c>
      <c r="G1911" s="6" t="s">
        <v>5976</v>
      </c>
      <c r="H1911" s="6"/>
      <c r="I1911" s="6"/>
      <c r="J1911" s="6"/>
      <c r="K1911" s="6"/>
      <c r="L1911" s="6" t="s">
        <v>2783</v>
      </c>
      <c r="M1911" s="6"/>
      <c r="N1911" s="6" t="s">
        <v>2784</v>
      </c>
      <c r="O1911" s="6" t="str">
        <f>HYPERLINK("https://ceds.ed.gov/cedselementdetails.aspx?termid=5117")</f>
        <v>https://ceds.ed.gov/cedselementdetails.aspx?termid=5117</v>
      </c>
      <c r="P1911" s="6" t="str">
        <f>HYPERLINK("https://ceds.ed.gov/elementComment.aspx?elementName=First Time Postsecondary Student &amp;elementID=5117", "Click here to submit comment")</f>
        <v>Click here to submit comment</v>
      </c>
    </row>
    <row r="1912" spans="1:16" ht="90">
      <c r="A1912" s="6" t="s">
        <v>6869</v>
      </c>
      <c r="B1912" s="6" t="s">
        <v>6872</v>
      </c>
      <c r="C1912" s="6" t="s">
        <v>6805</v>
      </c>
      <c r="D1912" s="6" t="s">
        <v>5618</v>
      </c>
      <c r="E1912" s="6" t="s">
        <v>5619</v>
      </c>
      <c r="F1912" s="6" t="s">
        <v>6331</v>
      </c>
      <c r="G1912" s="6" t="s">
        <v>5976</v>
      </c>
      <c r="H1912" s="6"/>
      <c r="I1912" s="6"/>
      <c r="J1912" s="6"/>
      <c r="K1912" s="6"/>
      <c r="L1912" s="6" t="s">
        <v>5620</v>
      </c>
      <c r="M1912" s="6"/>
      <c r="N1912" s="6" t="s">
        <v>5621</v>
      </c>
      <c r="O1912" s="6" t="str">
        <f>HYPERLINK("https://ceds.ed.gov/cedselementdetails.aspx?termid=5272")</f>
        <v>https://ceds.ed.gov/cedselementdetails.aspx?termid=5272</v>
      </c>
      <c r="P1912" s="6" t="str">
        <f>HYPERLINK("https://ceds.ed.gov/elementComment.aspx?elementName=Student Level &amp;elementID=5272", "Click here to submit comment")</f>
        <v>Click here to submit comment</v>
      </c>
    </row>
    <row r="1913" spans="1:16" ht="375">
      <c r="A1913" s="6" t="s">
        <v>6869</v>
      </c>
      <c r="B1913" s="6" t="s">
        <v>6872</v>
      </c>
      <c r="C1913" s="6" t="s">
        <v>6805</v>
      </c>
      <c r="D1913" s="6" t="s">
        <v>2558</v>
      </c>
      <c r="E1913" s="6" t="s">
        <v>2559</v>
      </c>
      <c r="F1913" s="7" t="s">
        <v>6346</v>
      </c>
      <c r="G1913" s="6" t="s">
        <v>5976</v>
      </c>
      <c r="H1913" s="6"/>
      <c r="I1913" s="6"/>
      <c r="J1913" s="6"/>
      <c r="K1913" s="6"/>
      <c r="L1913" s="6" t="s">
        <v>2560</v>
      </c>
      <c r="M1913" s="6"/>
      <c r="N1913" s="6" t="s">
        <v>2561</v>
      </c>
      <c r="O1913" s="6" t="str">
        <f>HYPERLINK("https://ceds.ed.gov/cedselementdetails.aspx?termid=5360")</f>
        <v>https://ceds.ed.gov/cedselementdetails.aspx?termid=5360</v>
      </c>
      <c r="P1913" s="6" t="str">
        <f>HYPERLINK("https://ceds.ed.gov/elementComment.aspx?elementName=Enrollment in Postsecondary Award Type &amp;elementID=5360", "Click here to submit comment")</f>
        <v>Click here to submit comment</v>
      </c>
    </row>
    <row r="1914" spans="1:16" ht="105">
      <c r="A1914" s="6" t="s">
        <v>6869</v>
      </c>
      <c r="B1914" s="6" t="s">
        <v>6872</v>
      </c>
      <c r="C1914" s="6" t="s">
        <v>6805</v>
      </c>
      <c r="D1914" s="6" t="s">
        <v>4532</v>
      </c>
      <c r="E1914" s="6" t="s">
        <v>4533</v>
      </c>
      <c r="F1914" s="7" t="s">
        <v>6601</v>
      </c>
      <c r="G1914" s="6" t="s">
        <v>5976</v>
      </c>
      <c r="H1914" s="6"/>
      <c r="I1914" s="6"/>
      <c r="J1914" s="6"/>
      <c r="K1914" s="6"/>
      <c r="L1914" s="6" t="s">
        <v>4534</v>
      </c>
      <c r="M1914" s="6"/>
      <c r="N1914" s="6" t="s">
        <v>4535</v>
      </c>
      <c r="O1914" s="6" t="str">
        <f>HYPERLINK("https://ceds.ed.gov/cedselementdetails.aspx?termid=5095")</f>
        <v>https://ceds.ed.gov/cedselementdetails.aspx?termid=5095</v>
      </c>
      <c r="P1914" s="6" t="str">
        <f>HYPERLINK("https://ceds.ed.gov/elementComment.aspx?elementName=Postsecondary Enrollment Type &amp;elementID=5095", "Click here to submit comment")</f>
        <v>Click here to submit comment</v>
      </c>
    </row>
    <row r="1915" spans="1:16" ht="75">
      <c r="A1915" s="6" t="s">
        <v>6869</v>
      </c>
      <c r="B1915" s="6" t="s">
        <v>6872</v>
      </c>
      <c r="C1915" s="6" t="s">
        <v>6805</v>
      </c>
      <c r="D1915" s="6" t="s">
        <v>4528</v>
      </c>
      <c r="E1915" s="6" t="s">
        <v>4529</v>
      </c>
      <c r="F1915" s="7" t="s">
        <v>6497</v>
      </c>
      <c r="G1915" s="6" t="s">
        <v>2476</v>
      </c>
      <c r="H1915" s="6"/>
      <c r="I1915" s="6"/>
      <c r="J1915" s="6"/>
      <c r="K1915" s="6"/>
      <c r="L1915" s="6" t="s">
        <v>4530</v>
      </c>
      <c r="M1915" s="6"/>
      <c r="N1915" s="6" t="s">
        <v>4531</v>
      </c>
      <c r="O1915" s="6" t="str">
        <f>HYPERLINK("https://ceds.ed.gov/cedselementdetails.aspx?termid=5096")</f>
        <v>https://ceds.ed.gov/cedselementdetails.aspx?termid=5096</v>
      </c>
      <c r="P1915" s="6" t="str">
        <f>HYPERLINK("https://ceds.ed.gov/elementComment.aspx?elementName=Postsecondary Enrollment Status &amp;elementID=5096", "Click here to submit comment")</f>
        <v>Click here to submit comment</v>
      </c>
    </row>
    <row r="1916" spans="1:16" ht="90">
      <c r="A1916" s="6" t="s">
        <v>6869</v>
      </c>
      <c r="B1916" s="6" t="s">
        <v>6872</v>
      </c>
      <c r="C1916" s="6" t="s">
        <v>6805</v>
      </c>
      <c r="D1916" s="6" t="s">
        <v>2566</v>
      </c>
      <c r="E1916" s="6" t="s">
        <v>2567</v>
      </c>
      <c r="F1916" s="6" t="s">
        <v>13</v>
      </c>
      <c r="G1916" s="6" t="s">
        <v>6160</v>
      </c>
      <c r="H1916" s="6"/>
      <c r="I1916" s="6" t="s">
        <v>73</v>
      </c>
      <c r="J1916" s="6"/>
      <c r="K1916" s="6"/>
      <c r="L1916" s="6" t="s">
        <v>2568</v>
      </c>
      <c r="M1916" s="6"/>
      <c r="N1916" s="6" t="s">
        <v>2569</v>
      </c>
      <c r="O1916" s="6" t="str">
        <f>HYPERLINK("https://ceds.ed.gov/cedselementdetails.aspx?termid=5098")</f>
        <v>https://ceds.ed.gov/cedselementdetails.aspx?termid=5098</v>
      </c>
      <c r="P1916" s="6" t="str">
        <f>HYPERLINK("https://ceds.ed.gov/elementComment.aspx?elementName=Entry Date into Postsecondary &amp;elementID=5098", "Click here to submit comment")</f>
        <v>Click here to submit comment</v>
      </c>
    </row>
    <row r="1917" spans="1:16" ht="60">
      <c r="A1917" s="6" t="s">
        <v>6869</v>
      </c>
      <c r="B1917" s="6" t="s">
        <v>6872</v>
      </c>
      <c r="C1917" s="6" t="s">
        <v>6805</v>
      </c>
      <c r="D1917" s="6" t="s">
        <v>2578</v>
      </c>
      <c r="E1917" s="6" t="s">
        <v>2579</v>
      </c>
      <c r="F1917" s="6" t="s">
        <v>13</v>
      </c>
      <c r="G1917" s="6" t="s">
        <v>24</v>
      </c>
      <c r="H1917" s="6"/>
      <c r="I1917" s="6" t="s">
        <v>73</v>
      </c>
      <c r="J1917" s="6"/>
      <c r="K1917" s="6"/>
      <c r="L1917" s="6" t="s">
        <v>2580</v>
      </c>
      <c r="M1917" s="6"/>
      <c r="N1917" s="6" t="s">
        <v>2581</v>
      </c>
      <c r="O1917" s="6" t="str">
        <f>HYPERLINK("https://ceds.ed.gov/cedselementdetails.aspx?termid=5107")</f>
        <v>https://ceds.ed.gov/cedselementdetails.aspx?termid=5107</v>
      </c>
      <c r="P1917" s="6" t="str">
        <f>HYPERLINK("https://ceds.ed.gov/elementComment.aspx?elementName=Exit Date &amp;elementID=5107", "Click here to submit comment")</f>
        <v>Click here to submit comment</v>
      </c>
    </row>
    <row r="1918" spans="1:16" ht="75">
      <c r="A1918" s="6" t="s">
        <v>6869</v>
      </c>
      <c r="B1918" s="6" t="s">
        <v>6872</v>
      </c>
      <c r="C1918" s="6" t="s">
        <v>6805</v>
      </c>
      <c r="D1918" s="6" t="s">
        <v>3263</v>
      </c>
      <c r="E1918" s="6" t="s">
        <v>3264</v>
      </c>
      <c r="F1918" s="6" t="s">
        <v>13</v>
      </c>
      <c r="G1918" s="6" t="s">
        <v>5976</v>
      </c>
      <c r="H1918" s="6"/>
      <c r="I1918" s="6" t="s">
        <v>100</v>
      </c>
      <c r="J1918" s="6"/>
      <c r="K1918" s="6"/>
      <c r="L1918" s="6" t="s">
        <v>3265</v>
      </c>
      <c r="M1918" s="6"/>
      <c r="N1918" s="6" t="s">
        <v>3266</v>
      </c>
      <c r="O1918" s="6" t="str">
        <f>HYPERLINK("https://ceds.ed.gov/cedselementdetails.aspx?termid=5165")</f>
        <v>https://ceds.ed.gov/cedselementdetails.aspx?termid=5165</v>
      </c>
      <c r="P1918" s="6" t="str">
        <f>HYPERLINK("https://ceds.ed.gov/elementComment.aspx?elementName=Initial Enrollment Term &amp;elementID=5165", "Click here to submit comment")</f>
        <v>Click here to submit comment</v>
      </c>
    </row>
    <row r="1919" spans="1:16" ht="75">
      <c r="A1919" s="6" t="s">
        <v>6869</v>
      </c>
      <c r="B1919" s="6" t="s">
        <v>6872</v>
      </c>
      <c r="C1919" s="6" t="s">
        <v>6805</v>
      </c>
      <c r="D1919" s="6" t="s">
        <v>5833</v>
      </c>
      <c r="E1919" s="6" t="s">
        <v>5834</v>
      </c>
      <c r="F1919" s="7" t="s">
        <v>6685</v>
      </c>
      <c r="G1919" s="6" t="s">
        <v>5976</v>
      </c>
      <c r="H1919" s="6"/>
      <c r="I1919" s="6"/>
      <c r="J1919" s="6"/>
      <c r="K1919" s="6"/>
      <c r="L1919" s="6" t="s">
        <v>5835</v>
      </c>
      <c r="M1919" s="6"/>
      <c r="N1919" s="6" t="s">
        <v>5836</v>
      </c>
      <c r="O1919" s="6" t="str">
        <f>HYPERLINK("https://ceds.ed.gov/cedselementdetails.aspx?termid=5296")</f>
        <v>https://ceds.ed.gov/cedselementdetails.aspx?termid=5296</v>
      </c>
      <c r="P1919" s="6" t="str">
        <f>HYPERLINK("https://ceds.ed.gov/elementComment.aspx?elementName=Transfer-ready &amp;elementID=5296", "Click here to submit comment")</f>
        <v>Click here to submit comment</v>
      </c>
    </row>
    <row r="1920" spans="1:16" ht="45">
      <c r="A1920" s="6" t="s">
        <v>6869</v>
      </c>
      <c r="B1920" s="6" t="s">
        <v>6872</v>
      </c>
      <c r="C1920" s="6" t="s">
        <v>6805</v>
      </c>
      <c r="D1920" s="6" t="s">
        <v>3314</v>
      </c>
      <c r="E1920" s="6" t="s">
        <v>3315</v>
      </c>
      <c r="F1920" s="6" t="s">
        <v>6212</v>
      </c>
      <c r="G1920" s="6" t="s">
        <v>5976</v>
      </c>
      <c r="H1920" s="6"/>
      <c r="I1920" s="6"/>
      <c r="J1920" s="6"/>
      <c r="K1920" s="6"/>
      <c r="L1920" s="6" t="s">
        <v>3316</v>
      </c>
      <c r="M1920" s="6"/>
      <c r="N1920" s="6" t="s">
        <v>3317</v>
      </c>
      <c r="O1920" s="6" t="str">
        <f>HYPERLINK("https://ceds.ed.gov/cedselementdetails.aspx?termid=5169")</f>
        <v>https://ceds.ed.gov/cedselementdetails.aspx?termid=5169</v>
      </c>
      <c r="P1920" s="6" t="str">
        <f>HYPERLINK("https://ceds.ed.gov/elementComment.aspx?elementName=Instructional Activity Hours Type &amp;elementID=5169", "Click here to submit comment")</f>
        <v>Click here to submit comment</v>
      </c>
    </row>
    <row r="1921" spans="1:16" ht="45">
      <c r="A1921" s="6" t="s">
        <v>6869</v>
      </c>
      <c r="B1921" s="6" t="s">
        <v>6872</v>
      </c>
      <c r="C1921" s="6" t="s">
        <v>6805</v>
      </c>
      <c r="D1921" s="6" t="s">
        <v>3306</v>
      </c>
      <c r="E1921" s="6" t="s">
        <v>3307</v>
      </c>
      <c r="F1921" s="6" t="s">
        <v>13</v>
      </c>
      <c r="G1921" s="6" t="s">
        <v>5976</v>
      </c>
      <c r="H1921" s="6"/>
      <c r="I1921" s="6" t="s">
        <v>1461</v>
      </c>
      <c r="J1921" s="6"/>
      <c r="K1921" s="6"/>
      <c r="L1921" s="6" t="s">
        <v>3308</v>
      </c>
      <c r="M1921" s="6"/>
      <c r="N1921" s="6" t="s">
        <v>3309</v>
      </c>
      <c r="O1921" s="6" t="str">
        <f>HYPERLINK("https://ceds.ed.gov/cedselementdetails.aspx?termid=5168")</f>
        <v>https://ceds.ed.gov/cedselementdetails.aspx?termid=5168</v>
      </c>
      <c r="P1921" s="6" t="str">
        <f>HYPERLINK("https://ceds.ed.gov/elementComment.aspx?elementName=Instructional Activity Hours Attempted &amp;elementID=5168", "Click here to submit comment")</f>
        <v>Click here to submit comment</v>
      </c>
    </row>
    <row r="1922" spans="1:16" ht="45">
      <c r="A1922" s="6" t="s">
        <v>6869</v>
      </c>
      <c r="B1922" s="6" t="s">
        <v>6872</v>
      </c>
      <c r="C1922" s="6" t="s">
        <v>6805</v>
      </c>
      <c r="D1922" s="6" t="s">
        <v>3310</v>
      </c>
      <c r="E1922" s="6" t="s">
        <v>3311</v>
      </c>
      <c r="F1922" s="6" t="s">
        <v>13</v>
      </c>
      <c r="G1922" s="6" t="s">
        <v>42</v>
      </c>
      <c r="H1922" s="6" t="s">
        <v>3</v>
      </c>
      <c r="I1922" s="6" t="s">
        <v>1461</v>
      </c>
      <c r="J1922" s="6"/>
      <c r="K1922" s="6"/>
      <c r="L1922" s="6" t="s">
        <v>3312</v>
      </c>
      <c r="M1922" s="6"/>
      <c r="N1922" s="6" t="s">
        <v>3313</v>
      </c>
      <c r="O1922" s="6" t="str">
        <f>HYPERLINK("https://ceds.ed.gov/cedselementdetails.aspx?termid=5361")</f>
        <v>https://ceds.ed.gov/cedselementdetails.aspx?termid=5361</v>
      </c>
      <c r="P1922" s="6" t="str">
        <f>HYPERLINK("https://ceds.ed.gov/elementComment.aspx?elementName=Instructional Activity Hours Completed &amp;elementID=5361", "Click here to submit comment")</f>
        <v>Click here to submit comment</v>
      </c>
    </row>
    <row r="1923" spans="1:16" ht="210">
      <c r="A1923" s="6" t="s">
        <v>6869</v>
      </c>
      <c r="B1923" s="6" t="s">
        <v>6872</v>
      </c>
      <c r="C1923" s="6" t="s">
        <v>6805</v>
      </c>
      <c r="D1923" s="6" t="s">
        <v>5825</v>
      </c>
      <c r="E1923" s="6" t="s">
        <v>5826</v>
      </c>
      <c r="F1923" s="6" t="s">
        <v>5963</v>
      </c>
      <c r="G1923" s="6" t="s">
        <v>5976</v>
      </c>
      <c r="H1923" s="6"/>
      <c r="I1923" s="6"/>
      <c r="J1923" s="6"/>
      <c r="K1923" s="6"/>
      <c r="L1923" s="6" t="s">
        <v>5827</v>
      </c>
      <c r="M1923" s="6"/>
      <c r="N1923" s="6" t="s">
        <v>5828</v>
      </c>
      <c r="O1923" s="6" t="str">
        <f>HYPERLINK("https://ceds.ed.gov/cedselementdetails.aspx?termid=5292")</f>
        <v>https://ceds.ed.gov/cedselementdetails.aspx?termid=5292</v>
      </c>
      <c r="P1923" s="6" t="str">
        <f>HYPERLINK("https://ceds.ed.gov/elementComment.aspx?elementName=Title IV Participant and Recipient &amp;elementID=5292", "Click here to submit comment")</f>
        <v>Click here to submit comment</v>
      </c>
    </row>
    <row r="1924" spans="1:16" ht="345">
      <c r="A1924" s="6" t="s">
        <v>6869</v>
      </c>
      <c r="B1924" s="6" t="s">
        <v>6872</v>
      </c>
      <c r="C1924" s="6" t="s">
        <v>6805</v>
      </c>
      <c r="D1924" s="6" t="s">
        <v>2255</v>
      </c>
      <c r="E1924" s="6" t="s">
        <v>2256</v>
      </c>
      <c r="F1924" s="7" t="s">
        <v>6466</v>
      </c>
      <c r="G1924" s="6" t="s">
        <v>2257</v>
      </c>
      <c r="H1924" s="6"/>
      <c r="I1924" s="6"/>
      <c r="J1924" s="6"/>
      <c r="K1924" s="6" t="s">
        <v>2258</v>
      </c>
      <c r="L1924" s="6" t="s">
        <v>2259</v>
      </c>
      <c r="M1924" s="6"/>
      <c r="N1924" s="6" t="s">
        <v>2260</v>
      </c>
      <c r="O1924" s="6" t="str">
        <f>HYPERLINK("https://ceds.ed.gov/cedselementdetails.aspx?termid=5704")</f>
        <v>https://ceds.ed.gov/cedselementdetails.aspx?termid=5704</v>
      </c>
      <c r="P1924" s="6" t="str">
        <f>HYPERLINK("https://ceds.ed.gov/elementComment.aspx?elementName=Distance Education Course Enrollment &amp;elementID=5704", "Click here to submit comment")</f>
        <v>Click here to submit comment</v>
      </c>
    </row>
    <row r="1925" spans="1:16" ht="105">
      <c r="A1925" s="6" t="s">
        <v>6869</v>
      </c>
      <c r="B1925" s="6" t="s">
        <v>6872</v>
      </c>
      <c r="C1925" s="6" t="s">
        <v>6805</v>
      </c>
      <c r="D1925" s="6" t="s">
        <v>4545</v>
      </c>
      <c r="E1925" s="6" t="s">
        <v>4546</v>
      </c>
      <c r="F1925" s="6" t="s">
        <v>5963</v>
      </c>
      <c r="G1925" s="6" t="s">
        <v>237</v>
      </c>
      <c r="H1925" s="6"/>
      <c r="I1925" s="6"/>
      <c r="J1925" s="6"/>
      <c r="K1925" s="6" t="s">
        <v>4547</v>
      </c>
      <c r="L1925" s="6" t="s">
        <v>4548</v>
      </c>
      <c r="M1925" s="6"/>
      <c r="N1925" s="6" t="s">
        <v>4549</v>
      </c>
      <c r="O1925" s="6" t="str">
        <f>HYPERLINK("https://ceds.ed.gov/cedselementdetails.aspx?termid=5741")</f>
        <v>https://ceds.ed.gov/cedselementdetails.aspx?termid=5741</v>
      </c>
      <c r="P1925" s="6" t="str">
        <f>HYPERLINK("https://ceds.ed.gov/elementComment.aspx?elementName=Postsecondary Student Housing On-Campus &amp;elementID=5741", "Click here to submit comment")</f>
        <v>Click here to submit comment</v>
      </c>
    </row>
    <row r="1926" spans="1:16" ht="60">
      <c r="A1926" s="6" t="s">
        <v>6869</v>
      </c>
      <c r="B1926" s="6" t="s">
        <v>6872</v>
      </c>
      <c r="C1926" s="6" t="s">
        <v>6805</v>
      </c>
      <c r="D1926" s="6" t="s">
        <v>2798</v>
      </c>
      <c r="E1926" s="6" t="s">
        <v>2799</v>
      </c>
      <c r="F1926" s="6" t="s">
        <v>5963</v>
      </c>
      <c r="G1926" s="6" t="s">
        <v>237</v>
      </c>
      <c r="H1926" s="6"/>
      <c r="I1926" s="6"/>
      <c r="J1926" s="6"/>
      <c r="K1926" s="6"/>
      <c r="L1926" s="6" t="s">
        <v>2800</v>
      </c>
      <c r="M1926" s="6"/>
      <c r="N1926" s="6" t="s">
        <v>2801</v>
      </c>
      <c r="O1926" s="6" t="str">
        <f>HYPERLINK("https://ceds.ed.gov/cedselementdetails.aspx?termid=5743")</f>
        <v>https://ceds.ed.gov/cedselementdetails.aspx?termid=5743</v>
      </c>
      <c r="P1926" s="6" t="str">
        <f>HYPERLINK("https://ceds.ed.gov/elementComment.aspx?elementName=Fraternity Participation Status &amp;elementID=5743", "Click here to submit comment")</f>
        <v>Click here to submit comment</v>
      </c>
    </row>
    <row r="1927" spans="1:16" ht="180">
      <c r="A1927" s="6" t="s">
        <v>6869</v>
      </c>
      <c r="B1927" s="6" t="s">
        <v>6872</v>
      </c>
      <c r="C1927" s="6" t="s">
        <v>6805</v>
      </c>
      <c r="D1927" s="6" t="s">
        <v>2261</v>
      </c>
      <c r="E1927" s="6" t="s">
        <v>2262</v>
      </c>
      <c r="F1927" s="6" t="s">
        <v>5963</v>
      </c>
      <c r="G1927" s="6"/>
      <c r="H1927" s="6" t="s">
        <v>54</v>
      </c>
      <c r="I1927" s="6"/>
      <c r="J1927" s="6"/>
      <c r="K1927" s="6" t="s">
        <v>2258</v>
      </c>
      <c r="L1927" s="6" t="s">
        <v>2263</v>
      </c>
      <c r="M1927" s="6"/>
      <c r="N1927" s="6" t="s">
        <v>2264</v>
      </c>
      <c r="O1927" s="6" t="str">
        <f>HYPERLINK("https://ceds.ed.gov/cedselementdetails.aspx?termid=6289")</f>
        <v>https://ceds.ed.gov/cedselementdetails.aspx?termid=6289</v>
      </c>
      <c r="P1927" s="6" t="str">
        <f>HYPERLINK("https://ceds.ed.gov/elementComment.aspx?elementName=Distance Education Program Enrollment Indicator &amp;elementID=6289", "Click here to submit comment")</f>
        <v>Click here to submit comment</v>
      </c>
    </row>
    <row r="1928" spans="1:16" ht="60">
      <c r="A1928" s="6" t="s">
        <v>6869</v>
      </c>
      <c r="B1928" s="6" t="s">
        <v>6872</v>
      </c>
      <c r="C1928" s="6" t="s">
        <v>6805</v>
      </c>
      <c r="D1928" s="6" t="s">
        <v>5390</v>
      </c>
      <c r="E1928" s="6" t="s">
        <v>5391</v>
      </c>
      <c r="F1928" s="6" t="s">
        <v>5963</v>
      </c>
      <c r="G1928" s="6" t="s">
        <v>237</v>
      </c>
      <c r="H1928" s="6" t="s">
        <v>66</v>
      </c>
      <c r="I1928" s="6"/>
      <c r="J1928" s="6" t="s">
        <v>94</v>
      </c>
      <c r="K1928" s="6"/>
      <c r="L1928" s="6" t="s">
        <v>5392</v>
      </c>
      <c r="M1928" s="6"/>
      <c r="N1928" s="6" t="s">
        <v>5393</v>
      </c>
      <c r="O1928" s="6" t="str">
        <f>HYPERLINK("https://ceds.ed.gov/cedselementdetails.aspx?termid=5744")</f>
        <v>https://ceds.ed.gov/cedselementdetails.aspx?termid=5744</v>
      </c>
      <c r="P1928" s="6" t="str">
        <f>HYPERLINK("https://ceds.ed.gov/elementComment.aspx?elementName=Sorority Participation Status &amp;elementID=5744", "Click here to submit comment")</f>
        <v>Click here to submit comment</v>
      </c>
    </row>
    <row r="1929" spans="1:16">
      <c r="A1929" s="14" t="s">
        <v>6869</v>
      </c>
      <c r="B1929" s="14" t="s">
        <v>6872</v>
      </c>
      <c r="C1929" s="14" t="s">
        <v>6874</v>
      </c>
      <c r="D1929" s="14" t="s">
        <v>2699</v>
      </c>
      <c r="E1929" s="14" t="s">
        <v>2700</v>
      </c>
      <c r="F1929" s="14" t="s">
        <v>5963</v>
      </c>
      <c r="G1929" s="14" t="s">
        <v>237</v>
      </c>
      <c r="H1929" s="14"/>
      <c r="I1929" s="14"/>
      <c r="J1929" s="14"/>
      <c r="K1929" s="6" t="s">
        <v>2702</v>
      </c>
      <c r="L1929" s="14" t="s">
        <v>2704</v>
      </c>
      <c r="M1929" s="14"/>
      <c r="N1929" s="14" t="s">
        <v>2705</v>
      </c>
      <c r="O1929" s="14" t="str">
        <f>HYPERLINK("https://ceds.ed.gov/cedselementdetails.aspx?termid=5745")</f>
        <v>https://ceds.ed.gov/cedselementdetails.aspx?termid=5745</v>
      </c>
      <c r="P1929" s="14" t="str">
        <f>HYPERLINK("https://ceds.ed.gov/elementComment.aspx?elementName=Financial Aid Applicant &amp;elementID=5745", "Click here to submit comment")</f>
        <v>Click here to submit comment</v>
      </c>
    </row>
    <row r="1930" spans="1:16" ht="45">
      <c r="A1930" s="14"/>
      <c r="B1930" s="14"/>
      <c r="C1930" s="14"/>
      <c r="D1930" s="14"/>
      <c r="E1930" s="14"/>
      <c r="F1930" s="14"/>
      <c r="G1930" s="14"/>
      <c r="H1930" s="14"/>
      <c r="I1930" s="14"/>
      <c r="J1930" s="14"/>
      <c r="K1930" s="6" t="s">
        <v>2703</v>
      </c>
      <c r="L1930" s="14"/>
      <c r="M1930" s="14"/>
      <c r="N1930" s="14"/>
      <c r="O1930" s="14"/>
      <c r="P1930" s="14"/>
    </row>
    <row r="1931" spans="1:16" ht="150">
      <c r="A1931" s="6" t="s">
        <v>6869</v>
      </c>
      <c r="B1931" s="6" t="s">
        <v>6872</v>
      </c>
      <c r="C1931" s="6" t="s">
        <v>6874</v>
      </c>
      <c r="D1931" s="6" t="s">
        <v>2706</v>
      </c>
      <c r="E1931" s="6" t="s">
        <v>2707</v>
      </c>
      <c r="F1931" s="7" t="s">
        <v>6511</v>
      </c>
      <c r="G1931" s="6" t="s">
        <v>237</v>
      </c>
      <c r="H1931" s="6"/>
      <c r="I1931" s="6"/>
      <c r="J1931" s="6"/>
      <c r="K1931" s="6" t="s">
        <v>2708</v>
      </c>
      <c r="L1931" s="6" t="s">
        <v>2709</v>
      </c>
      <c r="M1931" s="6"/>
      <c r="N1931" s="6" t="s">
        <v>2710</v>
      </c>
      <c r="O1931" s="6" t="str">
        <f>HYPERLINK("https://ceds.ed.gov/cedselementdetails.aspx?termid=6186")</f>
        <v>https://ceds.ed.gov/cedselementdetails.aspx?termid=6186</v>
      </c>
      <c r="P1931" s="6" t="str">
        <f>HYPERLINK("https://ceds.ed.gov/elementComment.aspx?elementName=Financial Aid Application Type &amp;elementID=6186", "Click here to submit comment")</f>
        <v>Click here to submit comment</v>
      </c>
    </row>
    <row r="1932" spans="1:16" ht="60">
      <c r="A1932" s="6" t="s">
        <v>6869</v>
      </c>
      <c r="B1932" s="6" t="s">
        <v>6872</v>
      </c>
      <c r="C1932" s="6" t="s">
        <v>6874</v>
      </c>
      <c r="D1932" s="6" t="s">
        <v>2744</v>
      </c>
      <c r="E1932" s="6" t="s">
        <v>2745</v>
      </c>
      <c r="F1932" s="6" t="s">
        <v>13</v>
      </c>
      <c r="G1932" s="6" t="s">
        <v>237</v>
      </c>
      <c r="H1932" s="6"/>
      <c r="I1932" s="6" t="s">
        <v>389</v>
      </c>
      <c r="J1932" s="6"/>
      <c r="K1932" s="6" t="s">
        <v>2746</v>
      </c>
      <c r="L1932" s="6" t="s">
        <v>2747</v>
      </c>
      <c r="M1932" s="6"/>
      <c r="N1932" s="6" t="s">
        <v>2748</v>
      </c>
      <c r="O1932" s="6" t="str">
        <f>HYPERLINK("https://ceds.ed.gov/cedselementdetails.aspx?termid=5747")</f>
        <v>https://ceds.ed.gov/cedselementdetails.aspx?termid=5747</v>
      </c>
      <c r="P1932" s="6" t="str">
        <f>HYPERLINK("https://ceds.ed.gov/elementComment.aspx?elementName=Financial Need &amp;elementID=5747", "Click here to submit comment")</f>
        <v>Click here to submit comment</v>
      </c>
    </row>
    <row r="1933" spans="1:16" ht="45">
      <c r="A1933" s="6" t="s">
        <v>6869</v>
      </c>
      <c r="B1933" s="6" t="s">
        <v>6872</v>
      </c>
      <c r="C1933" s="6" t="s">
        <v>6874</v>
      </c>
      <c r="D1933" s="6" t="s">
        <v>2749</v>
      </c>
      <c r="E1933" s="6" t="s">
        <v>2750</v>
      </c>
      <c r="F1933" s="6" t="s">
        <v>6174</v>
      </c>
      <c r="G1933" s="6" t="s">
        <v>237</v>
      </c>
      <c r="H1933" s="6"/>
      <c r="I1933" s="6"/>
      <c r="J1933" s="6"/>
      <c r="K1933" s="6" t="s">
        <v>2751</v>
      </c>
      <c r="L1933" s="6" t="s">
        <v>2752</v>
      </c>
      <c r="M1933" s="6"/>
      <c r="N1933" s="6" t="s">
        <v>2753</v>
      </c>
      <c r="O1933" s="6" t="str">
        <f>HYPERLINK("https://ceds.ed.gov/cedselementdetails.aspx?termid=6188")</f>
        <v>https://ceds.ed.gov/cedselementdetails.aspx?termid=6188</v>
      </c>
      <c r="P1933" s="6" t="str">
        <f>HYPERLINK("https://ceds.ed.gov/elementComment.aspx?elementName=Financial Need Determination Methodology &amp;elementID=6188", "Click here to submit comment")</f>
        <v>Click here to submit comment</v>
      </c>
    </row>
    <row r="1934" spans="1:16" ht="75">
      <c r="A1934" s="6" t="s">
        <v>6869</v>
      </c>
      <c r="B1934" s="6" t="s">
        <v>6872</v>
      </c>
      <c r="C1934" s="6" t="s">
        <v>6874</v>
      </c>
      <c r="D1934" s="6" t="s">
        <v>2716</v>
      </c>
      <c r="E1934" s="6" t="s">
        <v>2717</v>
      </c>
      <c r="F1934" s="6" t="s">
        <v>6173</v>
      </c>
      <c r="G1934" s="6" t="s">
        <v>6172</v>
      </c>
      <c r="H1934" s="6"/>
      <c r="I1934" s="6"/>
      <c r="J1934" s="6"/>
      <c r="K1934" s="6" t="s">
        <v>2718</v>
      </c>
      <c r="L1934" s="6" t="s">
        <v>2719</v>
      </c>
      <c r="M1934" s="6"/>
      <c r="N1934" s="6" t="s">
        <v>2720</v>
      </c>
      <c r="O1934" s="6" t="str">
        <f>HYPERLINK("https://ceds.ed.gov/cedselementdetails.aspx?termid=5362")</f>
        <v>https://ceds.ed.gov/cedselementdetails.aspx?termid=5362</v>
      </c>
      <c r="P1934" s="6" t="str">
        <f>HYPERLINK("https://ceds.ed.gov/elementComment.aspx?elementName=Financial Aid Award Status &amp;elementID=5362", "Click here to submit comment")</f>
        <v>Click here to submit comment</v>
      </c>
    </row>
    <row r="1935" spans="1:16" ht="409.5">
      <c r="A1935" s="6" t="s">
        <v>6869</v>
      </c>
      <c r="B1935" s="6" t="s">
        <v>6872</v>
      </c>
      <c r="C1935" s="6" t="s">
        <v>6874</v>
      </c>
      <c r="D1935" s="6" t="s">
        <v>2721</v>
      </c>
      <c r="E1935" s="6" t="s">
        <v>2722</v>
      </c>
      <c r="F1935" s="7" t="s">
        <v>6512</v>
      </c>
      <c r="G1935" s="6" t="s">
        <v>6172</v>
      </c>
      <c r="H1935" s="6"/>
      <c r="I1935" s="6"/>
      <c r="J1935" s="6"/>
      <c r="K1935" s="6" t="s">
        <v>2723</v>
      </c>
      <c r="L1935" s="6" t="s">
        <v>2724</v>
      </c>
      <c r="M1935" s="6"/>
      <c r="N1935" s="6" t="s">
        <v>2725</v>
      </c>
      <c r="O1935" s="6" t="str">
        <f>HYPERLINK("https://ceds.ed.gov/cedselementdetails.aspx?termid=5113")</f>
        <v>https://ceds.ed.gov/cedselementdetails.aspx?termid=5113</v>
      </c>
      <c r="P1935" s="6" t="str">
        <f>HYPERLINK("https://ceds.ed.gov/elementComment.aspx?elementName=Financial Aid Award Type &amp;elementID=5113", "Click here to submit comment")</f>
        <v>Click here to submit comment</v>
      </c>
    </row>
    <row r="1936" spans="1:16" ht="75">
      <c r="A1936" s="6" t="s">
        <v>6869</v>
      </c>
      <c r="B1936" s="6" t="s">
        <v>6872</v>
      </c>
      <c r="C1936" s="6" t="s">
        <v>6874</v>
      </c>
      <c r="D1936" s="6" t="s">
        <v>2711</v>
      </c>
      <c r="E1936" s="6" t="s">
        <v>2712</v>
      </c>
      <c r="F1936" s="6" t="s">
        <v>13</v>
      </c>
      <c r="G1936" s="6" t="s">
        <v>6172</v>
      </c>
      <c r="H1936" s="6"/>
      <c r="I1936" s="6" t="s">
        <v>1461</v>
      </c>
      <c r="J1936" s="6"/>
      <c r="K1936" s="6" t="s">
        <v>2713</v>
      </c>
      <c r="L1936" s="6" t="s">
        <v>2714</v>
      </c>
      <c r="M1936" s="6"/>
      <c r="N1936" s="6" t="s">
        <v>2715</v>
      </c>
      <c r="O1936" s="6" t="str">
        <f>HYPERLINK("https://ceds.ed.gov/cedselementdetails.aspx?termid=5112")</f>
        <v>https://ceds.ed.gov/cedselementdetails.aspx?termid=5112</v>
      </c>
      <c r="P1936" s="6" t="str">
        <f>HYPERLINK("https://ceds.ed.gov/elementComment.aspx?elementName=Financial Aid Award Amount &amp;elementID=5112", "Click here to submit comment")</f>
        <v>Click here to submit comment</v>
      </c>
    </row>
    <row r="1937" spans="1:16" ht="150">
      <c r="A1937" s="6" t="s">
        <v>6869</v>
      </c>
      <c r="B1937" s="6" t="s">
        <v>6872</v>
      </c>
      <c r="C1937" s="6" t="s">
        <v>6874</v>
      </c>
      <c r="D1937" s="6" t="s">
        <v>2726</v>
      </c>
      <c r="E1937" s="6" t="s">
        <v>2727</v>
      </c>
      <c r="F1937" s="6" t="s">
        <v>13</v>
      </c>
      <c r="G1937" s="6"/>
      <c r="H1937" s="6" t="s">
        <v>54</v>
      </c>
      <c r="I1937" s="6" t="s">
        <v>1461</v>
      </c>
      <c r="J1937" s="6"/>
      <c r="K1937" s="6"/>
      <c r="L1937" s="6" t="s">
        <v>2728</v>
      </c>
      <c r="M1937" s="6"/>
      <c r="N1937" s="6" t="s">
        <v>2729</v>
      </c>
      <c r="O1937" s="6" t="str">
        <f>HYPERLINK("https://ceds.ed.gov/cedselementdetails.aspx?termid=6319")</f>
        <v>https://ceds.ed.gov/cedselementdetails.aspx?termid=6319</v>
      </c>
      <c r="P1937" s="6" t="str">
        <f>HYPERLINK("https://ceds.ed.gov/elementComment.aspx?elementName=Financial Aid Income Level &amp;elementID=6319", "Click here to submit comment")</f>
        <v>Click here to submit comment</v>
      </c>
    </row>
    <row r="1938" spans="1:16" ht="30">
      <c r="A1938" s="6" t="s">
        <v>6869</v>
      </c>
      <c r="B1938" s="6" t="s">
        <v>6872</v>
      </c>
      <c r="C1938" s="6" t="s">
        <v>6806</v>
      </c>
      <c r="D1938" s="6" t="s">
        <v>46</v>
      </c>
      <c r="E1938" s="6" t="s">
        <v>47</v>
      </c>
      <c r="F1938" s="6" t="s">
        <v>13</v>
      </c>
      <c r="G1938" s="6" t="s">
        <v>42</v>
      </c>
      <c r="H1938" s="6"/>
      <c r="I1938" s="6" t="s">
        <v>48</v>
      </c>
      <c r="J1938" s="6"/>
      <c r="K1938" s="6"/>
      <c r="L1938" s="6" t="s">
        <v>49</v>
      </c>
      <c r="M1938" s="6"/>
      <c r="N1938" s="6" t="s">
        <v>50</v>
      </c>
      <c r="O1938" s="6" t="str">
        <f>HYPERLINK("https://ceds.ed.gov/cedselementdetails.aspx?termid=5702")</f>
        <v>https://ceds.ed.gov/cedselementdetails.aspx?termid=5702</v>
      </c>
      <c r="P1938" s="6" t="str">
        <f>HYPERLINK("https://ceds.ed.gov/elementComment.aspx?elementName=Academic Year Designator &amp;elementID=5702", "Click here to submit comment")</f>
        <v>Click here to submit comment</v>
      </c>
    </row>
    <row r="1939" spans="1:16" ht="180">
      <c r="A1939" s="6" t="s">
        <v>6869</v>
      </c>
      <c r="B1939" s="6" t="s">
        <v>6872</v>
      </c>
      <c r="C1939" s="6" t="s">
        <v>6806</v>
      </c>
      <c r="D1939" s="6" t="s">
        <v>40</v>
      </c>
      <c r="E1939" s="6" t="s">
        <v>41</v>
      </c>
      <c r="F1939" s="7" t="s">
        <v>6349</v>
      </c>
      <c r="G1939" s="6" t="s">
        <v>42</v>
      </c>
      <c r="H1939" s="6"/>
      <c r="I1939" s="6"/>
      <c r="J1939" s="6"/>
      <c r="K1939" s="6" t="s">
        <v>43</v>
      </c>
      <c r="L1939" s="6" t="s">
        <v>44</v>
      </c>
      <c r="M1939" s="6"/>
      <c r="N1939" s="6" t="s">
        <v>45</v>
      </c>
      <c r="O1939" s="6" t="str">
        <f>HYPERLINK("https://ceds.ed.gov/cedselementdetails.aspx?termid=5703")</f>
        <v>https://ceds.ed.gov/cedselementdetails.aspx?termid=5703</v>
      </c>
      <c r="P1939" s="6" t="str">
        <f>HYPERLINK("https://ceds.ed.gov/elementComment.aspx?elementName=Academic Term Designator &amp;elementID=5703", "Click here to submit comment")</f>
        <v>Click here to submit comment</v>
      </c>
    </row>
    <row r="1940" spans="1:16" ht="180">
      <c r="A1940" s="6" t="s">
        <v>6869</v>
      </c>
      <c r="B1940" s="6" t="s">
        <v>6872</v>
      </c>
      <c r="C1940" s="6" t="s">
        <v>6806</v>
      </c>
      <c r="D1940" s="6" t="s">
        <v>2860</v>
      </c>
      <c r="E1940" s="6" t="s">
        <v>2861</v>
      </c>
      <c r="F1940" s="6" t="s">
        <v>13</v>
      </c>
      <c r="G1940" s="6" t="s">
        <v>6185</v>
      </c>
      <c r="H1940" s="6"/>
      <c r="I1940" s="6" t="s">
        <v>2857</v>
      </c>
      <c r="J1940" s="6"/>
      <c r="K1940" s="6" t="s">
        <v>2862</v>
      </c>
      <c r="L1940" s="6" t="s">
        <v>2863</v>
      </c>
      <c r="M1940" s="6" t="s">
        <v>2864</v>
      </c>
      <c r="N1940" s="6" t="s">
        <v>2865</v>
      </c>
      <c r="O1940" s="6" t="str">
        <f>HYPERLINK("https://ceds.ed.gov/cedselementdetails.aspx?termid=5128")</f>
        <v>https://ceds.ed.gov/cedselementdetails.aspx?termid=5128</v>
      </c>
      <c r="P1940" s="6" t="str">
        <f>HYPERLINK("https://ceds.ed.gov/elementComment.aspx?elementName=Grade Point Average Cumulative &amp;elementID=5128", "Click here to submit comment")</f>
        <v>Click here to submit comment</v>
      </c>
    </row>
    <row r="1941" spans="1:16" ht="135">
      <c r="A1941" s="6" t="s">
        <v>6869</v>
      </c>
      <c r="B1941" s="6" t="s">
        <v>6872</v>
      </c>
      <c r="C1941" s="6" t="s">
        <v>6806</v>
      </c>
      <c r="D1941" s="6" t="s">
        <v>2189</v>
      </c>
      <c r="E1941" s="6" t="s">
        <v>2190</v>
      </c>
      <c r="F1941" s="6" t="s">
        <v>13</v>
      </c>
      <c r="G1941" s="6" t="s">
        <v>6135</v>
      </c>
      <c r="H1941" s="6"/>
      <c r="I1941" s="6" t="s">
        <v>2191</v>
      </c>
      <c r="J1941" s="6"/>
      <c r="K1941" s="6"/>
      <c r="L1941" s="6" t="s">
        <v>2192</v>
      </c>
      <c r="M1941" s="6"/>
      <c r="N1941" s="6" t="s">
        <v>2193</v>
      </c>
      <c r="O1941" s="6" t="str">
        <f>HYPERLINK("https://ceds.ed.gov/cedselementdetails.aspx?termid=5081")</f>
        <v>https://ceds.ed.gov/cedselementdetails.aspx?termid=5081</v>
      </c>
      <c r="P1941" s="6" t="str">
        <f>HYPERLINK("https://ceds.ed.gov/elementComment.aspx?elementName=Diploma or Credential Award Date &amp;elementID=5081", "Click here to submit comment")</f>
        <v>Click here to submit comment</v>
      </c>
    </row>
    <row r="1942" spans="1:16" ht="75">
      <c r="A1942" s="6" t="s">
        <v>6869</v>
      </c>
      <c r="B1942" s="6" t="s">
        <v>6872</v>
      </c>
      <c r="C1942" s="6" t="s">
        <v>6806</v>
      </c>
      <c r="D1942" s="6" t="s">
        <v>2282</v>
      </c>
      <c r="E1942" s="6" t="s">
        <v>2283</v>
      </c>
      <c r="F1942" s="6" t="s">
        <v>13</v>
      </c>
      <c r="G1942" s="6" t="s">
        <v>24</v>
      </c>
      <c r="H1942" s="6"/>
      <c r="I1942" s="6" t="s">
        <v>1461</v>
      </c>
      <c r="J1942" s="6"/>
      <c r="K1942" s="6"/>
      <c r="L1942" s="6" t="s">
        <v>2284</v>
      </c>
      <c r="M1942" s="6"/>
      <c r="N1942" s="6" t="s">
        <v>2285</v>
      </c>
      <c r="O1942" s="6" t="str">
        <f>HYPERLINK("https://ceds.ed.gov/cedselementdetails.aspx?termid=5085")</f>
        <v>https://ceds.ed.gov/cedselementdetails.aspx?termid=5085</v>
      </c>
      <c r="P1942" s="6" t="str">
        <f>HYPERLINK("https://ceds.ed.gov/elementComment.aspx?elementName=Dual Credit Dual Enrollment Credits Awarded &amp;elementID=5085", "Click here to submit comment")</f>
        <v>Click here to submit comment</v>
      </c>
    </row>
    <row r="1943" spans="1:16" ht="90">
      <c r="A1943" s="6" t="s">
        <v>6869</v>
      </c>
      <c r="B1943" s="6" t="s">
        <v>6872</v>
      </c>
      <c r="C1943" s="6" t="s">
        <v>6806</v>
      </c>
      <c r="D1943" s="6" t="s">
        <v>306</v>
      </c>
      <c r="E1943" s="6" t="s">
        <v>307</v>
      </c>
      <c r="F1943" s="6" t="s">
        <v>13</v>
      </c>
      <c r="G1943" s="6" t="s">
        <v>24</v>
      </c>
      <c r="H1943" s="6"/>
      <c r="I1943" s="6" t="s">
        <v>308</v>
      </c>
      <c r="J1943" s="6"/>
      <c r="K1943" s="6"/>
      <c r="L1943" s="6" t="s">
        <v>309</v>
      </c>
      <c r="M1943" s="6" t="s">
        <v>310</v>
      </c>
      <c r="N1943" s="6" t="s">
        <v>311</v>
      </c>
      <c r="O1943" s="6" t="str">
        <f>HYPERLINK("https://ceds.ed.gov/cedselementdetails.aspx?termid=5018")</f>
        <v>https://ceds.ed.gov/cedselementdetails.aspx?termid=5018</v>
      </c>
      <c r="P1943" s="6" t="str">
        <f>HYPERLINK("https://ceds.ed.gov/elementComment.aspx?elementName=Advanced Placement Credits Awarded &amp;elementID=5018", "Click here to submit comment")</f>
        <v>Click here to submit comment</v>
      </c>
    </row>
    <row r="1944" spans="1:16" ht="375">
      <c r="A1944" s="6" t="s">
        <v>6869</v>
      </c>
      <c r="B1944" s="6" t="s">
        <v>6872</v>
      </c>
      <c r="C1944" s="6" t="s">
        <v>6806</v>
      </c>
      <c r="D1944" s="6" t="s">
        <v>18</v>
      </c>
      <c r="E1944" s="6" t="s">
        <v>19</v>
      </c>
      <c r="F1944" s="7" t="s">
        <v>6346</v>
      </c>
      <c r="G1944" s="6" t="s">
        <v>5967</v>
      </c>
      <c r="H1944" s="6" t="s">
        <v>3</v>
      </c>
      <c r="I1944" s="6"/>
      <c r="J1944" s="6"/>
      <c r="K1944" s="6"/>
      <c r="L1944" s="6" t="s">
        <v>20</v>
      </c>
      <c r="M1944" s="6"/>
      <c r="N1944" s="6" t="s">
        <v>21</v>
      </c>
      <c r="O1944" s="6" t="str">
        <f>HYPERLINK("https://ceds.ed.gov/cedselementdetails.aspx?termid=5002")</f>
        <v>https://ceds.ed.gov/cedselementdetails.aspx?termid=5002</v>
      </c>
      <c r="P1944" s="6" t="str">
        <f>HYPERLINK("https://ceds.ed.gov/elementComment.aspx?elementName=Academic Award Level Conferred &amp;elementID=5002", "Click here to submit comment")</f>
        <v>Click here to submit comment</v>
      </c>
    </row>
    <row r="1945" spans="1:16" ht="60">
      <c r="A1945" s="6" t="s">
        <v>6869</v>
      </c>
      <c r="B1945" s="6" t="s">
        <v>6872</v>
      </c>
      <c r="C1945" s="6" t="s">
        <v>6806</v>
      </c>
      <c r="D1945" s="6" t="s">
        <v>11</v>
      </c>
      <c r="E1945" s="6" t="s">
        <v>12</v>
      </c>
      <c r="F1945" s="6" t="s">
        <v>13</v>
      </c>
      <c r="G1945" s="6" t="s">
        <v>5965</v>
      </c>
      <c r="H1945" s="6"/>
      <c r="I1945" s="6" t="s">
        <v>15</v>
      </c>
      <c r="J1945" s="6"/>
      <c r="K1945" s="6"/>
      <c r="L1945" s="6" t="s">
        <v>16</v>
      </c>
      <c r="M1945" s="6"/>
      <c r="N1945" s="6" t="s">
        <v>17</v>
      </c>
      <c r="O1945" s="6" t="str">
        <f>HYPERLINK("https://ceds.ed.gov/cedselementdetails.aspx?termid=5001")</f>
        <v>https://ceds.ed.gov/cedselementdetails.aspx?termid=5001</v>
      </c>
      <c r="P1945" s="6" t="str">
        <f>HYPERLINK("https://ceds.ed.gov/elementComment.aspx?elementName=Academic Award Date &amp;elementID=5001", "Click here to submit comment")</f>
        <v>Click here to submit comment</v>
      </c>
    </row>
    <row r="1946" spans="1:16" ht="30">
      <c r="A1946" s="6" t="s">
        <v>6869</v>
      </c>
      <c r="B1946" s="6" t="s">
        <v>6872</v>
      </c>
      <c r="C1946" s="6" t="s">
        <v>6806</v>
      </c>
      <c r="D1946" s="6" t="s">
        <v>22</v>
      </c>
      <c r="E1946" s="6" t="s">
        <v>23</v>
      </c>
      <c r="F1946" s="6" t="s">
        <v>13</v>
      </c>
      <c r="G1946" s="6" t="s">
        <v>24</v>
      </c>
      <c r="H1946" s="6"/>
      <c r="I1946" s="6" t="s">
        <v>25</v>
      </c>
      <c r="J1946" s="6"/>
      <c r="K1946" s="6"/>
      <c r="L1946" s="6" t="s">
        <v>26</v>
      </c>
      <c r="M1946" s="6"/>
      <c r="N1946" s="6" t="s">
        <v>27</v>
      </c>
      <c r="O1946" s="6" t="str">
        <f>HYPERLINK("https://ceds.ed.gov/cedselementdetails.aspx?termid=5003")</f>
        <v>https://ceds.ed.gov/cedselementdetails.aspx?termid=5003</v>
      </c>
      <c r="P1946" s="6" t="str">
        <f>HYPERLINK("https://ceds.ed.gov/elementComment.aspx?elementName=Academic Award Title &amp;elementID=5003", "Click here to submit comment")</f>
        <v>Click here to submit comment</v>
      </c>
    </row>
    <row r="1947" spans="1:16" ht="45">
      <c r="A1947" s="6" t="s">
        <v>6869</v>
      </c>
      <c r="B1947" s="6" t="s">
        <v>6872</v>
      </c>
      <c r="C1947" s="6" t="s">
        <v>6806</v>
      </c>
      <c r="D1947" s="6" t="s">
        <v>2855</v>
      </c>
      <c r="E1947" s="6" t="s">
        <v>2856</v>
      </c>
      <c r="F1947" s="6" t="s">
        <v>13</v>
      </c>
      <c r="G1947" s="6" t="s">
        <v>24</v>
      </c>
      <c r="H1947" s="6"/>
      <c r="I1947" s="6" t="s">
        <v>2857</v>
      </c>
      <c r="J1947" s="6"/>
      <c r="K1947" s="6"/>
      <c r="L1947" s="6" t="s">
        <v>2858</v>
      </c>
      <c r="M1947" s="6"/>
      <c r="N1947" s="6" t="s">
        <v>2859</v>
      </c>
      <c r="O1947" s="6" t="str">
        <f>HYPERLINK("https://ceds.ed.gov/cedselementdetails.aspx?termid=5127")</f>
        <v>https://ceds.ed.gov/cedselementdetails.aspx?termid=5127</v>
      </c>
      <c r="P1947" s="6" t="str">
        <f>HYPERLINK("https://ceds.ed.gov/elementComment.aspx?elementName=Grade Point Average &amp;elementID=5127", "Click here to submit comment")</f>
        <v>Click here to submit comment</v>
      </c>
    </row>
    <row r="1948" spans="1:16" ht="45">
      <c r="A1948" s="6" t="s">
        <v>6869</v>
      </c>
      <c r="B1948" s="6" t="s">
        <v>6872</v>
      </c>
      <c r="C1948" s="6" t="s">
        <v>6806</v>
      </c>
      <c r="D1948" s="6" t="s">
        <v>2038</v>
      </c>
      <c r="E1948" s="6" t="s">
        <v>2039</v>
      </c>
      <c r="F1948" s="6" t="s">
        <v>13</v>
      </c>
      <c r="G1948" s="6"/>
      <c r="H1948" s="6" t="s">
        <v>54</v>
      </c>
      <c r="I1948" s="6" t="s">
        <v>575</v>
      </c>
      <c r="J1948" s="6"/>
      <c r="K1948" s="6"/>
      <c r="L1948" s="6" t="s">
        <v>2040</v>
      </c>
      <c r="M1948" s="6"/>
      <c r="N1948" s="6" t="s">
        <v>2041</v>
      </c>
      <c r="O1948" s="6" t="str">
        <f>HYPERLINK("https://ceds.ed.gov/cedselementdetails.aspx?termid=6282")</f>
        <v>https://ceds.ed.gov/cedselementdetails.aspx?termid=6282</v>
      </c>
      <c r="P1948" s="6" t="str">
        <f>HYPERLINK("https://ceds.ed.gov/elementComment.aspx?elementName=Course Total &amp;elementID=6282", "Click here to submit comment")</f>
        <v>Click here to submit comment</v>
      </c>
    </row>
    <row r="1949" spans="1:16" ht="345">
      <c r="A1949" s="6" t="s">
        <v>6869</v>
      </c>
      <c r="B1949" s="6" t="s">
        <v>6872</v>
      </c>
      <c r="C1949" s="6" t="s">
        <v>6806</v>
      </c>
      <c r="D1949" s="6" t="s">
        <v>2054</v>
      </c>
      <c r="E1949" s="6" t="s">
        <v>2055</v>
      </c>
      <c r="F1949" s="7" t="s">
        <v>6450</v>
      </c>
      <c r="G1949" s="6"/>
      <c r="H1949" s="6" t="s">
        <v>54</v>
      </c>
      <c r="I1949" s="6"/>
      <c r="J1949" s="6"/>
      <c r="K1949" s="6"/>
      <c r="L1949" s="6" t="s">
        <v>2056</v>
      </c>
      <c r="M1949" s="6"/>
      <c r="N1949" s="6" t="s">
        <v>2057</v>
      </c>
      <c r="O1949" s="6" t="str">
        <f>HYPERLINK("https://ceds.ed.gov/cedselementdetails.aspx?termid=6283")</f>
        <v>https://ceds.ed.gov/cedselementdetails.aspx?termid=6283</v>
      </c>
      <c r="P1949" s="6" t="str">
        <f>HYPERLINK("https://ceds.ed.gov/elementComment.aspx?elementName=Credit Hours Applied Other Program &amp;elementID=6283", "Click here to submit comment")</f>
        <v>Click here to submit comment</v>
      </c>
    </row>
    <row r="1950" spans="1:16" ht="270">
      <c r="A1950" s="6" t="s">
        <v>6869</v>
      </c>
      <c r="B1950" s="6" t="s">
        <v>6872</v>
      </c>
      <c r="C1950" s="6" t="s">
        <v>6806</v>
      </c>
      <c r="D1950" s="6" t="s">
        <v>4763</v>
      </c>
      <c r="E1950" s="6" t="s">
        <v>4764</v>
      </c>
      <c r="F1950" s="7" t="s">
        <v>6620</v>
      </c>
      <c r="G1950" s="6"/>
      <c r="H1950" s="6" t="s">
        <v>66</v>
      </c>
      <c r="I1950" s="6"/>
      <c r="J1950" s="6" t="s">
        <v>848</v>
      </c>
      <c r="K1950" s="6"/>
      <c r="L1950" s="6" t="s">
        <v>4765</v>
      </c>
      <c r="M1950" s="6"/>
      <c r="N1950" s="6" t="s">
        <v>4766</v>
      </c>
      <c r="O1950" s="6" t="str">
        <f>HYPERLINK("https://ceds.ed.gov/cedselementdetails.aspx?termid=5780")</f>
        <v>https://ceds.ed.gov/cedselementdetails.aspx?termid=5780</v>
      </c>
      <c r="P1950" s="6" t="str">
        <f>HYPERLINK("https://ceds.ed.gov/elementComment.aspx?elementName=Professional or Technical Credential Conferred &amp;elementID=5780", "Click here to submit comment")</f>
        <v>Click here to submit comment</v>
      </c>
    </row>
    <row r="1951" spans="1:16" ht="105">
      <c r="A1951" s="6" t="s">
        <v>6869</v>
      </c>
      <c r="B1951" s="6" t="s">
        <v>6872</v>
      </c>
      <c r="C1951" s="6" t="s">
        <v>6808</v>
      </c>
      <c r="D1951" s="6" t="s">
        <v>1551</v>
      </c>
      <c r="E1951" s="6" t="s">
        <v>1552</v>
      </c>
      <c r="F1951" s="6" t="s">
        <v>5963</v>
      </c>
      <c r="G1951" s="6" t="s">
        <v>6084</v>
      </c>
      <c r="H1951" s="6"/>
      <c r="I1951" s="6"/>
      <c r="J1951" s="6"/>
      <c r="K1951" s="6"/>
      <c r="L1951" s="6" t="s">
        <v>1553</v>
      </c>
      <c r="M1951" s="6" t="s">
        <v>1554</v>
      </c>
      <c r="N1951" s="6" t="s">
        <v>1555</v>
      </c>
      <c r="O1951" s="6" t="str">
        <f>HYPERLINK("https://ceds.ed.gov/cedselementdetails.aspx?termid=5037")</f>
        <v>https://ceds.ed.gov/cedselementdetails.aspx?termid=5037</v>
      </c>
      <c r="P1951" s="6" t="str">
        <f>HYPERLINK("https://ceds.ed.gov/elementComment.aspx?elementName=Career and Technical Education Concentrator &amp;elementID=5037", "Click here to submit comment")</f>
        <v>Click here to submit comment</v>
      </c>
    </row>
    <row r="1952" spans="1:16" ht="75">
      <c r="A1952" s="6" t="s">
        <v>6869</v>
      </c>
      <c r="B1952" s="6" t="s">
        <v>6872</v>
      </c>
      <c r="C1952" s="6" t="s">
        <v>6808</v>
      </c>
      <c r="D1952" s="6" t="s">
        <v>1572</v>
      </c>
      <c r="E1952" s="6" t="s">
        <v>1573</v>
      </c>
      <c r="F1952" s="6" t="s">
        <v>5963</v>
      </c>
      <c r="G1952" s="6" t="s">
        <v>218</v>
      </c>
      <c r="H1952" s="6"/>
      <c r="I1952" s="6"/>
      <c r="J1952" s="6"/>
      <c r="K1952" s="6"/>
      <c r="L1952" s="6" t="s">
        <v>1574</v>
      </c>
      <c r="M1952" s="6" t="s">
        <v>1575</v>
      </c>
      <c r="N1952" s="6" t="s">
        <v>1576</v>
      </c>
      <c r="O1952" s="6" t="str">
        <f>HYPERLINK("https://ceds.ed.gov/cedselementdetails.aspx?termid=5585")</f>
        <v>https://ceds.ed.gov/cedselementdetails.aspx?termid=5585</v>
      </c>
      <c r="P1952" s="6" t="str">
        <f>HYPERLINK("https://ceds.ed.gov/elementComment.aspx?elementName=Career and Technical Education Participant &amp;elementID=5585", "Click here to submit comment")</f>
        <v>Click here to submit comment</v>
      </c>
    </row>
    <row r="1953" spans="1:16" ht="135">
      <c r="A1953" s="6" t="s">
        <v>6869</v>
      </c>
      <c r="B1953" s="6" t="s">
        <v>6872</v>
      </c>
      <c r="C1953" s="6" t="s">
        <v>6808</v>
      </c>
      <c r="D1953" s="6" t="s">
        <v>1594</v>
      </c>
      <c r="E1953" s="6" t="s">
        <v>1595</v>
      </c>
      <c r="F1953" s="7" t="s">
        <v>6417</v>
      </c>
      <c r="G1953" s="6" t="s">
        <v>218</v>
      </c>
      <c r="H1953" s="6"/>
      <c r="I1953" s="6"/>
      <c r="J1953" s="6"/>
      <c r="K1953" s="6"/>
      <c r="L1953" s="6" t="s">
        <v>1596</v>
      </c>
      <c r="M1953" s="6" t="s">
        <v>1597</v>
      </c>
      <c r="N1953" s="6" t="s">
        <v>1598</v>
      </c>
      <c r="O1953" s="6" t="str">
        <f>HYPERLINK("https://ceds.ed.gov/cedselementdetails.aspx?termid=5581")</f>
        <v>https://ceds.ed.gov/cedselementdetails.aspx?termid=5581</v>
      </c>
      <c r="P1953" s="6" t="str">
        <f>HYPERLINK("https://ceds.ed.gov/elementComment.aspx?elementName=Career Technical Education Nontraditional Gender Status &amp;elementID=5581", "Click here to submit comment")</f>
        <v>Click here to submit comment</v>
      </c>
    </row>
    <row r="1954" spans="1:16" ht="270">
      <c r="A1954" s="6" t="s">
        <v>6869</v>
      </c>
      <c r="B1954" s="6" t="s">
        <v>6872</v>
      </c>
      <c r="C1954" s="6" t="s">
        <v>6808</v>
      </c>
      <c r="D1954" s="6" t="s">
        <v>1599</v>
      </c>
      <c r="E1954" s="6" t="s">
        <v>1600</v>
      </c>
      <c r="F1954" s="6" t="s">
        <v>5963</v>
      </c>
      <c r="G1954" s="6" t="s">
        <v>218</v>
      </c>
      <c r="H1954" s="6"/>
      <c r="I1954" s="6"/>
      <c r="J1954" s="6"/>
      <c r="K1954" s="6"/>
      <c r="L1954" s="6" t="s">
        <v>1601</v>
      </c>
      <c r="M1954" s="6" t="s">
        <v>1602</v>
      </c>
      <c r="N1954" s="6" t="s">
        <v>1603</v>
      </c>
      <c r="O1954" s="6" t="str">
        <f>HYPERLINK("https://ceds.ed.gov/cedselementdetails.aspx?termid=5084")</f>
        <v>https://ceds.ed.gov/cedselementdetails.aspx?termid=5084</v>
      </c>
      <c r="P1954" s="6" t="str">
        <f>HYPERLINK("https://ceds.ed.gov/elementComment.aspx?elementName=Career-Technical-Adult Education Displaced Homemaker Indicator &amp;elementID=5084", "Click here to submit comment")</f>
        <v>Click here to submit comment</v>
      </c>
    </row>
    <row r="1955" spans="1:16" ht="90">
      <c r="A1955" s="6" t="s">
        <v>6869</v>
      </c>
      <c r="B1955" s="6" t="s">
        <v>6872</v>
      </c>
      <c r="C1955" s="6" t="s">
        <v>6808</v>
      </c>
      <c r="D1955" s="6" t="s">
        <v>1567</v>
      </c>
      <c r="E1955" s="6" t="s">
        <v>1568</v>
      </c>
      <c r="F1955" s="6" t="s">
        <v>5963</v>
      </c>
      <c r="G1955" s="6" t="s">
        <v>218</v>
      </c>
      <c r="H1955" s="6"/>
      <c r="I1955" s="6"/>
      <c r="J1955" s="6"/>
      <c r="K1955" s="6"/>
      <c r="L1955" s="6" t="s">
        <v>1569</v>
      </c>
      <c r="M1955" s="6" t="s">
        <v>1570</v>
      </c>
      <c r="N1955" s="6" t="s">
        <v>1571</v>
      </c>
      <c r="O1955" s="6" t="str">
        <f>HYPERLINK("https://ceds.ed.gov/cedselementdetails.aspx?termid=5586")</f>
        <v>https://ceds.ed.gov/cedselementdetails.aspx?termid=5586</v>
      </c>
      <c r="P1955" s="6" t="str">
        <f>HYPERLINK("https://ceds.ed.gov/elementComment.aspx?elementName=Career and Technical Education Nontraditional Completion &amp;elementID=5586", "Click here to submit comment")</f>
        <v>Click here to submit comment</v>
      </c>
    </row>
    <row r="1956" spans="1:16" ht="105">
      <c r="A1956" s="6" t="s">
        <v>6869</v>
      </c>
      <c r="B1956" s="6" t="s">
        <v>6872</v>
      </c>
      <c r="C1956" s="6" t="s">
        <v>6875</v>
      </c>
      <c r="D1956" s="6" t="s">
        <v>2265</v>
      </c>
      <c r="E1956" s="6" t="s">
        <v>2266</v>
      </c>
      <c r="F1956" s="7" t="s">
        <v>6467</v>
      </c>
      <c r="G1956" s="6"/>
      <c r="H1956" s="6" t="s">
        <v>54</v>
      </c>
      <c r="I1956" s="6"/>
      <c r="J1956" s="6"/>
      <c r="K1956" s="6"/>
      <c r="L1956" s="6" t="s">
        <v>2268</v>
      </c>
      <c r="M1956" s="6"/>
      <c r="N1956" s="6" t="s">
        <v>2269</v>
      </c>
      <c r="O1956" s="6" t="str">
        <f>HYPERLINK("https://ceds.ed.gov/cedselementdetails.aspx?termid=6290")</f>
        <v>https://ceds.ed.gov/cedselementdetails.aspx?termid=6290</v>
      </c>
      <c r="P1956" s="6" t="str">
        <f>HYPERLINK("https://ceds.ed.gov/elementComment.aspx?elementName=Doctoral Candidacy Admit Indicator &amp;elementID=6290", "Click here to submit comment")</f>
        <v>Click here to submit comment</v>
      </c>
    </row>
    <row r="1957" spans="1:16" ht="30">
      <c r="A1957" s="6" t="s">
        <v>6869</v>
      </c>
      <c r="B1957" s="6" t="s">
        <v>6872</v>
      </c>
      <c r="C1957" s="6" t="s">
        <v>6875</v>
      </c>
      <c r="D1957" s="6" t="s">
        <v>2270</v>
      </c>
      <c r="E1957" s="6" t="s">
        <v>2271</v>
      </c>
      <c r="F1957" s="6" t="s">
        <v>13</v>
      </c>
      <c r="G1957" s="6"/>
      <c r="H1957" s="6" t="s">
        <v>54</v>
      </c>
      <c r="I1957" s="6" t="s">
        <v>73</v>
      </c>
      <c r="J1957" s="6"/>
      <c r="K1957" s="6"/>
      <c r="L1957" s="6" t="s">
        <v>2272</v>
      </c>
      <c r="M1957" s="6"/>
      <c r="N1957" s="6" t="s">
        <v>2273</v>
      </c>
      <c r="O1957" s="6" t="str">
        <f>HYPERLINK("https://ceds.ed.gov/cedselementdetails.aspx?termid=6291")</f>
        <v>https://ceds.ed.gov/cedselementdetails.aspx?termid=6291</v>
      </c>
      <c r="P1957" s="6" t="str">
        <f>HYPERLINK("https://ceds.ed.gov/elementComment.aspx?elementName=Doctoral Candidacy Date &amp;elementID=6291", "Click here to submit comment")</f>
        <v>Click here to submit comment</v>
      </c>
    </row>
    <row r="1958" spans="1:16" ht="60">
      <c r="A1958" s="6" t="s">
        <v>6869</v>
      </c>
      <c r="B1958" s="6" t="s">
        <v>6872</v>
      </c>
      <c r="C1958" s="6" t="s">
        <v>6875</v>
      </c>
      <c r="D1958" s="6" t="s">
        <v>2274</v>
      </c>
      <c r="E1958" s="6" t="s">
        <v>2275</v>
      </c>
      <c r="F1958" s="6" t="s">
        <v>13</v>
      </c>
      <c r="G1958" s="6"/>
      <c r="H1958" s="6" t="s">
        <v>54</v>
      </c>
      <c r="I1958" s="6" t="s">
        <v>73</v>
      </c>
      <c r="J1958" s="6"/>
      <c r="K1958" s="6"/>
      <c r="L1958" s="6" t="s">
        <v>2276</v>
      </c>
      <c r="M1958" s="6"/>
      <c r="N1958" s="6" t="s">
        <v>2277</v>
      </c>
      <c r="O1958" s="6" t="str">
        <f>HYPERLINK("https://ceds.ed.gov/cedselementdetails.aspx?termid=6292")</f>
        <v>https://ceds.ed.gov/cedselementdetails.aspx?termid=6292</v>
      </c>
      <c r="P1958" s="6" t="str">
        <f>HYPERLINK("https://ceds.ed.gov/elementComment.aspx?elementName=Doctoral Exam Taken Date &amp;elementID=6292", "Click here to submit comment")</f>
        <v>Click here to submit comment</v>
      </c>
    </row>
    <row r="1959" spans="1:16" ht="210">
      <c r="A1959" s="6" t="s">
        <v>6869</v>
      </c>
      <c r="B1959" s="6" t="s">
        <v>6872</v>
      </c>
      <c r="C1959" s="6" t="s">
        <v>6875</v>
      </c>
      <c r="D1959" s="6" t="s">
        <v>2278</v>
      </c>
      <c r="E1959" s="6" t="s">
        <v>2279</v>
      </c>
      <c r="F1959" s="7" t="s">
        <v>6468</v>
      </c>
      <c r="G1959" s="6"/>
      <c r="H1959" s="6" t="s">
        <v>54</v>
      </c>
      <c r="I1959" s="6"/>
      <c r="J1959" s="6"/>
      <c r="K1959" s="6"/>
      <c r="L1959" s="6" t="s">
        <v>2280</v>
      </c>
      <c r="M1959" s="6"/>
      <c r="N1959" s="6" t="s">
        <v>2281</v>
      </c>
      <c r="O1959" s="6" t="str">
        <f>HYPERLINK("https://ceds.ed.gov/cedselementdetails.aspx?termid=6293")</f>
        <v>https://ceds.ed.gov/cedselementdetails.aspx?termid=6293</v>
      </c>
      <c r="P1959" s="6" t="str">
        <f>HYPERLINK("https://ceds.ed.gov/elementComment.aspx?elementName=Doctoral Exams Required Type &amp;elementID=6293", "Click here to submit comment")</f>
        <v>Click here to submit comment</v>
      </c>
    </row>
    <row r="1960" spans="1:16" ht="150">
      <c r="A1960" s="6" t="s">
        <v>6869</v>
      </c>
      <c r="B1960" s="6" t="s">
        <v>6872</v>
      </c>
      <c r="C1960" s="6" t="s">
        <v>6875</v>
      </c>
      <c r="D1960" s="6" t="s">
        <v>2903</v>
      </c>
      <c r="E1960" s="6" t="s">
        <v>2904</v>
      </c>
      <c r="F1960" s="7" t="s">
        <v>6524</v>
      </c>
      <c r="G1960" s="6"/>
      <c r="H1960" s="6" t="s">
        <v>54</v>
      </c>
      <c r="I1960" s="6"/>
      <c r="J1960" s="6"/>
      <c r="K1960" s="6"/>
      <c r="L1960" s="6" t="s">
        <v>2905</v>
      </c>
      <c r="M1960" s="6"/>
      <c r="N1960" s="6" t="s">
        <v>2906</v>
      </c>
      <c r="O1960" s="6" t="str">
        <f>HYPERLINK("https://ceds.ed.gov/cedselementdetails.aspx?termid=6324")</f>
        <v>https://ceds.ed.gov/cedselementdetails.aspx?termid=6324</v>
      </c>
      <c r="P1960" s="6" t="str">
        <f>HYPERLINK("https://ceds.ed.gov/elementComment.aspx?elementName=Graduate or Doctoral Exam Results Status &amp;elementID=6324", "Click here to submit comment")</f>
        <v>Click here to submit comment</v>
      </c>
    </row>
    <row r="1961" spans="1:16" ht="90">
      <c r="A1961" s="6" t="s">
        <v>6869</v>
      </c>
      <c r="B1961" s="6" t="s">
        <v>6872</v>
      </c>
      <c r="C1961" s="6" t="s">
        <v>6875</v>
      </c>
      <c r="D1961" s="6" t="s">
        <v>4329</v>
      </c>
      <c r="E1961" s="6" t="s">
        <v>4330</v>
      </c>
      <c r="F1961" s="6" t="s">
        <v>5963</v>
      </c>
      <c r="G1961" s="6"/>
      <c r="H1961" s="6" t="s">
        <v>54</v>
      </c>
      <c r="I1961" s="6"/>
      <c r="J1961" s="6"/>
      <c r="K1961" s="6"/>
      <c r="L1961" s="6" t="s">
        <v>4331</v>
      </c>
      <c r="M1961" s="6"/>
      <c r="N1961" s="6" t="s">
        <v>4332</v>
      </c>
      <c r="O1961" s="6" t="str">
        <f>HYPERLINK("https://ceds.ed.gov/cedselementdetails.aspx?termid=6385")</f>
        <v>https://ceds.ed.gov/cedselementdetails.aspx?termid=6385</v>
      </c>
      <c r="P1961" s="6" t="str">
        <f>HYPERLINK("https://ceds.ed.gov/elementComment.aspx?elementName=Oral Defense Completed Indicator &amp;elementID=6385", "Click here to submit comment")</f>
        <v>Click here to submit comment</v>
      </c>
    </row>
    <row r="1962" spans="1:16" ht="30">
      <c r="A1962" s="6" t="s">
        <v>6869</v>
      </c>
      <c r="B1962" s="6" t="s">
        <v>6872</v>
      </c>
      <c r="C1962" s="6" t="s">
        <v>6875</v>
      </c>
      <c r="D1962" s="6" t="s">
        <v>4333</v>
      </c>
      <c r="E1962" s="6" t="s">
        <v>4334</v>
      </c>
      <c r="F1962" s="6" t="s">
        <v>13</v>
      </c>
      <c r="G1962" s="6"/>
      <c r="H1962" s="6" t="s">
        <v>54</v>
      </c>
      <c r="I1962" s="6" t="s">
        <v>73</v>
      </c>
      <c r="J1962" s="6"/>
      <c r="K1962" s="6"/>
      <c r="L1962" s="6" t="s">
        <v>4335</v>
      </c>
      <c r="M1962" s="6"/>
      <c r="N1962" s="6" t="s">
        <v>4336</v>
      </c>
      <c r="O1962" s="6" t="str">
        <f>HYPERLINK("https://ceds.ed.gov/cedselementdetails.aspx?termid=6386")</f>
        <v>https://ceds.ed.gov/cedselementdetails.aspx?termid=6386</v>
      </c>
      <c r="P1962" s="6" t="str">
        <f>HYPERLINK("https://ceds.ed.gov/elementComment.aspx?elementName=Oral Defense Date &amp;elementID=6386", "Click here to submit comment")</f>
        <v>Click here to submit comment</v>
      </c>
    </row>
    <row r="1963" spans="1:16" ht="30">
      <c r="A1963" s="6" t="s">
        <v>6869</v>
      </c>
      <c r="B1963" s="6" t="s">
        <v>6872</v>
      </c>
      <c r="C1963" s="6" t="s">
        <v>6875</v>
      </c>
      <c r="D1963" s="6" t="s">
        <v>5744</v>
      </c>
      <c r="E1963" s="6" t="s">
        <v>5745</v>
      </c>
      <c r="F1963" s="6" t="s">
        <v>13</v>
      </c>
      <c r="G1963" s="6"/>
      <c r="H1963" s="6" t="s">
        <v>54</v>
      </c>
      <c r="I1963" s="6" t="s">
        <v>319</v>
      </c>
      <c r="J1963" s="6"/>
      <c r="K1963" s="6"/>
      <c r="L1963" s="6" t="s">
        <v>5746</v>
      </c>
      <c r="M1963" s="6"/>
      <c r="N1963" s="6" t="s">
        <v>5747</v>
      </c>
      <c r="O1963" s="6" t="str">
        <f>HYPERLINK("https://ceds.ed.gov/cedselementdetails.aspx?termid=6468")</f>
        <v>https://ceds.ed.gov/cedselementdetails.aspx?termid=6468</v>
      </c>
      <c r="P1963" s="6" t="str">
        <f>HYPERLINK("https://ceds.ed.gov/elementComment.aspx?elementName=Thesis or Dissertation Title &amp;elementID=6468", "Click here to submit comment")</f>
        <v>Click here to submit comment</v>
      </c>
    </row>
    <row r="1964" spans="1:16" ht="225">
      <c r="A1964" s="6" t="s">
        <v>6869</v>
      </c>
      <c r="B1964" s="6" t="s">
        <v>6872</v>
      </c>
      <c r="C1964" s="6" t="s">
        <v>6876</v>
      </c>
      <c r="D1964" s="6" t="s">
        <v>4979</v>
      </c>
      <c r="E1964" s="6" t="s">
        <v>4980</v>
      </c>
      <c r="F1964" s="7" t="s">
        <v>6637</v>
      </c>
      <c r="G1964" s="6"/>
      <c r="H1964" s="6"/>
      <c r="I1964" s="6"/>
      <c r="J1964" s="6"/>
      <c r="K1964" s="6"/>
      <c r="L1964" s="6" t="s">
        <v>4981</v>
      </c>
      <c r="M1964" s="6"/>
      <c r="N1964" s="6" t="s">
        <v>4982</v>
      </c>
      <c r="O1964" s="6" t="str">
        <f>HYPERLINK("https://ceds.ed.gov/cedselementdetails.aspx?termid=5515")</f>
        <v>https://ceds.ed.gov/cedselementdetails.aspx?termid=5515</v>
      </c>
      <c r="P1964" s="6" t="str">
        <f>HYPERLINK("https://ceds.ed.gov/elementComment.aspx?elementName=Receiving Location of Instruction &amp;elementID=5515", "Click here to submit comment")</f>
        <v>Click here to submit comment</v>
      </c>
    </row>
    <row r="1965" spans="1:16" ht="195">
      <c r="A1965" s="6" t="s">
        <v>6869</v>
      </c>
      <c r="B1965" s="6" t="s">
        <v>6872</v>
      </c>
      <c r="C1965" s="6" t="s">
        <v>6876</v>
      </c>
      <c r="D1965" s="6" t="s">
        <v>4088</v>
      </c>
      <c r="E1965" s="6" t="s">
        <v>4089</v>
      </c>
      <c r="F1965" s="6" t="s">
        <v>13</v>
      </c>
      <c r="G1965" s="6" t="s">
        <v>6176</v>
      </c>
      <c r="H1965" s="6" t="s">
        <v>3</v>
      </c>
      <c r="I1965" s="6" t="s">
        <v>1368</v>
      </c>
      <c r="J1965" s="6"/>
      <c r="K1965" s="6" t="s">
        <v>2778</v>
      </c>
      <c r="L1965" s="6" t="s">
        <v>4090</v>
      </c>
      <c r="M1965" s="6"/>
      <c r="N1965" s="6" t="s">
        <v>4091</v>
      </c>
      <c r="O1965" s="6" t="str">
        <f>HYPERLINK("https://ceds.ed.gov/cedselementdetails.aspx?termid=5184")</f>
        <v>https://ceds.ed.gov/cedselementdetails.aspx?termid=5184</v>
      </c>
      <c r="P1965" s="6" t="str">
        <f>HYPERLINK("https://ceds.ed.gov/elementComment.aspx?elementName=Middle Name &amp;elementID=5184", "Click here to submit comment")</f>
        <v>Click here to submit comment</v>
      </c>
    </row>
    <row r="1966" spans="1:16" ht="195">
      <c r="A1966" s="6" t="s">
        <v>6869</v>
      </c>
      <c r="B1966" s="6" t="s">
        <v>6872</v>
      </c>
      <c r="C1966" s="6" t="s">
        <v>6876</v>
      </c>
      <c r="D1966" s="6" t="s">
        <v>3427</v>
      </c>
      <c r="E1966" s="6" t="s">
        <v>3428</v>
      </c>
      <c r="F1966" s="6" t="s">
        <v>13</v>
      </c>
      <c r="G1966" s="6" t="s">
        <v>6176</v>
      </c>
      <c r="H1966" s="6" t="s">
        <v>3</v>
      </c>
      <c r="I1966" s="6" t="s">
        <v>1368</v>
      </c>
      <c r="J1966" s="6"/>
      <c r="K1966" s="6" t="s">
        <v>2778</v>
      </c>
      <c r="L1966" s="6" t="s">
        <v>3429</v>
      </c>
      <c r="M1966" s="6" t="s">
        <v>3430</v>
      </c>
      <c r="N1966" s="6" t="s">
        <v>3431</v>
      </c>
      <c r="O1966" s="6" t="str">
        <f>HYPERLINK("https://ceds.ed.gov/cedselementdetails.aspx?termid=5172")</f>
        <v>https://ceds.ed.gov/cedselementdetails.aspx?termid=5172</v>
      </c>
      <c r="P1966" s="6" t="str">
        <f>HYPERLINK("https://ceds.ed.gov/elementComment.aspx?elementName=Last or Surname &amp;elementID=5172", "Click here to submit comment")</f>
        <v>Click here to submit comment</v>
      </c>
    </row>
    <row r="1967" spans="1:16" ht="45">
      <c r="A1967" s="6" t="s">
        <v>6869</v>
      </c>
      <c r="B1967" s="6" t="s">
        <v>6872</v>
      </c>
      <c r="C1967" s="6" t="s">
        <v>6876</v>
      </c>
      <c r="D1967" s="6" t="s">
        <v>4375</v>
      </c>
      <c r="E1967" s="6" t="s">
        <v>4376</v>
      </c>
      <c r="F1967" s="6" t="s">
        <v>13</v>
      </c>
      <c r="G1967" s="6"/>
      <c r="H1967" s="6" t="s">
        <v>54</v>
      </c>
      <c r="I1967" s="6" t="s">
        <v>1368</v>
      </c>
      <c r="J1967" s="6"/>
      <c r="K1967" s="6" t="s">
        <v>4377</v>
      </c>
      <c r="L1967" s="6" t="s">
        <v>4378</v>
      </c>
      <c r="M1967" s="6"/>
      <c r="N1967" s="6" t="s">
        <v>4379</v>
      </c>
      <c r="O1967" s="6" t="str">
        <f>HYPERLINK("https://ceds.ed.gov/cedselementdetails.aspx?termid=6486")</f>
        <v>https://ceds.ed.gov/cedselementdetails.aspx?termid=6486</v>
      </c>
      <c r="P1967" s="6" t="str">
        <f>HYPERLINK("https://ceds.ed.gov/elementComment.aspx?elementName=Other First Name &amp;elementID=6486", "Click here to submit comment")</f>
        <v>Click here to submit comment</v>
      </c>
    </row>
    <row r="1968" spans="1:16" ht="45">
      <c r="A1968" s="6" t="s">
        <v>6869</v>
      </c>
      <c r="B1968" s="6" t="s">
        <v>6872</v>
      </c>
      <c r="C1968" s="6" t="s">
        <v>6876</v>
      </c>
      <c r="D1968" s="6" t="s">
        <v>4380</v>
      </c>
      <c r="E1968" s="6" t="s">
        <v>4381</v>
      </c>
      <c r="F1968" s="6" t="s">
        <v>13</v>
      </c>
      <c r="G1968" s="6"/>
      <c r="H1968" s="6" t="s">
        <v>54</v>
      </c>
      <c r="I1968" s="6" t="s">
        <v>1368</v>
      </c>
      <c r="J1968" s="6"/>
      <c r="K1968" s="6" t="s">
        <v>4382</v>
      </c>
      <c r="L1968" s="6" t="s">
        <v>4383</v>
      </c>
      <c r="M1968" s="6"/>
      <c r="N1968" s="6" t="s">
        <v>4384</v>
      </c>
      <c r="O1968" s="6" t="str">
        <f>HYPERLINK("https://ceds.ed.gov/cedselementdetails.aspx?termid=6485")</f>
        <v>https://ceds.ed.gov/cedselementdetails.aspx?termid=6485</v>
      </c>
      <c r="P1968" s="6" t="str">
        <f>HYPERLINK("https://ceds.ed.gov/elementComment.aspx?elementName=Other Last Name &amp;elementID=6485", "Click here to submit comment")</f>
        <v>Click here to submit comment</v>
      </c>
    </row>
    <row r="1969" spans="1:16" ht="45">
      <c r="A1969" s="6" t="s">
        <v>6869</v>
      </c>
      <c r="B1969" s="6" t="s">
        <v>6872</v>
      </c>
      <c r="C1969" s="6" t="s">
        <v>6876</v>
      </c>
      <c r="D1969" s="6" t="s">
        <v>4385</v>
      </c>
      <c r="E1969" s="6" t="s">
        <v>4386</v>
      </c>
      <c r="F1969" s="6" t="s">
        <v>13</v>
      </c>
      <c r="G1969" s="6"/>
      <c r="H1969" s="6" t="s">
        <v>54</v>
      </c>
      <c r="I1969" s="6" t="s">
        <v>1368</v>
      </c>
      <c r="J1969" s="6"/>
      <c r="K1969" s="6" t="s">
        <v>4387</v>
      </c>
      <c r="L1969" s="6" t="s">
        <v>4388</v>
      </c>
      <c r="M1969" s="6"/>
      <c r="N1969" s="6" t="s">
        <v>4389</v>
      </c>
      <c r="O1969" s="6" t="str">
        <f>HYPERLINK("https://ceds.ed.gov/cedselementdetails.aspx?termid=6487")</f>
        <v>https://ceds.ed.gov/cedselementdetails.aspx?termid=6487</v>
      </c>
      <c r="P1969" s="6" t="str">
        <f>HYPERLINK("https://ceds.ed.gov/elementComment.aspx?elementName=Other Middle Name &amp;elementID=6487", "Click here to submit comment")</f>
        <v>Click here to submit comment</v>
      </c>
    </row>
    <row r="1970" spans="1:16" ht="150">
      <c r="A1970" s="6" t="s">
        <v>6869</v>
      </c>
      <c r="B1970" s="6" t="s">
        <v>6872</v>
      </c>
      <c r="C1970" s="6" t="s">
        <v>6876</v>
      </c>
      <c r="D1970" s="6" t="s">
        <v>4390</v>
      </c>
      <c r="E1970" s="6" t="s">
        <v>4391</v>
      </c>
      <c r="F1970" s="6" t="s">
        <v>13</v>
      </c>
      <c r="G1970" s="6" t="s">
        <v>6179</v>
      </c>
      <c r="H1970" s="6" t="s">
        <v>3</v>
      </c>
      <c r="I1970" s="6" t="s">
        <v>149</v>
      </c>
      <c r="J1970" s="6"/>
      <c r="K1970" s="6"/>
      <c r="L1970" s="6" t="s">
        <v>4392</v>
      </c>
      <c r="M1970" s="6"/>
      <c r="N1970" s="6" t="s">
        <v>4393</v>
      </c>
      <c r="O1970" s="6" t="str">
        <f>HYPERLINK("https://ceds.ed.gov/cedselementdetails.aspx?termid=5206")</f>
        <v>https://ceds.ed.gov/cedselementdetails.aspx?termid=5206</v>
      </c>
      <c r="P1970" s="6" t="str">
        <f>HYPERLINK("https://ceds.ed.gov/elementComment.aspx?elementName=Other Name &amp;elementID=5206", "Click here to submit comment")</f>
        <v>Click here to submit comment</v>
      </c>
    </row>
    <row r="1971" spans="1:16" ht="285">
      <c r="A1971" s="6" t="s">
        <v>6869</v>
      </c>
      <c r="B1971" s="6" t="s">
        <v>6872</v>
      </c>
      <c r="C1971" s="6" t="s">
        <v>6830</v>
      </c>
      <c r="D1971" s="6" t="s">
        <v>399</v>
      </c>
      <c r="E1971" s="6" t="s">
        <v>400</v>
      </c>
      <c r="F1971" s="7" t="s">
        <v>6376</v>
      </c>
      <c r="G1971" s="6" t="s">
        <v>5992</v>
      </c>
      <c r="H1971" s="6" t="s">
        <v>3</v>
      </c>
      <c r="I1971" s="6"/>
      <c r="J1971" s="6"/>
      <c r="K1971" s="6"/>
      <c r="L1971" s="6" t="s">
        <v>401</v>
      </c>
      <c r="M1971" s="6"/>
      <c r="N1971" s="6" t="s">
        <v>402</v>
      </c>
      <c r="O1971" s="6" t="str">
        <f>HYPERLINK("https://ceds.ed.gov/cedselementdetails.aspx?termid=5374")</f>
        <v>https://ceds.ed.gov/cedselementdetails.aspx?termid=5374</v>
      </c>
      <c r="P1971" s="6" t="str">
        <f>HYPERLINK("https://ceds.ed.gov/elementComment.aspx?elementName=Assessment Accommodation Category &amp;elementID=5374", "Click here to submit comment")</f>
        <v>Click here to submit comment</v>
      </c>
    </row>
    <row r="1972" spans="1:16" ht="75">
      <c r="A1972" s="6" t="s">
        <v>6869</v>
      </c>
      <c r="B1972" s="6" t="s">
        <v>6872</v>
      </c>
      <c r="C1972" s="6" t="s">
        <v>6877</v>
      </c>
      <c r="D1972" s="6" t="s">
        <v>5673</v>
      </c>
      <c r="E1972" s="6" t="s">
        <v>5674</v>
      </c>
      <c r="F1972" s="7" t="s">
        <v>6669</v>
      </c>
      <c r="G1972" s="6" t="s">
        <v>344</v>
      </c>
      <c r="H1972" s="6"/>
      <c r="I1972" s="6"/>
      <c r="J1972" s="6"/>
      <c r="K1972" s="6"/>
      <c r="L1972" s="6" t="s">
        <v>5675</v>
      </c>
      <c r="M1972" s="6"/>
      <c r="N1972" s="6" t="s">
        <v>5676</v>
      </c>
      <c r="O1972" s="6" t="str">
        <f>HYPERLINK("https://ceds.ed.gov/cedselementdetails.aspx?termid=5749")</f>
        <v>https://ceds.ed.gov/cedselementdetails.aspx?termid=5749</v>
      </c>
      <c r="P1972" s="6" t="str">
        <f>HYPERLINK("https://ceds.ed.gov/elementComment.aspx?elementName=Teacher Preparation Program Enrollment Status &amp;elementID=5749", "Click here to submit comment")</f>
        <v>Click here to submit comment</v>
      </c>
    </row>
    <row r="1973" spans="1:16" ht="120">
      <c r="A1973" s="6" t="s">
        <v>6869</v>
      </c>
      <c r="B1973" s="6" t="s">
        <v>6872</v>
      </c>
      <c r="C1973" s="6" t="s">
        <v>6877</v>
      </c>
      <c r="D1973" s="6" t="s">
        <v>5669</v>
      </c>
      <c r="E1973" s="6" t="s">
        <v>5670</v>
      </c>
      <c r="F1973" s="7" t="s">
        <v>6371</v>
      </c>
      <c r="G1973" s="6" t="s">
        <v>344</v>
      </c>
      <c r="H1973" s="6"/>
      <c r="I1973" s="6"/>
      <c r="J1973" s="6"/>
      <c r="K1973" s="6"/>
      <c r="L1973" s="6" t="s">
        <v>5671</v>
      </c>
      <c r="M1973" s="6"/>
      <c r="N1973" s="6" t="s">
        <v>5672</v>
      </c>
      <c r="O1973" s="6" t="str">
        <f>HYPERLINK("https://ceds.ed.gov/cedselementdetails.aspx?termid=5750")</f>
        <v>https://ceds.ed.gov/cedselementdetails.aspx?termid=5750</v>
      </c>
      <c r="P1973" s="6" t="str">
        <f>HYPERLINK("https://ceds.ed.gov/elementComment.aspx?elementName=Teacher Preparation Program Completer Status &amp;elementID=5750", "Click here to submit comment")</f>
        <v>Click here to submit comment</v>
      </c>
    </row>
    <row r="1974" spans="1:16" ht="75">
      <c r="A1974" s="6" t="s">
        <v>6869</v>
      </c>
      <c r="B1974" s="6" t="s">
        <v>6872</v>
      </c>
      <c r="C1974" s="6" t="s">
        <v>6877</v>
      </c>
      <c r="D1974" s="6" t="s">
        <v>5626</v>
      </c>
      <c r="E1974" s="6" t="s">
        <v>5627</v>
      </c>
      <c r="F1974" s="7" t="s">
        <v>6371</v>
      </c>
      <c r="G1974" s="6" t="s">
        <v>344</v>
      </c>
      <c r="H1974" s="6"/>
      <c r="I1974" s="6"/>
      <c r="J1974" s="6"/>
      <c r="K1974" s="6"/>
      <c r="L1974" s="6" t="s">
        <v>5628</v>
      </c>
      <c r="M1974" s="6"/>
      <c r="N1974" s="6" t="s">
        <v>5629</v>
      </c>
      <c r="O1974" s="6" t="str">
        <f>HYPERLINK("https://ceds.ed.gov/cedselementdetails.aspx?termid=5754")</f>
        <v>https://ceds.ed.gov/cedselementdetails.aspx?termid=5754</v>
      </c>
      <c r="P1974" s="6" t="str">
        <f>HYPERLINK("https://ceds.ed.gov/elementComment.aspx?elementName=Supervised Clinical Experience &amp;elementID=5754", "Click here to submit comment")</f>
        <v>Click here to submit comment</v>
      </c>
    </row>
    <row r="1975" spans="1:16" ht="60">
      <c r="A1975" s="6" t="s">
        <v>6869</v>
      </c>
      <c r="B1975" s="6" t="s">
        <v>6872</v>
      </c>
      <c r="C1975" s="6" t="s">
        <v>6877</v>
      </c>
      <c r="D1975" s="6" t="s">
        <v>5630</v>
      </c>
      <c r="E1975" s="6" t="s">
        <v>5631</v>
      </c>
      <c r="F1975" s="6" t="s">
        <v>13</v>
      </c>
      <c r="G1975" s="6" t="s">
        <v>344</v>
      </c>
      <c r="H1975" s="6"/>
      <c r="I1975" s="6" t="s">
        <v>308</v>
      </c>
      <c r="J1975" s="6"/>
      <c r="K1975" s="6"/>
      <c r="L1975" s="6" t="s">
        <v>5632</v>
      </c>
      <c r="M1975" s="6"/>
      <c r="N1975" s="6" t="s">
        <v>5633</v>
      </c>
      <c r="O1975" s="6" t="str">
        <f>HYPERLINK("https://ceds.ed.gov/cedselementdetails.aspx?termid=5755")</f>
        <v>https://ceds.ed.gov/cedselementdetails.aspx?termid=5755</v>
      </c>
      <c r="P1975" s="6" t="str">
        <f>HYPERLINK("https://ceds.ed.gov/elementComment.aspx?elementName=Supervised Clinical Experience Clock Hours &amp;elementID=5755", "Click here to submit comment")</f>
        <v>Click here to submit comment</v>
      </c>
    </row>
    <row r="1976" spans="1:16" ht="90">
      <c r="A1976" s="6" t="s">
        <v>6869</v>
      </c>
      <c r="B1976" s="6" t="s">
        <v>6872</v>
      </c>
      <c r="C1976" s="6" t="s">
        <v>6877</v>
      </c>
      <c r="D1976" s="6" t="s">
        <v>5654</v>
      </c>
      <c r="E1976" s="6" t="s">
        <v>5655</v>
      </c>
      <c r="F1976" s="7" t="s">
        <v>6667</v>
      </c>
      <c r="G1976" s="6" t="s">
        <v>344</v>
      </c>
      <c r="H1976" s="6"/>
      <c r="I1976" s="6"/>
      <c r="J1976" s="6"/>
      <c r="K1976" s="6"/>
      <c r="L1976" s="6" t="s">
        <v>5656</v>
      </c>
      <c r="M1976" s="6"/>
      <c r="N1976" s="6" t="s">
        <v>5657</v>
      </c>
      <c r="O1976" s="6" t="str">
        <f>HYPERLINK("https://ceds.ed.gov/cedselementdetails.aspx?termid=5756")</f>
        <v>https://ceds.ed.gov/cedselementdetails.aspx?termid=5756</v>
      </c>
      <c r="P1976" s="6" t="str">
        <f>HYPERLINK("https://ceds.ed.gov/elementComment.aspx?elementName=Teacher Education Credential Exam Type &amp;elementID=5756", "Click here to submit comment")</f>
        <v>Click here to submit comment</v>
      </c>
    </row>
    <row r="1977" spans="1:16" ht="75">
      <c r="A1977" s="6" t="s">
        <v>6869</v>
      </c>
      <c r="B1977" s="6" t="s">
        <v>6872</v>
      </c>
      <c r="C1977" s="6" t="s">
        <v>6877</v>
      </c>
      <c r="D1977" s="6" t="s">
        <v>5649</v>
      </c>
      <c r="E1977" s="6" t="s">
        <v>5650</v>
      </c>
      <c r="F1977" s="6" t="s">
        <v>13</v>
      </c>
      <c r="G1977" s="6" t="s">
        <v>344</v>
      </c>
      <c r="H1977" s="6"/>
      <c r="I1977" s="6" t="s">
        <v>100</v>
      </c>
      <c r="J1977" s="6"/>
      <c r="K1977" s="6" t="s">
        <v>5651</v>
      </c>
      <c r="L1977" s="6" t="s">
        <v>5652</v>
      </c>
      <c r="M1977" s="6"/>
      <c r="N1977" s="6" t="s">
        <v>5653</v>
      </c>
      <c r="O1977" s="6" t="str">
        <f>HYPERLINK("https://ceds.ed.gov/cedselementdetails.aspx?termid=5757")</f>
        <v>https://ceds.ed.gov/cedselementdetails.aspx?termid=5757</v>
      </c>
      <c r="P1977" s="6" t="str">
        <f>HYPERLINK("https://ceds.ed.gov/elementComment.aspx?elementName=Teacher Education Credential Exam Score Type &amp;elementID=5757", "Click here to submit comment")</f>
        <v>Click here to submit comment</v>
      </c>
    </row>
    <row r="1978" spans="1:16" ht="210">
      <c r="A1978" s="6" t="s">
        <v>6869</v>
      </c>
      <c r="B1978" s="6" t="s">
        <v>6872</v>
      </c>
      <c r="C1978" s="6" t="s">
        <v>6877</v>
      </c>
      <c r="D1978" s="6" t="s">
        <v>5658</v>
      </c>
      <c r="E1978" s="6" t="s">
        <v>5659</v>
      </c>
      <c r="F1978" s="7" t="s">
        <v>6668</v>
      </c>
      <c r="G1978" s="6" t="s">
        <v>344</v>
      </c>
      <c r="H1978" s="6"/>
      <c r="I1978" s="6"/>
      <c r="J1978" s="6"/>
      <c r="K1978" s="6"/>
      <c r="L1978" s="6" t="s">
        <v>5660</v>
      </c>
      <c r="M1978" s="6"/>
      <c r="N1978" s="6" t="s">
        <v>5661</v>
      </c>
      <c r="O1978" s="6" t="str">
        <f>HYPERLINK("https://ceds.ed.gov/cedselementdetails.aspx?termid=5748")</f>
        <v>https://ceds.ed.gov/cedselementdetails.aspx?termid=5748</v>
      </c>
      <c r="P1978" s="6" t="str">
        <f>HYPERLINK("https://ceds.ed.gov/elementComment.aspx?elementName=Teacher Education Test Company &amp;elementID=5748", "Click here to submit comment")</f>
        <v>Click here to submit comment</v>
      </c>
    </row>
    <row r="1979" spans="1:16" ht="390">
      <c r="A1979" s="6" t="s">
        <v>6869</v>
      </c>
      <c r="B1979" s="6" t="s">
        <v>6872</v>
      </c>
      <c r="C1979" s="6" t="s">
        <v>6877</v>
      </c>
      <c r="D1979" s="6" t="s">
        <v>5699</v>
      </c>
      <c r="E1979" s="6" t="s">
        <v>5700</v>
      </c>
      <c r="F1979" s="7" t="s">
        <v>6671</v>
      </c>
      <c r="G1979" s="6" t="s">
        <v>344</v>
      </c>
      <c r="H1979" s="6" t="s">
        <v>66</v>
      </c>
      <c r="I1979" s="6"/>
      <c r="J1979" s="6" t="s">
        <v>2527</v>
      </c>
      <c r="K1979" s="6"/>
      <c r="L1979" s="6" t="s">
        <v>5701</v>
      </c>
      <c r="M1979" s="6"/>
      <c r="N1979" s="6" t="s">
        <v>5702</v>
      </c>
      <c r="O1979" s="6" t="str">
        <f>HYPERLINK("https://ceds.ed.gov/cedselementdetails.aspx?termid=5277")</f>
        <v>https://ceds.ed.gov/cedselementdetails.aspx?termid=5277</v>
      </c>
      <c r="P1979" s="6" t="str">
        <f>HYPERLINK("https://ceds.ed.gov/elementComment.aspx?elementName=Teaching Credential Basis &amp;elementID=5277", "Click here to submit comment")</f>
        <v>Click here to submit comment</v>
      </c>
    </row>
    <row r="1980" spans="1:16" ht="300">
      <c r="A1980" s="6" t="s">
        <v>6869</v>
      </c>
      <c r="B1980" s="6" t="s">
        <v>6872</v>
      </c>
      <c r="C1980" s="6" t="s">
        <v>6877</v>
      </c>
      <c r="D1980" s="6" t="s">
        <v>5703</v>
      </c>
      <c r="E1980" s="6" t="s">
        <v>5704</v>
      </c>
      <c r="F1980" s="7" t="s">
        <v>6672</v>
      </c>
      <c r="G1980" s="6" t="s">
        <v>344</v>
      </c>
      <c r="H1980" s="6"/>
      <c r="I1980" s="6"/>
      <c r="J1980" s="6"/>
      <c r="K1980" s="6"/>
      <c r="L1980" s="6" t="s">
        <v>5705</v>
      </c>
      <c r="M1980" s="6"/>
      <c r="N1980" s="6" t="s">
        <v>5706</v>
      </c>
      <c r="O1980" s="6" t="str">
        <f>HYPERLINK("https://ceds.ed.gov/cedselementdetails.aspx?termid=5278")</f>
        <v>https://ceds.ed.gov/cedselementdetails.aspx?termid=5278</v>
      </c>
      <c r="P1980" s="6" t="str">
        <f>HYPERLINK("https://ceds.ed.gov/elementComment.aspx?elementName=Teaching Credential Type &amp;elementID=5278", "Click here to submit comment")</f>
        <v>Click here to submit comment</v>
      </c>
    </row>
    <row r="1981" spans="1:16" ht="60">
      <c r="A1981" s="6" t="s">
        <v>6869</v>
      </c>
      <c r="B1981" s="6" t="s">
        <v>6872</v>
      </c>
      <c r="C1981" s="6" t="s">
        <v>6877</v>
      </c>
      <c r="D1981" s="6" t="s">
        <v>341</v>
      </c>
      <c r="E1981" s="6" t="s">
        <v>342</v>
      </c>
      <c r="F1981" s="7" t="s">
        <v>6371</v>
      </c>
      <c r="G1981" s="6" t="s">
        <v>344</v>
      </c>
      <c r="H1981" s="6"/>
      <c r="I1981" s="6"/>
      <c r="J1981" s="6"/>
      <c r="K1981" s="6"/>
      <c r="L1981" s="6" t="s">
        <v>345</v>
      </c>
      <c r="M1981" s="6"/>
      <c r="N1981" s="6" t="s">
        <v>346</v>
      </c>
      <c r="O1981" s="6" t="str">
        <f>HYPERLINK("https://ceds.ed.gov/cedselementdetails.aspx?termid=5751")</f>
        <v>https://ceds.ed.gov/cedselementdetails.aspx?termid=5751</v>
      </c>
      <c r="P1981" s="6" t="str">
        <f>HYPERLINK("https://ceds.ed.gov/elementComment.aspx?elementName=Alternative Route to Certification or Licensure &amp;elementID=5751", "Click here to submit comment")</f>
        <v>Click here to submit comment</v>
      </c>
    </row>
    <row r="1982" spans="1:16" ht="60">
      <c r="A1982" s="6" t="s">
        <v>6869</v>
      </c>
      <c r="B1982" s="6" t="s">
        <v>6872</v>
      </c>
      <c r="C1982" s="6" t="s">
        <v>6877</v>
      </c>
      <c r="D1982" s="6" t="s">
        <v>2087</v>
      </c>
      <c r="E1982" s="6" t="s">
        <v>2088</v>
      </c>
      <c r="F1982" s="7" t="s">
        <v>6371</v>
      </c>
      <c r="G1982" s="6" t="s">
        <v>344</v>
      </c>
      <c r="H1982" s="6"/>
      <c r="I1982" s="6"/>
      <c r="J1982" s="6"/>
      <c r="K1982" s="6" t="s">
        <v>2089</v>
      </c>
      <c r="L1982" s="6" t="s">
        <v>2090</v>
      </c>
      <c r="M1982" s="6"/>
      <c r="N1982" s="6" t="s">
        <v>2091</v>
      </c>
      <c r="O1982" s="6" t="str">
        <f>HYPERLINK("https://ceds.ed.gov/cedselementdetails.aspx?termid=5753")</f>
        <v>https://ceds.ed.gov/cedselementdetails.aspx?termid=5753</v>
      </c>
      <c r="P1982" s="6" t="str">
        <f>HYPERLINK("https://ceds.ed.gov/elementComment.aspx?elementName=Critical Teacher Shortage Area Candidate &amp;elementID=5753", "Click here to submit comment")</f>
        <v>Click here to submit comment</v>
      </c>
    </row>
    <row r="1983" spans="1:16" ht="225">
      <c r="A1983" s="6" t="s">
        <v>6869</v>
      </c>
      <c r="B1983" s="6" t="s">
        <v>6872</v>
      </c>
      <c r="C1983" s="6" t="s">
        <v>6770</v>
      </c>
      <c r="D1983" s="6" t="s">
        <v>2487</v>
      </c>
      <c r="E1983" s="6" t="s">
        <v>2488</v>
      </c>
      <c r="F1983" s="6" t="s">
        <v>6150</v>
      </c>
      <c r="G1983" s="6" t="s">
        <v>2476</v>
      </c>
      <c r="H1983" s="6" t="s">
        <v>66</v>
      </c>
      <c r="I1983" s="6"/>
      <c r="J1983" s="6" t="s">
        <v>2477</v>
      </c>
      <c r="K1983" s="6" t="s">
        <v>2489</v>
      </c>
      <c r="L1983" s="6" t="s">
        <v>2490</v>
      </c>
      <c r="M1983" s="6"/>
      <c r="N1983" s="6" t="s">
        <v>2491</v>
      </c>
      <c r="O1983" s="6" t="str">
        <f>HYPERLINK("https://ceds.ed.gov/cedselementdetails.aspx?termid=5989")</f>
        <v>https://ceds.ed.gov/cedselementdetails.aspx?termid=5989</v>
      </c>
      <c r="P1983" s="6" t="str">
        <f>HYPERLINK("https://ceds.ed.gov/elementComment.aspx?elementName=Employed While Enrolled &amp;elementID=5989", "Click here to submit comment")</f>
        <v>Click here to submit comment</v>
      </c>
    </row>
    <row r="1984" spans="1:16" ht="270">
      <c r="A1984" s="6" t="s">
        <v>6869</v>
      </c>
      <c r="B1984" s="6" t="s">
        <v>6872</v>
      </c>
      <c r="C1984" s="6" t="s">
        <v>6770</v>
      </c>
      <c r="D1984" s="6" t="s">
        <v>2474</v>
      </c>
      <c r="E1984" s="6" t="s">
        <v>2475</v>
      </c>
      <c r="F1984" s="6" t="s">
        <v>6150</v>
      </c>
      <c r="G1984" s="6" t="s">
        <v>2476</v>
      </c>
      <c r="H1984" s="6" t="s">
        <v>66</v>
      </c>
      <c r="I1984" s="6"/>
      <c r="J1984" s="6" t="s">
        <v>2477</v>
      </c>
      <c r="K1984" s="6" t="s">
        <v>2478</v>
      </c>
      <c r="L1984" s="6" t="s">
        <v>2479</v>
      </c>
      <c r="M1984" s="6"/>
      <c r="N1984" s="6" t="s">
        <v>2480</v>
      </c>
      <c r="O1984" s="6" t="str">
        <f>HYPERLINK("https://ceds.ed.gov/cedselementdetails.aspx?termid=5990")</f>
        <v>https://ceds.ed.gov/cedselementdetails.aspx?termid=5990</v>
      </c>
      <c r="P1984" s="6" t="str">
        <f>HYPERLINK("https://ceds.ed.gov/elementComment.aspx?elementName=Employed After Exit &amp;elementID=5990", "Click here to submit comment")</f>
        <v>Click here to submit comment</v>
      </c>
    </row>
    <row r="1985" spans="1:16" ht="60">
      <c r="A1985" s="6" t="s">
        <v>6869</v>
      </c>
      <c r="B1985" s="6" t="s">
        <v>6872</v>
      </c>
      <c r="C1985" s="6" t="s">
        <v>6770</v>
      </c>
      <c r="D1985" s="6" t="s">
        <v>2502</v>
      </c>
      <c r="E1985" s="6" t="s">
        <v>2503</v>
      </c>
      <c r="F1985" s="6" t="s">
        <v>2504</v>
      </c>
      <c r="G1985" s="6"/>
      <c r="H1985" s="6"/>
      <c r="I1985" s="6" t="s">
        <v>2505</v>
      </c>
      <c r="J1985" s="6"/>
      <c r="K1985" s="6"/>
      <c r="L1985" s="6" t="s">
        <v>2506</v>
      </c>
      <c r="M1985" s="6"/>
      <c r="N1985" s="6" t="s">
        <v>2507</v>
      </c>
      <c r="O1985" s="6" t="str">
        <f>HYPERLINK("https://ceds.ed.gov/cedselementdetails.aspx?termid=6070")</f>
        <v>https://ceds.ed.gov/cedselementdetails.aspx?termid=6070</v>
      </c>
      <c r="P1985" s="6" t="str">
        <f>HYPERLINK("https://ceds.ed.gov/elementComment.aspx?elementName=Employment NAICS Code &amp;elementID=6070", "Click here to submit comment")</f>
        <v>Click here to submit comment</v>
      </c>
    </row>
    <row r="1986" spans="1:16" ht="60">
      <c r="A1986" s="6" t="s">
        <v>6869</v>
      </c>
      <c r="B1986" s="6" t="s">
        <v>6872</v>
      </c>
      <c r="C1986" s="6" t="s">
        <v>6770</v>
      </c>
      <c r="D1986" s="6" t="s">
        <v>2492</v>
      </c>
      <c r="E1986" s="6" t="s">
        <v>2493</v>
      </c>
      <c r="F1986" s="6" t="s">
        <v>13</v>
      </c>
      <c r="G1986" s="6" t="s">
        <v>202</v>
      </c>
      <c r="H1986" s="6" t="s">
        <v>3</v>
      </c>
      <c r="I1986" s="6" t="s">
        <v>73</v>
      </c>
      <c r="J1986" s="6"/>
      <c r="K1986" s="6"/>
      <c r="L1986" s="6" t="s">
        <v>2494</v>
      </c>
      <c r="M1986" s="6"/>
      <c r="N1986" s="6" t="s">
        <v>2495</v>
      </c>
      <c r="O1986" s="6" t="str">
        <f>HYPERLINK("https://ceds.ed.gov/cedselementdetails.aspx?termid=5794")</f>
        <v>https://ceds.ed.gov/cedselementdetails.aspx?termid=5794</v>
      </c>
      <c r="P1986" s="6" t="str">
        <f>HYPERLINK("https://ceds.ed.gov/elementComment.aspx?elementName=Employment End Date &amp;elementID=5794", "Click here to submit comment")</f>
        <v>Click here to submit comment</v>
      </c>
    </row>
    <row r="1987" spans="1:16" ht="60">
      <c r="A1987" s="6" t="s">
        <v>6869</v>
      </c>
      <c r="B1987" s="6" t="s">
        <v>6872</v>
      </c>
      <c r="C1987" s="6" t="s">
        <v>6770</v>
      </c>
      <c r="D1987" s="6" t="s">
        <v>2534</v>
      </c>
      <c r="E1987" s="6" t="s">
        <v>2535</v>
      </c>
      <c r="F1987" s="6" t="s">
        <v>13</v>
      </c>
      <c r="G1987" s="6" t="s">
        <v>6154</v>
      </c>
      <c r="H1987" s="6" t="s">
        <v>3</v>
      </c>
      <c r="I1987" s="6" t="s">
        <v>73</v>
      </c>
      <c r="J1987" s="6"/>
      <c r="K1987" s="6"/>
      <c r="L1987" s="6" t="s">
        <v>2536</v>
      </c>
      <c r="M1987" s="6"/>
      <c r="N1987" s="6" t="s">
        <v>2537</v>
      </c>
      <c r="O1987" s="6" t="str">
        <f>HYPERLINK("https://ceds.ed.gov/cedselementdetails.aspx?termid=5345")</f>
        <v>https://ceds.ed.gov/cedselementdetails.aspx?termid=5345</v>
      </c>
      <c r="P1987" s="6" t="str">
        <f>HYPERLINK("https://ceds.ed.gov/elementComment.aspx?elementName=Employment Start Date &amp;elementID=5345", "Click here to submit comment")</f>
        <v>Click here to submit comment</v>
      </c>
    </row>
    <row r="1988" spans="1:16" ht="75">
      <c r="A1988" s="6" t="s">
        <v>6869</v>
      </c>
      <c r="B1988" s="6" t="s">
        <v>6872</v>
      </c>
      <c r="C1988" s="6" t="s">
        <v>6770</v>
      </c>
      <c r="D1988" s="6" t="s">
        <v>2541</v>
      </c>
      <c r="E1988" s="6" t="s">
        <v>2542</v>
      </c>
      <c r="F1988" s="7" t="s">
        <v>6497</v>
      </c>
      <c r="G1988" s="6"/>
      <c r="H1988" s="6" t="s">
        <v>54</v>
      </c>
      <c r="I1988" s="6"/>
      <c r="J1988" s="6"/>
      <c r="K1988" s="6"/>
      <c r="L1988" s="6" t="s">
        <v>2544</v>
      </c>
      <c r="M1988" s="6"/>
      <c r="N1988" s="6" t="s">
        <v>2545</v>
      </c>
      <c r="O1988" s="6" t="str">
        <f>HYPERLINK("https://ceds.ed.gov/cedselementdetails.aspx?termid=6310")</f>
        <v>https://ceds.ed.gov/cedselementdetails.aspx?termid=6310</v>
      </c>
      <c r="P1988" s="6" t="str">
        <f>HYPERLINK("https://ceds.ed.gov/elementComment.aspx?elementName=Employment Status While Enrolled &amp;elementID=6310", "Click here to submit comment")</f>
        <v>Click here to submit comment</v>
      </c>
    </row>
    <row r="1989" spans="1:16" ht="135">
      <c r="A1989" s="6" t="s">
        <v>6869</v>
      </c>
      <c r="B1989" s="6" t="s">
        <v>6872</v>
      </c>
      <c r="C1989" s="6" t="s">
        <v>6878</v>
      </c>
      <c r="D1989" s="6" t="s">
        <v>5614</v>
      </c>
      <c r="E1989" s="6" t="s">
        <v>5615</v>
      </c>
      <c r="F1989" s="6" t="s">
        <v>13</v>
      </c>
      <c r="G1989" s="6" t="s">
        <v>6330</v>
      </c>
      <c r="H1989" s="6"/>
      <c r="I1989" s="6" t="s">
        <v>100</v>
      </c>
      <c r="J1989" s="6"/>
      <c r="K1989" s="6"/>
      <c r="L1989" s="6" t="s">
        <v>5616</v>
      </c>
      <c r="M1989" s="6"/>
      <c r="N1989" s="6" t="s">
        <v>5617</v>
      </c>
      <c r="O1989" s="6" t="str">
        <f>HYPERLINK("https://ceds.ed.gov/cedselementdetails.aspx?termid=5157")</f>
        <v>https://ceds.ed.gov/cedselementdetails.aspx?termid=5157</v>
      </c>
      <c r="P1989" s="6" t="str">
        <f>HYPERLINK("https://ceds.ed.gov/elementComment.aspx?elementName=Student Identifier &amp;elementID=5157", "Click here to submit comment")</f>
        <v>Click here to submit comment</v>
      </c>
    </row>
    <row r="1990" spans="1:16" ht="285">
      <c r="A1990" s="6" t="s">
        <v>6869</v>
      </c>
      <c r="B1990" s="6" t="s">
        <v>6872</v>
      </c>
      <c r="C1990" s="6" t="s">
        <v>6878</v>
      </c>
      <c r="D1990" s="6" t="s">
        <v>5610</v>
      </c>
      <c r="E1990" s="6" t="s">
        <v>5611</v>
      </c>
      <c r="F1990" s="7" t="s">
        <v>6665</v>
      </c>
      <c r="G1990" s="6" t="s">
        <v>6330</v>
      </c>
      <c r="H1990" s="6"/>
      <c r="I1990" s="6"/>
      <c r="J1990" s="6"/>
      <c r="K1990" s="6"/>
      <c r="L1990" s="6" t="s">
        <v>5612</v>
      </c>
      <c r="M1990" s="6"/>
      <c r="N1990" s="6" t="s">
        <v>5613</v>
      </c>
      <c r="O1990" s="6" t="str">
        <f>HYPERLINK("https://ceds.ed.gov/cedselementdetails.aspx?termid=5163")</f>
        <v>https://ceds.ed.gov/cedselementdetails.aspx?termid=5163</v>
      </c>
      <c r="P1990" s="6" t="str">
        <f>HYPERLINK("https://ceds.ed.gov/elementComment.aspx?elementName=Student Identification System &amp;elementID=5163", "Click here to submit comment")</f>
        <v>Click here to submit comment</v>
      </c>
    </row>
    <row r="1991" spans="1:16" ht="165">
      <c r="A1991" s="6" t="s">
        <v>6869</v>
      </c>
      <c r="B1991" s="6" t="s">
        <v>6872</v>
      </c>
      <c r="C1991" s="6" t="s">
        <v>6878</v>
      </c>
      <c r="D1991" s="6" t="s">
        <v>5224</v>
      </c>
      <c r="E1991" s="6" t="s">
        <v>269</v>
      </c>
      <c r="F1991" s="6" t="s">
        <v>13</v>
      </c>
      <c r="G1991" s="6" t="s">
        <v>6308</v>
      </c>
      <c r="H1991" s="6"/>
      <c r="I1991" s="6" t="s">
        <v>100</v>
      </c>
      <c r="J1991" s="6"/>
      <c r="K1991" s="6"/>
      <c r="L1991" s="6" t="s">
        <v>5225</v>
      </c>
      <c r="M1991" s="6"/>
      <c r="N1991" s="6" t="s">
        <v>5226</v>
      </c>
      <c r="O1991" s="6" t="str">
        <f>HYPERLINK("https://ceds.ed.gov/cedselementdetails.aspx?termid=5155")</f>
        <v>https://ceds.ed.gov/cedselementdetails.aspx?termid=5155</v>
      </c>
      <c r="P1991" s="6" t="str">
        <f>HYPERLINK("https://ceds.ed.gov/elementComment.aspx?elementName=School Identifier &amp;elementID=5155", "Click here to submit comment")</f>
        <v>Click here to submit comment</v>
      </c>
    </row>
    <row r="1992" spans="1:16" ht="360">
      <c r="A1992" s="6" t="s">
        <v>6869</v>
      </c>
      <c r="B1992" s="6" t="s">
        <v>6872</v>
      </c>
      <c r="C1992" s="6" t="s">
        <v>6878</v>
      </c>
      <c r="D1992" s="6" t="s">
        <v>5221</v>
      </c>
      <c r="E1992" s="6" t="s">
        <v>265</v>
      </c>
      <c r="F1992" s="7" t="s">
        <v>6645</v>
      </c>
      <c r="G1992" s="6" t="s">
        <v>6308</v>
      </c>
      <c r="H1992" s="6"/>
      <c r="I1992" s="6"/>
      <c r="J1992" s="6"/>
      <c r="K1992" s="6"/>
      <c r="L1992" s="6" t="s">
        <v>5222</v>
      </c>
      <c r="M1992" s="6"/>
      <c r="N1992" s="6" t="s">
        <v>5223</v>
      </c>
      <c r="O1992" s="6" t="str">
        <f>HYPERLINK("https://ceds.ed.gov/cedselementdetails.aspx?termid=5161")</f>
        <v>https://ceds.ed.gov/cedselementdetails.aspx?termid=5161</v>
      </c>
      <c r="P1992" s="6" t="str">
        <f>HYPERLINK("https://ceds.ed.gov/elementComment.aspx?elementName=School Identification System &amp;elementID=5161", "Click here to submit comment")</f>
        <v>Click here to submit comment</v>
      </c>
    </row>
    <row r="1993" spans="1:16" ht="225">
      <c r="A1993" s="6" t="s">
        <v>6869</v>
      </c>
      <c r="B1993" s="6" t="s">
        <v>6872</v>
      </c>
      <c r="C1993" s="6" t="s">
        <v>6878</v>
      </c>
      <c r="D1993" s="6" t="s">
        <v>4189</v>
      </c>
      <c r="E1993" s="6" t="s">
        <v>4190</v>
      </c>
      <c r="F1993" s="6" t="s">
        <v>13</v>
      </c>
      <c r="G1993" s="6" t="s">
        <v>6257</v>
      </c>
      <c r="H1993" s="6"/>
      <c r="I1993" s="6" t="s">
        <v>106</v>
      </c>
      <c r="J1993" s="6"/>
      <c r="K1993" s="6"/>
      <c r="L1993" s="6" t="s">
        <v>4191</v>
      </c>
      <c r="M1993" s="6"/>
      <c r="N1993" s="6" t="s">
        <v>4192</v>
      </c>
      <c r="O1993" s="6" t="str">
        <f>HYPERLINK("https://ceds.ed.gov/cedselementdetails.aspx?termid=5191")</f>
        <v>https://ceds.ed.gov/cedselementdetails.aspx?termid=5191</v>
      </c>
      <c r="P1993" s="6" t="str">
        <f>HYPERLINK("https://ceds.ed.gov/elementComment.aspx?elementName=Name of Institution &amp;elementID=5191", "Click here to submit comment")</f>
        <v>Click here to submit comment</v>
      </c>
    </row>
    <row r="1994" spans="1:16" ht="180">
      <c r="A1994" s="6" t="s">
        <v>6869</v>
      </c>
      <c r="B1994" s="6" t="s">
        <v>6872</v>
      </c>
      <c r="C1994" s="6" t="s">
        <v>6878</v>
      </c>
      <c r="D1994" s="6" t="s">
        <v>1817</v>
      </c>
      <c r="E1994" s="6" t="s">
        <v>1818</v>
      </c>
      <c r="F1994" s="6" t="s">
        <v>13</v>
      </c>
      <c r="G1994" s="6"/>
      <c r="H1994" s="6" t="s">
        <v>66</v>
      </c>
      <c r="I1994" s="6" t="s">
        <v>1819</v>
      </c>
      <c r="J1994" s="6" t="s">
        <v>1820</v>
      </c>
      <c r="K1994" s="6"/>
      <c r="L1994" s="6" t="s">
        <v>1821</v>
      </c>
      <c r="M1994" s="6"/>
      <c r="N1994" s="6" t="s">
        <v>1822</v>
      </c>
      <c r="O1994" s="6" t="str">
        <f>HYPERLINK("https://ceds.ed.gov/cedselementdetails.aspx?termid=6176")</f>
        <v>https://ceds.ed.gov/cedselementdetails.aspx?termid=6176</v>
      </c>
      <c r="P1994" s="6" t="str">
        <f>HYPERLINK("https://ceds.ed.gov/elementComment.aspx?elementName=County ANSI Code &amp;elementID=6176", "Click here to submit comment")</f>
        <v>Click here to submit comment</v>
      </c>
    </row>
    <row r="1995" spans="1:16" ht="120">
      <c r="A1995" s="6" t="s">
        <v>6869</v>
      </c>
      <c r="B1995" s="6" t="s">
        <v>6872</v>
      </c>
      <c r="C1995" s="6" t="s">
        <v>6878</v>
      </c>
      <c r="D1995" s="6" t="s">
        <v>4022</v>
      </c>
      <c r="E1995" s="6" t="s">
        <v>4023</v>
      </c>
      <c r="F1995" s="6" t="s">
        <v>13</v>
      </c>
      <c r="G1995" s="6" t="s">
        <v>6252</v>
      </c>
      <c r="H1995" s="6"/>
      <c r="I1995" s="6" t="s">
        <v>100</v>
      </c>
      <c r="J1995" s="6"/>
      <c r="K1995" s="6"/>
      <c r="L1995" s="6" t="s">
        <v>4024</v>
      </c>
      <c r="M1995" s="6" t="s">
        <v>4025</v>
      </c>
      <c r="N1995" s="6" t="s">
        <v>4026</v>
      </c>
      <c r="O1995" s="6" t="str">
        <f>HYPERLINK("https://ceds.ed.gov/cedselementdetails.aspx?termid=5153")</f>
        <v>https://ceds.ed.gov/cedselementdetails.aspx?termid=5153</v>
      </c>
      <c r="P1995" s="6" t="str">
        <f>HYPERLINK("https://ceds.ed.gov/elementComment.aspx?elementName=Local Education Agency Identifier &amp;elementID=5153", "Click here to submit comment")</f>
        <v>Click here to submit comment</v>
      </c>
    </row>
    <row r="1996" spans="1:16" ht="285">
      <c r="A1996" s="6" t="s">
        <v>6869</v>
      </c>
      <c r="B1996" s="6" t="s">
        <v>6872</v>
      </c>
      <c r="C1996" s="6" t="s">
        <v>6878</v>
      </c>
      <c r="D1996" s="6" t="s">
        <v>4017</v>
      </c>
      <c r="E1996" s="6" t="s">
        <v>4018</v>
      </c>
      <c r="F1996" s="7" t="s">
        <v>6577</v>
      </c>
      <c r="G1996" s="6" t="s">
        <v>6252</v>
      </c>
      <c r="H1996" s="6"/>
      <c r="I1996" s="6"/>
      <c r="J1996" s="6"/>
      <c r="K1996" s="6"/>
      <c r="L1996" s="6" t="s">
        <v>4019</v>
      </c>
      <c r="M1996" s="6" t="s">
        <v>4020</v>
      </c>
      <c r="N1996" s="6" t="s">
        <v>4021</v>
      </c>
      <c r="O1996" s="6" t="str">
        <f>HYPERLINK("https://ceds.ed.gov/cedselementdetails.aspx?termid=5159")</f>
        <v>https://ceds.ed.gov/cedselementdetails.aspx?termid=5159</v>
      </c>
      <c r="P1996" s="6" t="str">
        <f>HYPERLINK("https://ceds.ed.gov/elementComment.aspx?elementName=Local Education Agency Identification System &amp;elementID=5159", "Click here to submit comment")</f>
        <v>Click here to submit comment</v>
      </c>
    </row>
    <row r="1997" spans="1:16" ht="135">
      <c r="A1997" s="6" t="s">
        <v>6869</v>
      </c>
      <c r="B1997" s="6" t="s">
        <v>6872</v>
      </c>
      <c r="C1997" s="6" t="s">
        <v>6878</v>
      </c>
      <c r="D1997" s="6" t="s">
        <v>2189</v>
      </c>
      <c r="E1997" s="6" t="s">
        <v>2190</v>
      </c>
      <c r="F1997" s="6" t="s">
        <v>13</v>
      </c>
      <c r="G1997" s="6" t="s">
        <v>6135</v>
      </c>
      <c r="H1997" s="6"/>
      <c r="I1997" s="6" t="s">
        <v>2191</v>
      </c>
      <c r="J1997" s="6"/>
      <c r="K1997" s="6"/>
      <c r="L1997" s="6" t="s">
        <v>2192</v>
      </c>
      <c r="M1997" s="6"/>
      <c r="N1997" s="6" t="s">
        <v>2193</v>
      </c>
      <c r="O1997" s="6" t="str">
        <f>HYPERLINK("https://ceds.ed.gov/cedselementdetails.aspx?termid=5081")</f>
        <v>https://ceds.ed.gov/cedselementdetails.aspx?termid=5081</v>
      </c>
      <c r="P1997" s="6" t="str">
        <f>HYPERLINK("https://ceds.ed.gov/elementComment.aspx?elementName=Diploma or Credential Award Date &amp;elementID=5081", "Click here to submit comment")</f>
        <v>Click here to submit comment</v>
      </c>
    </row>
    <row r="1998" spans="1:16" ht="180">
      <c r="A1998" s="6" t="s">
        <v>6869</v>
      </c>
      <c r="B1998" s="6" t="s">
        <v>6872</v>
      </c>
      <c r="C1998" s="6" t="s">
        <v>6878</v>
      </c>
      <c r="D1998" s="6" t="s">
        <v>2860</v>
      </c>
      <c r="E1998" s="6" t="s">
        <v>2861</v>
      </c>
      <c r="F1998" s="6" t="s">
        <v>13</v>
      </c>
      <c r="G1998" s="6" t="s">
        <v>6185</v>
      </c>
      <c r="H1998" s="6"/>
      <c r="I1998" s="6" t="s">
        <v>2857</v>
      </c>
      <c r="J1998" s="6"/>
      <c r="K1998" s="6" t="s">
        <v>2862</v>
      </c>
      <c r="L1998" s="6" t="s">
        <v>2863</v>
      </c>
      <c r="M1998" s="6" t="s">
        <v>2864</v>
      </c>
      <c r="N1998" s="6" t="s">
        <v>2865</v>
      </c>
      <c r="O1998" s="6" t="str">
        <f>HYPERLINK("https://ceds.ed.gov/cedselementdetails.aspx?termid=5128")</f>
        <v>https://ceds.ed.gov/cedselementdetails.aspx?termid=5128</v>
      </c>
      <c r="P1998" s="6" t="str">
        <f>HYPERLINK("https://ceds.ed.gov/elementComment.aspx?elementName=Grade Point Average Cumulative &amp;elementID=5128", "Click here to submit comment")</f>
        <v>Click here to submit comment</v>
      </c>
    </row>
    <row r="1999" spans="1:16" ht="45">
      <c r="A1999" s="6" t="s">
        <v>6869</v>
      </c>
      <c r="B1999" s="6" t="s">
        <v>6872</v>
      </c>
      <c r="C1999" s="6" t="s">
        <v>6878</v>
      </c>
      <c r="D1999" s="6" t="s">
        <v>2877</v>
      </c>
      <c r="E1999" s="6" t="s">
        <v>2878</v>
      </c>
      <c r="F1999" s="6" t="s">
        <v>6186</v>
      </c>
      <c r="G1999" s="6" t="s">
        <v>6188</v>
      </c>
      <c r="H1999" s="6"/>
      <c r="I1999" s="6"/>
      <c r="J1999" s="6"/>
      <c r="K1999" s="6"/>
      <c r="L1999" s="6" t="s">
        <v>2879</v>
      </c>
      <c r="M1999" s="6" t="s">
        <v>2880</v>
      </c>
      <c r="N1999" s="6" t="s">
        <v>2881</v>
      </c>
      <c r="O1999" s="6" t="str">
        <f>HYPERLINK("https://ceds.ed.gov/cedselementdetails.aspx?termid=5123")</f>
        <v>https://ceds.ed.gov/cedselementdetails.aspx?termid=5123</v>
      </c>
      <c r="P1999" s="6" t="str">
        <f>HYPERLINK("https://ceds.ed.gov/elementComment.aspx?elementName=Grade Point Average Weighted Indicator &amp;elementID=5123", "Click here to submit comment")</f>
        <v>Click here to submit comment</v>
      </c>
    </row>
    <row r="2000" spans="1:16" ht="409.5">
      <c r="A2000" s="6" t="s">
        <v>6869</v>
      </c>
      <c r="B2000" s="6" t="s">
        <v>6872</v>
      </c>
      <c r="C2000" s="6" t="s">
        <v>6878</v>
      </c>
      <c r="D2000" s="6" t="s">
        <v>2949</v>
      </c>
      <c r="E2000" s="6" t="s">
        <v>2950</v>
      </c>
      <c r="F2000" s="7" t="s">
        <v>6528</v>
      </c>
      <c r="G2000" s="6" t="s">
        <v>6191</v>
      </c>
      <c r="H2000" s="6"/>
      <c r="I2000" s="6"/>
      <c r="J2000" s="6"/>
      <c r="K2000" s="6"/>
      <c r="L2000" s="6" t="s">
        <v>2951</v>
      </c>
      <c r="M2000" s="6"/>
      <c r="N2000" s="6" t="s">
        <v>2952</v>
      </c>
      <c r="O2000" s="6" t="str">
        <f>HYPERLINK("https://ceds.ed.gov/cedselementdetails.aspx?termid=5138")</f>
        <v>https://ceds.ed.gov/cedselementdetails.aspx?termid=5138</v>
      </c>
      <c r="P2000" s="6" t="str">
        <f>HYPERLINK("https://ceds.ed.gov/elementComment.aspx?elementName=High School Diploma Type &amp;elementID=5138", "Click here to submit comment")</f>
        <v>Click here to submit comment</v>
      </c>
    </row>
    <row r="2001" spans="1:16" ht="60">
      <c r="A2001" s="6" t="s">
        <v>6869</v>
      </c>
      <c r="B2001" s="6" t="s">
        <v>6872</v>
      </c>
      <c r="C2001" s="6" t="s">
        <v>6878</v>
      </c>
      <c r="D2001" s="6" t="s">
        <v>1739</v>
      </c>
      <c r="E2001" s="6" t="s">
        <v>1740</v>
      </c>
      <c r="F2001" s="6" t="s">
        <v>13</v>
      </c>
      <c r="G2001" s="6" t="s">
        <v>6093</v>
      </c>
      <c r="H2001" s="6"/>
      <c r="I2001" s="6" t="s">
        <v>1736</v>
      </c>
      <c r="J2001" s="6"/>
      <c r="K2001" s="6"/>
      <c r="L2001" s="6" t="s">
        <v>1741</v>
      </c>
      <c r="M2001" s="6"/>
      <c r="N2001" s="6" t="s">
        <v>1742</v>
      </c>
      <c r="O2001" s="6" t="str">
        <f>HYPERLINK("https://ceds.ed.gov/cedselementdetails.aspx?termid=5046")</f>
        <v>https://ceds.ed.gov/cedselementdetails.aspx?termid=5046</v>
      </c>
      <c r="P2001" s="6" t="str">
        <f>HYPERLINK("https://ceds.ed.gov/elementComment.aspx?elementName=Cohort Year &amp;elementID=5046", "Click here to submit comment")</f>
        <v>Click here to submit comment</v>
      </c>
    </row>
    <row r="2002" spans="1:16" ht="90">
      <c r="A2002" s="6" t="s">
        <v>6869</v>
      </c>
      <c r="B2002" s="6" t="s">
        <v>6872</v>
      </c>
      <c r="C2002" s="6" t="s">
        <v>6878</v>
      </c>
      <c r="D2002" s="6" t="s">
        <v>5361</v>
      </c>
      <c r="E2002" s="6" t="s">
        <v>5362</v>
      </c>
      <c r="F2002" s="6" t="s">
        <v>13</v>
      </c>
      <c r="G2002" s="6"/>
      <c r="H2002" s="6" t="s">
        <v>54</v>
      </c>
      <c r="I2002" s="6" t="s">
        <v>100</v>
      </c>
      <c r="J2002" s="6"/>
      <c r="K2002" s="6" t="s">
        <v>5363</v>
      </c>
      <c r="L2002" s="6" t="s">
        <v>5364</v>
      </c>
      <c r="M2002" s="6"/>
      <c r="N2002" s="6" t="s">
        <v>5365</v>
      </c>
      <c r="O2002" s="6" t="str">
        <f>HYPERLINK("https://ceds.ed.gov/cedselementdetails.aspx?termid=6459")</f>
        <v>https://ceds.ed.gov/cedselementdetails.aspx?termid=6459</v>
      </c>
      <c r="P2002" s="6" t="str">
        <f>HYPERLINK("https://ceds.ed.gov/elementComment.aspx?elementName=Short Name of Institution &amp;elementID=6459", "Click here to submit comment")</f>
        <v>Click here to submit comment</v>
      </c>
    </row>
    <row r="2003" spans="1:16" ht="345">
      <c r="A2003" s="6" t="s">
        <v>6869</v>
      </c>
      <c r="B2003" s="6" t="s">
        <v>6872</v>
      </c>
      <c r="C2003" s="6" t="s">
        <v>6817</v>
      </c>
      <c r="D2003" s="6" t="s">
        <v>5928</v>
      </c>
      <c r="E2003" s="6" t="s">
        <v>5929</v>
      </c>
      <c r="F2003" s="7" t="s">
        <v>6695</v>
      </c>
      <c r="G2003" s="6"/>
      <c r="H2003" s="6" t="s">
        <v>54</v>
      </c>
      <c r="I2003" s="6"/>
      <c r="J2003" s="6"/>
      <c r="K2003" s="6"/>
      <c r="L2003" s="6" t="s">
        <v>5930</v>
      </c>
      <c r="M2003" s="6"/>
      <c r="N2003" s="6" t="s">
        <v>5931</v>
      </c>
      <c r="O2003" s="6" t="str">
        <f>HYPERLINK("https://ceds.ed.gov/cedselementdetails.aspx?termid=6471")</f>
        <v>https://ceds.ed.gov/cedselementdetails.aspx?termid=6471</v>
      </c>
      <c r="P2003" s="6" t="str">
        <f>HYPERLINK("https://ceds.ed.gov/elementComment.aspx?elementName=Work-based Learning Opportunity Type &amp;elementID=6471", "Click here to submit comment")</f>
        <v>Click here to submit comment</v>
      </c>
    </row>
    <row r="2004" spans="1:16" ht="409.5">
      <c r="A2004" s="6" t="s">
        <v>6869</v>
      </c>
      <c r="B2004" s="6" t="s">
        <v>6879</v>
      </c>
      <c r="C2004" s="6"/>
      <c r="D2004" s="6" t="s">
        <v>296</v>
      </c>
      <c r="E2004" s="6" t="s">
        <v>297</v>
      </c>
      <c r="F2004" s="7" t="s">
        <v>6369</v>
      </c>
      <c r="G2004" s="6"/>
      <c r="H2004" s="6" t="s">
        <v>54</v>
      </c>
      <c r="I2004" s="6" t="s">
        <v>106</v>
      </c>
      <c r="J2004" s="6"/>
      <c r="K2004" s="6"/>
      <c r="L2004" s="6" t="s">
        <v>298</v>
      </c>
      <c r="M2004" s="6" t="s">
        <v>299</v>
      </c>
      <c r="N2004" s="6" t="s">
        <v>300</v>
      </c>
      <c r="O2004" s="6" t="str">
        <f>HYPERLINK("https://ceds.ed.gov/cedselementdetails.aspx?termid=6244")</f>
        <v>https://ceds.ed.gov/cedselementdetails.aspx?termid=6244</v>
      </c>
      <c r="P2004" s="6" t="str">
        <f>HYPERLINK("https://ceds.ed.gov/elementComment.aspx?elementName=Advanced Placement Course Code &amp;elementID=6244", "Click here to submit comment")</f>
        <v>Click here to submit comment</v>
      </c>
    </row>
    <row r="2005" spans="1:16" ht="150">
      <c r="A2005" s="6" t="s">
        <v>6869</v>
      </c>
      <c r="B2005" s="6" t="s">
        <v>6879</v>
      </c>
      <c r="C2005" s="6"/>
      <c r="D2005" s="6" t="s">
        <v>1829</v>
      </c>
      <c r="E2005" s="6" t="s">
        <v>1830</v>
      </c>
      <c r="F2005" s="6" t="s">
        <v>13</v>
      </c>
      <c r="G2005" s="6"/>
      <c r="H2005" s="6" t="s">
        <v>54</v>
      </c>
      <c r="I2005" s="6" t="s">
        <v>1832</v>
      </c>
      <c r="J2005" s="6"/>
      <c r="K2005" s="6" t="s">
        <v>1833</v>
      </c>
      <c r="L2005" s="6" t="s">
        <v>1834</v>
      </c>
      <c r="M2005" s="6"/>
      <c r="N2005" s="6" t="s">
        <v>1835</v>
      </c>
      <c r="O2005" s="6" t="str">
        <f>HYPERLINK("https://ceds.ed.gov/cedselementdetails.aspx?termid=6264")</f>
        <v>https://ceds.ed.gov/cedselementdetails.aspx?termid=6264</v>
      </c>
      <c r="P2005" s="6" t="str">
        <f>HYPERLINK("https://ceds.ed.gov/elementComment.aspx?elementName=Course Academic Grade Scale Code &amp;elementID=6264", "Click here to submit comment")</f>
        <v>Click here to submit comment</v>
      </c>
    </row>
    <row r="2006" spans="1:16" ht="60">
      <c r="A2006" s="6" t="s">
        <v>6869</v>
      </c>
      <c r="B2006" s="6" t="s">
        <v>6879</v>
      </c>
      <c r="C2006" s="6"/>
      <c r="D2006" s="6" t="s">
        <v>1863</v>
      </c>
      <c r="E2006" s="6" t="s">
        <v>1864</v>
      </c>
      <c r="F2006" s="5" t="s">
        <v>1702</v>
      </c>
      <c r="G2006" s="6"/>
      <c r="H2006" s="6" t="s">
        <v>54</v>
      </c>
      <c r="I2006" s="6"/>
      <c r="J2006" s="6"/>
      <c r="K2006" s="6"/>
      <c r="L2006" s="6" t="s">
        <v>1865</v>
      </c>
      <c r="M2006" s="6" t="s">
        <v>1866</v>
      </c>
      <c r="N2006" s="6" t="s">
        <v>1867</v>
      </c>
      <c r="O2006" s="6" t="str">
        <f>HYPERLINK("https://ceds.ed.gov/cedselementdetails.aspx?termid=6474")</f>
        <v>https://ceds.ed.gov/cedselementdetails.aspx?termid=6474</v>
      </c>
      <c r="P2006" s="6" t="str">
        <f>HYPERLINK("https://ceds.ed.gov/elementComment.aspx?elementName=Course Classification of Instructional Programs Code &amp;elementID=6474", "Click here to submit comment")</f>
        <v>Click here to submit comment</v>
      </c>
    </row>
    <row r="2007" spans="1:16" ht="409.5">
      <c r="A2007" s="6" t="s">
        <v>6869</v>
      </c>
      <c r="B2007" s="6" t="s">
        <v>6879</v>
      </c>
      <c r="C2007" s="6"/>
      <c r="D2007" s="6" t="s">
        <v>1872</v>
      </c>
      <c r="E2007" s="6" t="s">
        <v>1873</v>
      </c>
      <c r="F2007" s="7" t="s">
        <v>6436</v>
      </c>
      <c r="G2007" s="6"/>
      <c r="H2007" s="6" t="s">
        <v>54</v>
      </c>
      <c r="I2007" s="6"/>
      <c r="J2007" s="6"/>
      <c r="K2007" s="6"/>
      <c r="L2007" s="6" t="s">
        <v>1874</v>
      </c>
      <c r="M2007" s="6"/>
      <c r="N2007" s="6" t="s">
        <v>1875</v>
      </c>
      <c r="O2007" s="6" t="str">
        <f>HYPERLINK("https://ceds.ed.gov/cedselementdetails.aspx?termid=6269")</f>
        <v>https://ceds.ed.gov/cedselementdetails.aspx?termid=6269</v>
      </c>
      <c r="P2007" s="6" t="str">
        <f>HYPERLINK("https://ceds.ed.gov/elementComment.aspx?elementName=Course Credit Basis Type &amp;elementID=6269", "Click here to submit comment")</f>
        <v>Click here to submit comment</v>
      </c>
    </row>
    <row r="2008" spans="1:16" ht="375">
      <c r="A2008" s="6" t="s">
        <v>6869</v>
      </c>
      <c r="B2008" s="6" t="s">
        <v>6879</v>
      </c>
      <c r="C2008" s="6"/>
      <c r="D2008" s="6" t="s">
        <v>1876</v>
      </c>
      <c r="E2008" s="6" t="s">
        <v>1877</v>
      </c>
      <c r="F2008" s="7" t="s">
        <v>6437</v>
      </c>
      <c r="G2008" s="6"/>
      <c r="H2008" s="6" t="s">
        <v>54</v>
      </c>
      <c r="I2008" s="6"/>
      <c r="J2008" s="6"/>
      <c r="K2008" s="6"/>
      <c r="L2008" s="6" t="s">
        <v>1878</v>
      </c>
      <c r="M2008" s="6"/>
      <c r="N2008" s="6" t="s">
        <v>1879</v>
      </c>
      <c r="O2008" s="6" t="str">
        <f>HYPERLINK("https://ceds.ed.gov/cedselementdetails.aspx?termid=6270")</f>
        <v>https://ceds.ed.gov/cedselementdetails.aspx?termid=6270</v>
      </c>
      <c r="P2008" s="6" t="str">
        <f>HYPERLINK("https://ceds.ed.gov/elementComment.aspx?elementName=Course Credit Level Type &amp;elementID=6270", "Click here to submit comment")</f>
        <v>Click here to submit comment</v>
      </c>
    </row>
    <row r="2009" spans="1:16" ht="30">
      <c r="A2009" s="6" t="s">
        <v>6869</v>
      </c>
      <c r="B2009" s="6" t="s">
        <v>6879</v>
      </c>
      <c r="C2009" s="6"/>
      <c r="D2009" s="6" t="s">
        <v>1893</v>
      </c>
      <c r="E2009" s="6" t="s">
        <v>1894</v>
      </c>
      <c r="F2009" s="6" t="s">
        <v>13</v>
      </c>
      <c r="G2009" s="6"/>
      <c r="H2009" s="6" t="s">
        <v>54</v>
      </c>
      <c r="I2009" s="6" t="s">
        <v>73</v>
      </c>
      <c r="J2009" s="6"/>
      <c r="K2009" s="6"/>
      <c r="L2009" s="6" t="s">
        <v>1895</v>
      </c>
      <c r="M2009" s="6"/>
      <c r="N2009" s="6" t="s">
        <v>1896</v>
      </c>
      <c r="O2009" s="6" t="str">
        <f>HYPERLINK("https://ceds.ed.gov/cedselementdetails.aspx?termid=6271")</f>
        <v>https://ceds.ed.gov/cedselementdetails.aspx?termid=6271</v>
      </c>
      <c r="P2009" s="6" t="str">
        <f>HYPERLINK("https://ceds.ed.gov/elementComment.aspx?elementName=Course Drop Date &amp;elementID=6271", "Click here to submit comment")</f>
        <v>Click here to submit comment</v>
      </c>
    </row>
    <row r="2010" spans="1:16" ht="120">
      <c r="A2010" s="6" t="s">
        <v>6869</v>
      </c>
      <c r="B2010" s="6" t="s">
        <v>6879</v>
      </c>
      <c r="C2010" s="6"/>
      <c r="D2010" s="6" t="s">
        <v>1906</v>
      </c>
      <c r="E2010" s="6" t="s">
        <v>1907</v>
      </c>
      <c r="F2010" s="7" t="s">
        <v>6439</v>
      </c>
      <c r="G2010" s="6" t="s">
        <v>6078</v>
      </c>
      <c r="H2010" s="6" t="s">
        <v>66</v>
      </c>
      <c r="I2010" s="6"/>
      <c r="J2010" s="6" t="s">
        <v>1820</v>
      </c>
      <c r="K2010" s="6"/>
      <c r="L2010" s="6" t="s">
        <v>1908</v>
      </c>
      <c r="M2010" s="6" t="s">
        <v>1909</v>
      </c>
      <c r="N2010" s="6" t="s">
        <v>1910</v>
      </c>
      <c r="O2010" s="6" t="str">
        <f>HYPERLINK("https://ceds.ed.gov/cedselementdetails.aspx?termid=5060")</f>
        <v>https://ceds.ed.gov/cedselementdetails.aspx?termid=5060</v>
      </c>
      <c r="P2010" s="6" t="str">
        <f>HYPERLINK("https://ceds.ed.gov/elementComment.aspx?elementName=Course Grade Point Average Applicability &amp;elementID=5060", "Click here to submit comment")</f>
        <v>Click here to submit comment</v>
      </c>
    </row>
    <row r="2011" spans="1:16" ht="60">
      <c r="A2011" s="6" t="s">
        <v>6869</v>
      </c>
      <c r="B2011" s="6" t="s">
        <v>6879</v>
      </c>
      <c r="C2011" s="6"/>
      <c r="D2011" s="6" t="s">
        <v>1911</v>
      </c>
      <c r="E2011" s="6" t="s">
        <v>1912</v>
      </c>
      <c r="F2011" s="7" t="s">
        <v>6440</v>
      </c>
      <c r="G2011" s="6"/>
      <c r="H2011" s="6" t="s">
        <v>54</v>
      </c>
      <c r="I2011" s="6"/>
      <c r="J2011" s="6"/>
      <c r="K2011" s="6"/>
      <c r="L2011" s="6" t="s">
        <v>1913</v>
      </c>
      <c r="M2011" s="6"/>
      <c r="N2011" s="6" t="s">
        <v>1914</v>
      </c>
      <c r="O2011" s="6" t="str">
        <f>HYPERLINK("https://ceds.ed.gov/cedselementdetails.aspx?termid=6273")</f>
        <v>https://ceds.ed.gov/cedselementdetails.aspx?termid=6273</v>
      </c>
      <c r="P2011" s="6" t="str">
        <f>HYPERLINK("https://ceds.ed.gov/elementComment.aspx?elementName=Course Honors Type &amp;elementID=6273", "Click here to submit comment")</f>
        <v>Click here to submit comment</v>
      </c>
    </row>
    <row r="2012" spans="1:16" ht="409.5">
      <c r="A2012" s="6" t="s">
        <v>6869</v>
      </c>
      <c r="B2012" s="6" t="s">
        <v>6879</v>
      </c>
      <c r="C2012" s="6"/>
      <c r="D2012" s="6" t="s">
        <v>1921</v>
      </c>
      <c r="E2012" s="6" t="s">
        <v>1922</v>
      </c>
      <c r="F2012" s="6" t="s">
        <v>6117</v>
      </c>
      <c r="G2012" s="6"/>
      <c r="H2012" s="6" t="s">
        <v>54</v>
      </c>
      <c r="I2012" s="6"/>
      <c r="J2012" s="6"/>
      <c r="K2012" s="6"/>
      <c r="L2012" s="6" t="s">
        <v>1923</v>
      </c>
      <c r="M2012" s="6"/>
      <c r="N2012" s="6" t="s">
        <v>1924</v>
      </c>
      <c r="O2012" s="6" t="str">
        <f>HYPERLINK("https://ceds.ed.gov/cedselementdetails.aspx?termid=6274")</f>
        <v>https://ceds.ed.gov/cedselementdetails.aspx?termid=6274</v>
      </c>
      <c r="P2012" s="6" t="str">
        <f>HYPERLINK("https://ceds.ed.gov/elementComment.aspx?elementName=Course Instruction Method &amp;elementID=6274", "Click here to submit comment")</f>
        <v>Click here to submit comment</v>
      </c>
    </row>
    <row r="2013" spans="1:16" ht="30">
      <c r="A2013" s="6" t="s">
        <v>6869</v>
      </c>
      <c r="B2013" s="6" t="s">
        <v>6879</v>
      </c>
      <c r="C2013" s="6"/>
      <c r="D2013" s="6" t="s">
        <v>1925</v>
      </c>
      <c r="E2013" s="6" t="s">
        <v>1926</v>
      </c>
      <c r="F2013" s="6" t="s">
        <v>13</v>
      </c>
      <c r="G2013" s="6"/>
      <c r="H2013" s="6" t="s">
        <v>54</v>
      </c>
      <c r="I2013" s="6" t="s">
        <v>106</v>
      </c>
      <c r="J2013" s="6"/>
      <c r="K2013" s="6"/>
      <c r="L2013" s="6" t="s">
        <v>1927</v>
      </c>
      <c r="M2013" s="6"/>
      <c r="N2013" s="6" t="s">
        <v>1928</v>
      </c>
      <c r="O2013" s="6" t="str">
        <f>HYPERLINK("https://ceds.ed.gov/cedselementdetails.aspx?termid=6275")</f>
        <v>https://ceds.ed.gov/cedselementdetails.aspx?termid=6275</v>
      </c>
      <c r="P2013" s="6" t="str">
        <f>HYPERLINK("https://ceds.ed.gov/elementComment.aspx?elementName=Course Instruction Site Name &amp;elementID=6275", "Click here to submit comment")</f>
        <v>Click here to submit comment</v>
      </c>
    </row>
    <row r="2014" spans="1:16" ht="270">
      <c r="A2014" s="6" t="s">
        <v>6869</v>
      </c>
      <c r="B2014" s="6" t="s">
        <v>6879</v>
      </c>
      <c r="C2014" s="6"/>
      <c r="D2014" s="6" t="s">
        <v>1929</v>
      </c>
      <c r="E2014" s="6" t="s">
        <v>1930</v>
      </c>
      <c r="F2014" s="7" t="s">
        <v>6441</v>
      </c>
      <c r="G2014" s="6"/>
      <c r="H2014" s="6" t="s">
        <v>54</v>
      </c>
      <c r="I2014" s="6"/>
      <c r="J2014" s="6"/>
      <c r="K2014" s="6"/>
      <c r="L2014" s="6" t="s">
        <v>1931</v>
      </c>
      <c r="M2014" s="6"/>
      <c r="N2014" s="6" t="s">
        <v>1932</v>
      </c>
      <c r="O2014" s="6" t="str">
        <f>HYPERLINK("https://ceds.ed.gov/cedselementdetails.aspx?termid=6276")</f>
        <v>https://ceds.ed.gov/cedselementdetails.aspx?termid=6276</v>
      </c>
      <c r="P2014" s="6" t="str">
        <f>HYPERLINK("https://ceds.ed.gov/elementComment.aspx?elementName=Course Instruction Site Type &amp;elementID=6276", "Click here to submit comment")</f>
        <v>Click here to submit comment</v>
      </c>
    </row>
    <row r="2015" spans="1:16" ht="409.5">
      <c r="A2015" s="6" t="s">
        <v>6869</v>
      </c>
      <c r="B2015" s="6" t="s">
        <v>6879</v>
      </c>
      <c r="C2015" s="6"/>
      <c r="D2015" s="6" t="s">
        <v>1942</v>
      </c>
      <c r="E2015" s="6" t="s">
        <v>1943</v>
      </c>
      <c r="F2015" s="7" t="s">
        <v>6444</v>
      </c>
      <c r="G2015" s="6"/>
      <c r="H2015" s="6" t="s">
        <v>54</v>
      </c>
      <c r="I2015" s="6"/>
      <c r="J2015" s="6"/>
      <c r="K2015" s="6"/>
      <c r="L2015" s="6" t="s">
        <v>1944</v>
      </c>
      <c r="M2015" s="6"/>
      <c r="N2015" s="6" t="s">
        <v>1945</v>
      </c>
      <c r="O2015" s="6" t="str">
        <f>HYPERLINK("https://ceds.ed.gov/cedselementdetails.aspx?termid=6278")</f>
        <v>https://ceds.ed.gov/cedselementdetails.aspx?termid=6278</v>
      </c>
      <c r="P2015" s="6" t="str">
        <f>HYPERLINK("https://ceds.ed.gov/elementComment.aspx?elementName=Course Level Type &amp;elementID=6278", "Click here to submit comment")</f>
        <v>Click here to submit comment</v>
      </c>
    </row>
    <row r="2016" spans="1:16" ht="90">
      <c r="A2016" s="6" t="s">
        <v>6869</v>
      </c>
      <c r="B2016" s="6" t="s">
        <v>6879</v>
      </c>
      <c r="C2016" s="6"/>
      <c r="D2016" s="6" t="s">
        <v>1946</v>
      </c>
      <c r="E2016" s="6" t="s">
        <v>1947</v>
      </c>
      <c r="F2016" s="6" t="s">
        <v>13</v>
      </c>
      <c r="G2016" s="6"/>
      <c r="H2016" s="6" t="s">
        <v>54</v>
      </c>
      <c r="I2016" s="6" t="s">
        <v>319</v>
      </c>
      <c r="J2016" s="6"/>
      <c r="K2016" s="6"/>
      <c r="L2016" s="6" t="s">
        <v>1948</v>
      </c>
      <c r="M2016" s="6"/>
      <c r="N2016" s="6" t="s">
        <v>1949</v>
      </c>
      <c r="O2016" s="6" t="str">
        <f>HYPERLINK("https://ceds.ed.gov/cedselementdetails.aspx?termid=6279")</f>
        <v>https://ceds.ed.gov/cedselementdetails.aspx?termid=6279</v>
      </c>
      <c r="P2016" s="6" t="str">
        <f>HYPERLINK("https://ceds.ed.gov/elementComment.aspx?elementName=Course Narrative Explanation Grade &amp;elementID=6279", "Click here to submit comment")</f>
        <v>Click here to submit comment</v>
      </c>
    </row>
    <row r="2017" spans="1:16" ht="90">
      <c r="A2017" s="6" t="s">
        <v>6869</v>
      </c>
      <c r="B2017" s="6" t="s">
        <v>6879</v>
      </c>
      <c r="C2017" s="6"/>
      <c r="D2017" s="6" t="s">
        <v>1950</v>
      </c>
      <c r="E2017" s="6" t="s">
        <v>1951</v>
      </c>
      <c r="F2017" s="6" t="s">
        <v>13</v>
      </c>
      <c r="G2017" s="6"/>
      <c r="H2017" s="6" t="s">
        <v>54</v>
      </c>
      <c r="I2017" s="6" t="s">
        <v>100</v>
      </c>
      <c r="J2017" s="6"/>
      <c r="K2017" s="6"/>
      <c r="L2017" s="6" t="s">
        <v>1952</v>
      </c>
      <c r="M2017" s="6"/>
      <c r="N2017" s="6" t="s">
        <v>1953</v>
      </c>
      <c r="O2017" s="6" t="str">
        <f>HYPERLINK("https://ceds.ed.gov/cedselementdetails.aspx?termid=6280")</f>
        <v>https://ceds.ed.gov/cedselementdetails.aspx?termid=6280</v>
      </c>
      <c r="P2017" s="6" t="str">
        <f>HYPERLINK("https://ceds.ed.gov/elementComment.aspx?elementName=Course Number &amp;elementID=6280", "Click here to submit comment")</f>
        <v>Click here to submit comment</v>
      </c>
    </row>
    <row r="2018" spans="1:16" ht="285">
      <c r="A2018" s="6" t="s">
        <v>6869</v>
      </c>
      <c r="B2018" s="6" t="s">
        <v>6879</v>
      </c>
      <c r="C2018" s="6"/>
      <c r="D2018" s="6" t="s">
        <v>1962</v>
      </c>
      <c r="E2018" s="6" t="s">
        <v>1963</v>
      </c>
      <c r="F2018" s="7" t="s">
        <v>6445</v>
      </c>
      <c r="G2018" s="6" t="s">
        <v>5968</v>
      </c>
      <c r="H2018" s="6" t="s">
        <v>3</v>
      </c>
      <c r="I2018" s="6"/>
      <c r="J2018" s="6"/>
      <c r="K2018" s="6"/>
      <c r="L2018" s="6" t="s">
        <v>1964</v>
      </c>
      <c r="M2018" s="6"/>
      <c r="N2018" s="6" t="s">
        <v>1965</v>
      </c>
      <c r="O2018" s="6" t="str">
        <f>HYPERLINK("https://ceds.ed.gov/cedselementdetails.aspx?termid=5065")</f>
        <v>https://ceds.ed.gov/cedselementdetails.aspx?termid=5065</v>
      </c>
      <c r="P2018" s="6" t="str">
        <f>HYPERLINK("https://ceds.ed.gov/elementComment.aspx?elementName=Course Repeat Code &amp;elementID=5065", "Click here to submit comment")</f>
        <v>Click here to submit comment</v>
      </c>
    </row>
    <row r="2019" spans="1:16" ht="75">
      <c r="A2019" s="6" t="s">
        <v>6869</v>
      </c>
      <c r="B2019" s="6" t="s">
        <v>6879</v>
      </c>
      <c r="C2019" s="6"/>
      <c r="D2019" s="6" t="s">
        <v>2014</v>
      </c>
      <c r="E2019" s="6" t="s">
        <v>2015</v>
      </c>
      <c r="F2019" s="6" t="s">
        <v>13</v>
      </c>
      <c r="G2019" s="6"/>
      <c r="H2019" s="6" t="s">
        <v>54</v>
      </c>
      <c r="I2019" s="6" t="s">
        <v>100</v>
      </c>
      <c r="J2019" s="6"/>
      <c r="K2019" s="6"/>
      <c r="L2019" s="6" t="s">
        <v>2016</v>
      </c>
      <c r="M2019" s="6"/>
      <c r="N2019" s="6" t="s">
        <v>2017</v>
      </c>
      <c r="O2019" s="6" t="str">
        <f>HYPERLINK("https://ceds.ed.gov/cedselementdetails.aspx?termid=6281")</f>
        <v>https://ceds.ed.gov/cedselementdetails.aspx?termid=6281</v>
      </c>
      <c r="P2019" s="6" t="str">
        <f>HYPERLINK("https://ceds.ed.gov/elementComment.aspx?elementName=Course Section Number &amp;elementID=6281", "Click here to submit comment")</f>
        <v>Click here to submit comment</v>
      </c>
    </row>
    <row r="2020" spans="1:16" ht="45">
      <c r="A2020" s="6" t="s">
        <v>6869</v>
      </c>
      <c r="B2020" s="6" t="s">
        <v>6879</v>
      </c>
      <c r="C2020" s="6"/>
      <c r="D2020" s="6" t="s">
        <v>4206</v>
      </c>
      <c r="E2020" s="6" t="s">
        <v>4207</v>
      </c>
      <c r="F2020" s="6" t="s">
        <v>4208</v>
      </c>
      <c r="G2020" s="6"/>
      <c r="H2020" s="6" t="s">
        <v>54</v>
      </c>
      <c r="I2020" s="6"/>
      <c r="J2020" s="6"/>
      <c r="K2020" s="6"/>
      <c r="L2020" s="6" t="s">
        <v>4209</v>
      </c>
      <c r="M2020" s="6"/>
      <c r="N2020" s="6" t="s">
        <v>4210</v>
      </c>
      <c r="O2020" s="6" t="str">
        <f>HYPERLINK("https://ceds.ed.gov/cedselementdetails.aspx?termid=6383")</f>
        <v>https://ceds.ed.gov/cedselementdetails.aspx?termid=6383</v>
      </c>
      <c r="P2020" s="6" t="str">
        <f>HYPERLINK("https://ceds.ed.gov/elementComment.aspx?elementName=NCES College Course Map Code &amp;elementID=6383", "Click here to submit comment")</f>
        <v>Click here to submit comment</v>
      </c>
    </row>
    <row r="2021" spans="1:16" ht="75">
      <c r="A2021" s="6" t="s">
        <v>6869</v>
      </c>
      <c r="B2021" s="6" t="s">
        <v>6879</v>
      </c>
      <c r="C2021" s="6"/>
      <c r="D2021" s="6" t="s">
        <v>4371</v>
      </c>
      <c r="E2021" s="6" t="s">
        <v>4372</v>
      </c>
      <c r="F2021" s="6" t="s">
        <v>13</v>
      </c>
      <c r="G2021" s="6"/>
      <c r="H2021" s="6" t="s">
        <v>54</v>
      </c>
      <c r="I2021" s="6" t="s">
        <v>100</v>
      </c>
      <c r="J2021" s="6"/>
      <c r="K2021" s="6"/>
      <c r="L2021" s="6" t="s">
        <v>4373</v>
      </c>
      <c r="M2021" s="6"/>
      <c r="N2021" s="6" t="s">
        <v>4374</v>
      </c>
      <c r="O2021" s="6" t="str">
        <f>HYPERLINK("https://ceds.ed.gov/cedselementdetails.aspx?termid=6389")</f>
        <v>https://ceds.ed.gov/cedselementdetails.aspx?termid=6389</v>
      </c>
      <c r="P2021" s="6" t="str">
        <f>HYPERLINK("https://ceds.ed.gov/elementComment.aspx?elementName=Original Course Identifier &amp;elementID=6389", "Click here to submit comment")</f>
        <v>Click here to submit comment</v>
      </c>
    </row>
    <row r="2022" spans="1:16" ht="45">
      <c r="A2022" s="6" t="s">
        <v>6869</v>
      </c>
      <c r="B2022" s="6" t="s">
        <v>6879</v>
      </c>
      <c r="C2022" s="6"/>
      <c r="D2022" s="6" t="s">
        <v>4407</v>
      </c>
      <c r="E2022" s="6" t="s">
        <v>4408</v>
      </c>
      <c r="F2022" s="6" t="s">
        <v>13</v>
      </c>
      <c r="G2022" s="6"/>
      <c r="H2022" s="6" t="s">
        <v>54</v>
      </c>
      <c r="I2022" s="6" t="s">
        <v>100</v>
      </c>
      <c r="J2022" s="6"/>
      <c r="K2022" s="6"/>
      <c r="L2022" s="6" t="s">
        <v>4409</v>
      </c>
      <c r="M2022" s="6"/>
      <c r="N2022" s="6" t="s">
        <v>4410</v>
      </c>
      <c r="O2022" s="6" t="str">
        <f>HYPERLINK("https://ceds.ed.gov/cedselementdetails.aspx?termid=6391")</f>
        <v>https://ceds.ed.gov/cedselementdetails.aspx?termid=6391</v>
      </c>
      <c r="P2022" s="6" t="str">
        <f>HYPERLINK("https://ceds.ed.gov/elementComment.aspx?elementName=Override School Course Number &amp;elementID=6391", "Click here to submit comment")</f>
        <v>Click here to submit comment</v>
      </c>
    </row>
    <row r="2023" spans="1:16" ht="60">
      <c r="A2023" s="6" t="s">
        <v>6869</v>
      </c>
      <c r="B2023" s="6" t="s">
        <v>6879</v>
      </c>
      <c r="C2023" s="6" t="s">
        <v>6825</v>
      </c>
      <c r="D2023" s="6" t="s">
        <v>2029</v>
      </c>
      <c r="E2023" s="6" t="s">
        <v>2030</v>
      </c>
      <c r="F2023" s="6" t="s">
        <v>13</v>
      </c>
      <c r="G2023" s="6" t="s">
        <v>24</v>
      </c>
      <c r="H2023" s="6"/>
      <c r="I2023" s="6" t="s">
        <v>2031</v>
      </c>
      <c r="J2023" s="6"/>
      <c r="K2023" s="6"/>
      <c r="L2023" s="6" t="s">
        <v>2032</v>
      </c>
      <c r="M2023" s="6"/>
      <c r="N2023" s="6" t="s">
        <v>2033</v>
      </c>
      <c r="O2023" s="6" t="str">
        <f>HYPERLINK("https://ceds.ed.gov/cedselementdetails.aspx?termid=5066")</f>
        <v>https://ceds.ed.gov/cedselementdetails.aspx?termid=5066</v>
      </c>
      <c r="P2023" s="6" t="str">
        <f>HYPERLINK("https://ceds.ed.gov/elementComment.aspx?elementName=Course Subject Abbreviation &amp;elementID=5066", "Click here to submit comment")</f>
        <v>Click here to submit comment</v>
      </c>
    </row>
    <row r="2024" spans="1:16" ht="30">
      <c r="A2024" s="6" t="s">
        <v>6869</v>
      </c>
      <c r="B2024" s="6" t="s">
        <v>6879</v>
      </c>
      <c r="C2024" s="6" t="s">
        <v>6825</v>
      </c>
      <c r="D2024" s="6" t="s">
        <v>4520</v>
      </c>
      <c r="E2024" s="6" t="s">
        <v>4521</v>
      </c>
      <c r="F2024" s="6" t="s">
        <v>13</v>
      </c>
      <c r="G2024" s="6" t="s">
        <v>24</v>
      </c>
      <c r="H2024" s="6"/>
      <c r="I2024" s="6" t="s">
        <v>106</v>
      </c>
      <c r="J2024" s="6"/>
      <c r="K2024" s="6"/>
      <c r="L2024" s="6" t="s">
        <v>4522</v>
      </c>
      <c r="M2024" s="6"/>
      <c r="N2024" s="6" t="s">
        <v>4523</v>
      </c>
      <c r="O2024" s="6" t="str">
        <f>HYPERLINK("https://ceds.ed.gov/cedselementdetails.aspx?termid=5068")</f>
        <v>https://ceds.ed.gov/cedselementdetails.aspx?termid=5068</v>
      </c>
      <c r="P2024" s="6" t="str">
        <f>HYPERLINK("https://ceds.ed.gov/elementComment.aspx?elementName=Postsecondary Course Title &amp;elementID=5068", "Click here to submit comment")</f>
        <v>Click here to submit comment</v>
      </c>
    </row>
    <row r="2025" spans="1:16" ht="195">
      <c r="A2025" s="6" t="s">
        <v>6869</v>
      </c>
      <c r="B2025" s="6" t="s">
        <v>6879</v>
      </c>
      <c r="C2025" s="6" t="s">
        <v>6825</v>
      </c>
      <c r="D2025" s="6" t="s">
        <v>1880</v>
      </c>
      <c r="E2025" s="6" t="s">
        <v>1881</v>
      </c>
      <c r="F2025" s="7" t="s">
        <v>6438</v>
      </c>
      <c r="G2025" s="6" t="s">
        <v>24</v>
      </c>
      <c r="H2025" s="6"/>
      <c r="I2025" s="6"/>
      <c r="J2025" s="6"/>
      <c r="K2025" s="6"/>
      <c r="L2025" s="6" t="s">
        <v>1882</v>
      </c>
      <c r="M2025" s="6"/>
      <c r="N2025" s="6" t="s">
        <v>1883</v>
      </c>
      <c r="O2025" s="6" t="str">
        <f>HYPERLINK("https://ceds.ed.gov/cedselementdetails.aspx?termid=5057")</f>
        <v>https://ceds.ed.gov/cedselementdetails.aspx?termid=5057</v>
      </c>
      <c r="P2025" s="6" t="str">
        <f>HYPERLINK("https://ceds.ed.gov/elementComment.aspx?elementName=Course Credit Units &amp;elementID=5057", "Click here to submit comment")</f>
        <v>Click here to submit comment</v>
      </c>
    </row>
    <row r="2026" spans="1:16" ht="105">
      <c r="A2026" s="6" t="s">
        <v>6869</v>
      </c>
      <c r="B2026" s="6" t="s">
        <v>6879</v>
      </c>
      <c r="C2026" s="6" t="s">
        <v>6825</v>
      </c>
      <c r="D2026" s="6" t="s">
        <v>1884</v>
      </c>
      <c r="E2026" s="6" t="s">
        <v>1885</v>
      </c>
      <c r="F2026" s="6" t="s">
        <v>13</v>
      </c>
      <c r="G2026" s="6" t="s">
        <v>24</v>
      </c>
      <c r="H2026" s="6"/>
      <c r="I2026" s="6" t="s">
        <v>1461</v>
      </c>
      <c r="J2026" s="6"/>
      <c r="K2026" s="6" t="s">
        <v>1886</v>
      </c>
      <c r="L2026" s="6" t="s">
        <v>1887</v>
      </c>
      <c r="M2026" s="6"/>
      <c r="N2026" s="6" t="s">
        <v>1888</v>
      </c>
      <c r="O2026" s="6" t="str">
        <f>HYPERLINK("https://ceds.ed.gov/cedselementdetails.aspx?termid=5058")</f>
        <v>https://ceds.ed.gov/cedselementdetails.aspx?termid=5058</v>
      </c>
      <c r="P2026" s="6" t="str">
        <f>HYPERLINK("https://ceds.ed.gov/elementComment.aspx?elementName=Course Credit Value &amp;elementID=5058", "Click here to submit comment")</f>
        <v>Click here to submit comment</v>
      </c>
    </row>
    <row r="2027" spans="1:16" ht="30">
      <c r="A2027" s="6" t="s">
        <v>6869</v>
      </c>
      <c r="B2027" s="6" t="s">
        <v>6879</v>
      </c>
      <c r="C2027" s="6" t="s">
        <v>6825</v>
      </c>
      <c r="D2027" s="6" t="s">
        <v>1855</v>
      </c>
      <c r="E2027" s="6" t="s">
        <v>1856</v>
      </c>
      <c r="F2027" s="6" t="s">
        <v>13</v>
      </c>
      <c r="G2027" s="6" t="s">
        <v>6093</v>
      </c>
      <c r="H2027" s="6"/>
      <c r="I2027" s="6" t="s">
        <v>73</v>
      </c>
      <c r="J2027" s="6"/>
      <c r="K2027" s="6"/>
      <c r="L2027" s="6" t="s">
        <v>1857</v>
      </c>
      <c r="M2027" s="6"/>
      <c r="N2027" s="6" t="s">
        <v>1858</v>
      </c>
      <c r="O2027" s="6" t="str">
        <f>HYPERLINK("https://ceds.ed.gov/cedselementdetails.aspx?termid=5054")</f>
        <v>https://ceds.ed.gov/cedselementdetails.aspx?termid=5054</v>
      </c>
      <c r="P2027" s="6" t="str">
        <f>HYPERLINK("https://ceds.ed.gov/elementComment.aspx?elementName=Course Begin Date &amp;elementID=5054", "Click here to submit comment")</f>
        <v>Click here to submit comment</v>
      </c>
    </row>
    <row r="2028" spans="1:16" ht="30">
      <c r="A2028" s="6" t="s">
        <v>6869</v>
      </c>
      <c r="B2028" s="6" t="s">
        <v>6879</v>
      </c>
      <c r="C2028" s="6" t="s">
        <v>6825</v>
      </c>
      <c r="D2028" s="6" t="s">
        <v>1897</v>
      </c>
      <c r="E2028" s="6" t="s">
        <v>1898</v>
      </c>
      <c r="F2028" s="6" t="s">
        <v>13</v>
      </c>
      <c r="G2028" s="6" t="s">
        <v>6093</v>
      </c>
      <c r="H2028" s="6"/>
      <c r="I2028" s="6" t="s">
        <v>73</v>
      </c>
      <c r="J2028" s="6"/>
      <c r="K2028" s="6"/>
      <c r="L2028" s="6" t="s">
        <v>1899</v>
      </c>
      <c r="M2028" s="6"/>
      <c r="N2028" s="6" t="s">
        <v>1900</v>
      </c>
      <c r="O2028" s="6" t="str">
        <f>HYPERLINK("https://ceds.ed.gov/cedselementdetails.aspx?termid=5059")</f>
        <v>https://ceds.ed.gov/cedselementdetails.aspx?termid=5059</v>
      </c>
      <c r="P2028" s="6" t="str">
        <f>HYPERLINK("https://ceds.ed.gov/elementComment.aspx?elementName=Course End Date &amp;elementID=5059", "Click here to submit comment")</f>
        <v>Click here to submit comment</v>
      </c>
    </row>
    <row r="2029" spans="1:16" ht="60">
      <c r="A2029" s="6" t="s">
        <v>6869</v>
      </c>
      <c r="B2029" s="6" t="s">
        <v>6879</v>
      </c>
      <c r="C2029" s="6" t="s">
        <v>6825</v>
      </c>
      <c r="D2029" s="6" t="s">
        <v>312</v>
      </c>
      <c r="E2029" s="6" t="s">
        <v>313</v>
      </c>
      <c r="F2029" s="6" t="s">
        <v>13</v>
      </c>
      <c r="G2029" s="6"/>
      <c r="H2029" s="6" t="s">
        <v>54</v>
      </c>
      <c r="I2029" s="6" t="s">
        <v>100</v>
      </c>
      <c r="J2029" s="6"/>
      <c r="K2029" s="6"/>
      <c r="L2029" s="6" t="s">
        <v>315</v>
      </c>
      <c r="M2029" s="6"/>
      <c r="N2029" s="6" t="s">
        <v>316</v>
      </c>
      <c r="O2029" s="6" t="str">
        <f>HYPERLINK("https://ceds.ed.gov/cedselementdetails.aspx?termid=6246")</f>
        <v>https://ceds.ed.gov/cedselementdetails.aspx?termid=6246</v>
      </c>
      <c r="P2029" s="6" t="str">
        <f>HYPERLINK("https://ceds.ed.gov/elementComment.aspx?elementName=Agency Course Identifier &amp;elementID=6246", "Click here to submit comment")</f>
        <v>Click here to submit comment</v>
      </c>
    </row>
    <row r="2030" spans="1:16" ht="390">
      <c r="A2030" s="6" t="s">
        <v>6869</v>
      </c>
      <c r="B2030" s="6" t="s">
        <v>6879</v>
      </c>
      <c r="C2030" s="6" t="s">
        <v>6805</v>
      </c>
      <c r="D2030" s="6" t="s">
        <v>5383</v>
      </c>
      <c r="E2030" s="6" t="s">
        <v>5384</v>
      </c>
      <c r="F2030" s="6" t="s">
        <v>13</v>
      </c>
      <c r="G2030" s="6" t="s">
        <v>6315</v>
      </c>
      <c r="H2030" s="6" t="s">
        <v>3</v>
      </c>
      <c r="I2030" s="6" t="s">
        <v>5385</v>
      </c>
      <c r="J2030" s="6"/>
      <c r="K2030" s="6" t="s">
        <v>5386</v>
      </c>
      <c r="L2030" s="6" t="s">
        <v>5387</v>
      </c>
      <c r="M2030" s="6" t="s">
        <v>5388</v>
      </c>
      <c r="N2030" s="6" t="s">
        <v>5389</v>
      </c>
      <c r="O2030" s="6" t="str">
        <f>HYPERLINK("https://ceds.ed.gov/cedselementdetails.aspx?termid=5259")</f>
        <v>https://ceds.ed.gov/cedselementdetails.aspx?termid=5259</v>
      </c>
      <c r="P2030" s="6" t="str">
        <f>HYPERLINK("https://ceds.ed.gov/elementComment.aspx?elementName=Social Security Number &amp;elementID=5259", "Click here to submit comment")</f>
        <v>Click here to submit comment</v>
      </c>
    </row>
    <row r="2031" spans="1:16" ht="135">
      <c r="A2031" s="6" t="s">
        <v>6869</v>
      </c>
      <c r="B2031" s="6" t="s">
        <v>6879</v>
      </c>
      <c r="C2031" s="6" t="s">
        <v>6805</v>
      </c>
      <c r="D2031" s="6" t="s">
        <v>5614</v>
      </c>
      <c r="E2031" s="6" t="s">
        <v>5615</v>
      </c>
      <c r="F2031" s="6" t="s">
        <v>13</v>
      </c>
      <c r="G2031" s="6" t="s">
        <v>6330</v>
      </c>
      <c r="H2031" s="6"/>
      <c r="I2031" s="6" t="s">
        <v>100</v>
      </c>
      <c r="J2031" s="6"/>
      <c r="K2031" s="6"/>
      <c r="L2031" s="6" t="s">
        <v>5616</v>
      </c>
      <c r="M2031" s="6"/>
      <c r="N2031" s="6" t="s">
        <v>5617</v>
      </c>
      <c r="O2031" s="6" t="str">
        <f>HYPERLINK("https://ceds.ed.gov/cedselementdetails.aspx?termid=5157")</f>
        <v>https://ceds.ed.gov/cedselementdetails.aspx?termid=5157</v>
      </c>
      <c r="P2031" s="6" t="str">
        <f>HYPERLINK("https://ceds.ed.gov/elementComment.aspx?elementName=Student Identifier &amp;elementID=5157", "Click here to submit comment")</f>
        <v>Click here to submit comment</v>
      </c>
    </row>
    <row r="2032" spans="1:16" ht="285">
      <c r="A2032" s="6" t="s">
        <v>6869</v>
      </c>
      <c r="B2032" s="6" t="s">
        <v>6879</v>
      </c>
      <c r="C2032" s="6" t="s">
        <v>6805</v>
      </c>
      <c r="D2032" s="6" t="s">
        <v>5610</v>
      </c>
      <c r="E2032" s="6" t="s">
        <v>5611</v>
      </c>
      <c r="F2032" s="7" t="s">
        <v>6665</v>
      </c>
      <c r="G2032" s="6" t="s">
        <v>6330</v>
      </c>
      <c r="H2032" s="6"/>
      <c r="I2032" s="6"/>
      <c r="J2032" s="6"/>
      <c r="K2032" s="6"/>
      <c r="L2032" s="6" t="s">
        <v>5612</v>
      </c>
      <c r="M2032" s="6"/>
      <c r="N2032" s="6" t="s">
        <v>5613</v>
      </c>
      <c r="O2032" s="6" t="str">
        <f>HYPERLINK("https://ceds.ed.gov/cedselementdetails.aspx?termid=5163")</f>
        <v>https://ceds.ed.gov/cedselementdetails.aspx?termid=5163</v>
      </c>
      <c r="P2032" s="6" t="str">
        <f>HYPERLINK("https://ceds.ed.gov/elementComment.aspx?elementName=Student Identification System &amp;elementID=5163", "Click here to submit comment")</f>
        <v>Click here to submit comment</v>
      </c>
    </row>
    <row r="2033" spans="1:16" ht="45">
      <c r="A2033" s="6" t="s">
        <v>6869</v>
      </c>
      <c r="B2033" s="6" t="s">
        <v>6879</v>
      </c>
      <c r="C2033" s="6" t="s">
        <v>6805</v>
      </c>
      <c r="D2033" s="6" t="s">
        <v>1954</v>
      </c>
      <c r="E2033" s="6" t="s">
        <v>1955</v>
      </c>
      <c r="F2033" s="6" t="s">
        <v>13</v>
      </c>
      <c r="G2033" s="6" t="s">
        <v>24</v>
      </c>
      <c r="H2033" s="6"/>
      <c r="I2033" s="6" t="s">
        <v>25</v>
      </c>
      <c r="J2033" s="6"/>
      <c r="K2033" s="6"/>
      <c r="L2033" s="6" t="s">
        <v>1956</v>
      </c>
      <c r="M2033" s="6"/>
      <c r="N2033" s="6" t="s">
        <v>1957</v>
      </c>
      <c r="O2033" s="6" t="str">
        <f>HYPERLINK("https://ceds.ed.gov/cedselementdetails.aspx?termid=5063")</f>
        <v>https://ceds.ed.gov/cedselementdetails.aspx?termid=5063</v>
      </c>
      <c r="P2033" s="6" t="str">
        <f>HYPERLINK("https://ceds.ed.gov/elementComment.aspx?elementName=Course Override School &amp;elementID=5063", "Click here to submit comment")</f>
        <v>Click here to submit comment</v>
      </c>
    </row>
    <row r="2034" spans="1:16" ht="45">
      <c r="A2034" s="6" t="s">
        <v>6869</v>
      </c>
      <c r="B2034" s="6" t="s">
        <v>6879</v>
      </c>
      <c r="C2034" s="6" t="s">
        <v>6805</v>
      </c>
      <c r="D2034" s="6" t="s">
        <v>2119</v>
      </c>
      <c r="E2034" s="6" t="s">
        <v>2120</v>
      </c>
      <c r="F2034" s="6" t="s">
        <v>5963</v>
      </c>
      <c r="G2034" s="6" t="s">
        <v>24</v>
      </c>
      <c r="H2034" s="6"/>
      <c r="I2034" s="6"/>
      <c r="J2034" s="6"/>
      <c r="K2034" s="6"/>
      <c r="L2034" s="6" t="s">
        <v>2121</v>
      </c>
      <c r="M2034" s="6"/>
      <c r="N2034" s="6" t="s">
        <v>2122</v>
      </c>
      <c r="O2034" s="6" t="str">
        <f>HYPERLINK("https://ceds.ed.gov/cedselementdetails.aspx?termid=5077")</f>
        <v>https://ceds.ed.gov/cedselementdetails.aspx?termid=5077</v>
      </c>
      <c r="P2034" s="6" t="str">
        <f>HYPERLINK("https://ceds.ed.gov/elementComment.aspx?elementName=Degree Applicability &amp;elementID=5077", "Click here to submit comment")</f>
        <v>Click here to submit comment</v>
      </c>
    </row>
    <row r="2035" spans="1:16" ht="30">
      <c r="A2035" s="6" t="s">
        <v>6869</v>
      </c>
      <c r="B2035" s="6" t="s">
        <v>6879</v>
      </c>
      <c r="C2035" s="6" t="s">
        <v>6805</v>
      </c>
      <c r="D2035" s="6" t="s">
        <v>1823</v>
      </c>
      <c r="E2035" s="6" t="s">
        <v>1824</v>
      </c>
      <c r="F2035" s="6" t="s">
        <v>13</v>
      </c>
      <c r="G2035" s="6" t="s">
        <v>6093</v>
      </c>
      <c r="H2035" s="6"/>
      <c r="I2035" s="6" t="s">
        <v>1826</v>
      </c>
      <c r="J2035" s="6"/>
      <c r="K2035" s="6"/>
      <c r="L2035" s="6" t="s">
        <v>1827</v>
      </c>
      <c r="M2035" s="6"/>
      <c r="N2035" s="6" t="s">
        <v>1828</v>
      </c>
      <c r="O2035" s="6" t="str">
        <f>HYPERLINK("https://ceds.ed.gov/cedselementdetails.aspx?termid=5053")</f>
        <v>https://ceds.ed.gov/cedselementdetails.aspx?termid=5053</v>
      </c>
      <c r="P2035" s="6" t="str">
        <f>HYPERLINK("https://ceds.ed.gov/elementComment.aspx?elementName=Course Academic Grade &amp;elementID=5053", "Click here to submit comment")</f>
        <v>Click here to submit comment</v>
      </c>
    </row>
    <row r="2036" spans="1:16" ht="120">
      <c r="A2036" s="6" t="s">
        <v>6869</v>
      </c>
      <c r="B2036" s="6" t="s">
        <v>6879</v>
      </c>
      <c r="C2036" s="6" t="s">
        <v>6805</v>
      </c>
      <c r="D2036" s="6" t="s">
        <v>4257</v>
      </c>
      <c r="E2036" s="6" t="s">
        <v>4258</v>
      </c>
      <c r="F2036" s="6" t="s">
        <v>13</v>
      </c>
      <c r="G2036" s="6" t="s">
        <v>6252</v>
      </c>
      <c r="H2036" s="6" t="s">
        <v>66</v>
      </c>
      <c r="I2036" s="6" t="s">
        <v>1461</v>
      </c>
      <c r="J2036" s="6" t="s">
        <v>1820</v>
      </c>
      <c r="K2036" s="6"/>
      <c r="L2036" s="6" t="s">
        <v>4259</v>
      </c>
      <c r="M2036" s="6"/>
      <c r="N2036" s="6" t="s">
        <v>4260</v>
      </c>
      <c r="O2036" s="6" t="str">
        <f>HYPERLINK("https://ceds.ed.gov/cedselementdetails.aspx?termid=5200")</f>
        <v>https://ceds.ed.gov/cedselementdetails.aspx?termid=5200</v>
      </c>
      <c r="P2036" s="6" t="str">
        <f>HYPERLINK("https://ceds.ed.gov/elementComment.aspx?elementName=Number of Credits Earned &amp;elementID=5200", "Click here to submit comment")</f>
        <v>Click here to submit comment</v>
      </c>
    </row>
    <row r="2037" spans="1:16" ht="60">
      <c r="A2037" s="6" t="s">
        <v>6869</v>
      </c>
      <c r="B2037" s="6" t="s">
        <v>6879</v>
      </c>
      <c r="C2037" s="6" t="s">
        <v>6805</v>
      </c>
      <c r="D2037" s="6" t="s">
        <v>1958</v>
      </c>
      <c r="E2037" s="6" t="s">
        <v>1959</v>
      </c>
      <c r="F2037" s="6" t="s">
        <v>13</v>
      </c>
      <c r="G2037" s="6" t="s">
        <v>24</v>
      </c>
      <c r="H2037" s="6"/>
      <c r="I2037" s="6" t="s">
        <v>1461</v>
      </c>
      <c r="J2037" s="6"/>
      <c r="K2037" s="6"/>
      <c r="L2037" s="6" t="s">
        <v>1960</v>
      </c>
      <c r="M2037" s="6"/>
      <c r="N2037" s="6" t="s">
        <v>1961</v>
      </c>
      <c r="O2037" s="6" t="str">
        <f>HYPERLINK("https://ceds.ed.gov/cedselementdetails.aspx?termid=5064")</f>
        <v>https://ceds.ed.gov/cedselementdetails.aspx?termid=5064</v>
      </c>
      <c r="P2037" s="6" t="str">
        <f>HYPERLINK("https://ceds.ed.gov/elementComment.aspx?elementName=Course Quality Points Earned &amp;elementID=5064", "Click here to submit comment")</f>
        <v>Click here to submit comment</v>
      </c>
    </row>
    <row r="2038" spans="1:16" ht="30">
      <c r="A2038" s="6" t="s">
        <v>6869</v>
      </c>
      <c r="B2038" s="6" t="s">
        <v>6879</v>
      </c>
      <c r="C2038" s="6" t="s">
        <v>6805</v>
      </c>
      <c r="D2038" s="6" t="s">
        <v>1841</v>
      </c>
      <c r="E2038" s="6" t="s">
        <v>1842</v>
      </c>
      <c r="F2038" s="6" t="s">
        <v>13</v>
      </c>
      <c r="G2038" s="6"/>
      <c r="H2038" s="6" t="s">
        <v>54</v>
      </c>
      <c r="I2038" s="6" t="s">
        <v>73</v>
      </c>
      <c r="J2038" s="6"/>
      <c r="K2038" s="6"/>
      <c r="L2038" s="6" t="s">
        <v>1843</v>
      </c>
      <c r="M2038" s="6"/>
      <c r="N2038" s="6" t="s">
        <v>1844</v>
      </c>
      <c r="O2038" s="6" t="str">
        <f>HYPERLINK("https://ceds.ed.gov/cedselementdetails.aspx?termid=6266")</f>
        <v>https://ceds.ed.gov/cedselementdetails.aspx?termid=6266</v>
      </c>
      <c r="P2038" s="6" t="str">
        <f>HYPERLINK("https://ceds.ed.gov/elementComment.aspx?elementName=Course Add Date &amp;elementID=6266", "Click here to submit comment")</f>
        <v>Click here to submit comment</v>
      </c>
    </row>
    <row r="2039" spans="1:16" ht="405">
      <c r="A2039" s="6" t="s">
        <v>6869</v>
      </c>
      <c r="B2039" s="6" t="s">
        <v>6879</v>
      </c>
      <c r="C2039" s="6" t="s">
        <v>6880</v>
      </c>
      <c r="D2039" s="6" t="s">
        <v>1836</v>
      </c>
      <c r="E2039" s="6" t="s">
        <v>1837</v>
      </c>
      <c r="F2039" s="7" t="s">
        <v>6434</v>
      </c>
      <c r="G2039" s="6"/>
      <c r="H2039" s="6" t="s">
        <v>54</v>
      </c>
      <c r="I2039" s="6"/>
      <c r="J2039" s="6"/>
      <c r="K2039" s="6"/>
      <c r="L2039" s="6" t="s">
        <v>1839</v>
      </c>
      <c r="M2039" s="6"/>
      <c r="N2039" s="6" t="s">
        <v>1840</v>
      </c>
      <c r="O2039" s="6" t="str">
        <f>HYPERLINK("https://ceds.ed.gov/cedselementdetails.aspx?termid=6265")</f>
        <v>https://ceds.ed.gov/cedselementdetails.aspx?termid=6265</v>
      </c>
      <c r="P2039" s="6" t="str">
        <f>HYPERLINK("https://ceds.ed.gov/elementComment.aspx?elementName=Course Academic Grade Status Code &amp;elementID=6265", "Click here to submit comment")</f>
        <v>Click here to submit comment</v>
      </c>
    </row>
    <row r="2040" spans="1:16" ht="409.5">
      <c r="A2040" s="6" t="s">
        <v>6869</v>
      </c>
      <c r="B2040" s="6" t="s">
        <v>6879</v>
      </c>
      <c r="C2040" s="6" t="s">
        <v>6881</v>
      </c>
      <c r="D2040" s="6" t="s">
        <v>5502</v>
      </c>
      <c r="E2040" s="6" t="s">
        <v>5503</v>
      </c>
      <c r="F2040" s="7" t="s">
        <v>6662</v>
      </c>
      <c r="G2040" s="6" t="s">
        <v>6321</v>
      </c>
      <c r="H2040" s="6" t="s">
        <v>3</v>
      </c>
      <c r="I2040" s="6"/>
      <c r="J2040" s="6"/>
      <c r="K2040" s="6"/>
      <c r="L2040" s="6" t="s">
        <v>5504</v>
      </c>
      <c r="M2040" s="6"/>
      <c r="N2040" s="6" t="s">
        <v>5505</v>
      </c>
      <c r="O2040" s="6" t="str">
        <f>HYPERLINK("https://ceds.ed.gov/cedselementdetails.aspx?termid=5162")</f>
        <v>https://ceds.ed.gov/cedselementdetails.aspx?termid=5162</v>
      </c>
      <c r="P2040" s="6" t="str">
        <f>HYPERLINK("https://ceds.ed.gov/elementComment.aspx?elementName=Staff Member Identification System &amp;elementID=5162", "Click here to submit comment")</f>
        <v>Click here to submit comment</v>
      </c>
    </row>
    <row r="2041" spans="1:16" ht="135">
      <c r="A2041" s="6" t="s">
        <v>6869</v>
      </c>
      <c r="B2041" s="6" t="s">
        <v>6879</v>
      </c>
      <c r="C2041" s="6" t="s">
        <v>6881</v>
      </c>
      <c r="D2041" s="6" t="s">
        <v>5506</v>
      </c>
      <c r="E2041" s="6" t="s">
        <v>5507</v>
      </c>
      <c r="F2041" s="6" t="s">
        <v>13</v>
      </c>
      <c r="G2041" s="6" t="s">
        <v>6322</v>
      </c>
      <c r="H2041" s="6" t="s">
        <v>3</v>
      </c>
      <c r="I2041" s="6" t="s">
        <v>100</v>
      </c>
      <c r="J2041" s="6"/>
      <c r="K2041" s="6"/>
      <c r="L2041" s="6" t="s">
        <v>5508</v>
      </c>
      <c r="M2041" s="6"/>
      <c r="N2041" s="6" t="s">
        <v>5509</v>
      </c>
      <c r="O2041" s="6" t="str">
        <f>HYPERLINK("https://ceds.ed.gov/cedselementdetails.aspx?termid=5156")</f>
        <v>https://ceds.ed.gov/cedselementdetails.aspx?termid=5156</v>
      </c>
      <c r="P2041" s="6" t="str">
        <f>HYPERLINK("https://ceds.ed.gov/elementComment.aspx?elementName=Staff Member Identifier &amp;elementID=5156", "Click here to submit comment")</f>
        <v>Click here to submit comment</v>
      </c>
    </row>
    <row r="2042" spans="1:16" ht="195">
      <c r="A2042" s="6" t="s">
        <v>6869</v>
      </c>
      <c r="B2042" s="6" t="s">
        <v>6882</v>
      </c>
      <c r="C2042" s="6" t="s">
        <v>6717</v>
      </c>
      <c r="D2042" s="6" t="s">
        <v>2776</v>
      </c>
      <c r="E2042" s="6" t="s">
        <v>2777</v>
      </c>
      <c r="F2042" s="6" t="s">
        <v>13</v>
      </c>
      <c r="G2042" s="6" t="s">
        <v>6176</v>
      </c>
      <c r="H2042" s="6" t="s">
        <v>3</v>
      </c>
      <c r="I2042" s="6" t="s">
        <v>1368</v>
      </c>
      <c r="J2042" s="6"/>
      <c r="K2042" s="6" t="s">
        <v>2778</v>
      </c>
      <c r="L2042" s="6" t="s">
        <v>2779</v>
      </c>
      <c r="M2042" s="6"/>
      <c r="N2042" s="6" t="s">
        <v>2780</v>
      </c>
      <c r="O2042" s="6" t="str">
        <f>HYPERLINK("https://ceds.ed.gov/cedselementdetails.aspx?termid=5115")</f>
        <v>https://ceds.ed.gov/cedselementdetails.aspx?termid=5115</v>
      </c>
      <c r="P2042" s="6" t="str">
        <f>HYPERLINK("https://ceds.ed.gov/elementComment.aspx?elementName=First Name &amp;elementID=5115", "Click here to submit comment")</f>
        <v>Click here to submit comment</v>
      </c>
    </row>
    <row r="2043" spans="1:16" ht="195">
      <c r="A2043" s="6" t="s">
        <v>6869</v>
      </c>
      <c r="B2043" s="6" t="s">
        <v>6882</v>
      </c>
      <c r="C2043" s="6" t="s">
        <v>6717</v>
      </c>
      <c r="D2043" s="6" t="s">
        <v>4088</v>
      </c>
      <c r="E2043" s="6" t="s">
        <v>4089</v>
      </c>
      <c r="F2043" s="6" t="s">
        <v>13</v>
      </c>
      <c r="G2043" s="6" t="s">
        <v>6176</v>
      </c>
      <c r="H2043" s="6" t="s">
        <v>3</v>
      </c>
      <c r="I2043" s="6" t="s">
        <v>1368</v>
      </c>
      <c r="J2043" s="6"/>
      <c r="K2043" s="6" t="s">
        <v>2778</v>
      </c>
      <c r="L2043" s="6" t="s">
        <v>4090</v>
      </c>
      <c r="M2043" s="6"/>
      <c r="N2043" s="6" t="s">
        <v>4091</v>
      </c>
      <c r="O2043" s="6" t="str">
        <f>HYPERLINK("https://ceds.ed.gov/cedselementdetails.aspx?termid=5184")</f>
        <v>https://ceds.ed.gov/cedselementdetails.aspx?termid=5184</v>
      </c>
      <c r="P2043" s="6" t="str">
        <f>HYPERLINK("https://ceds.ed.gov/elementComment.aspx?elementName=Middle Name &amp;elementID=5184", "Click here to submit comment")</f>
        <v>Click here to submit comment</v>
      </c>
    </row>
    <row r="2044" spans="1:16" ht="195">
      <c r="A2044" s="6" t="s">
        <v>6869</v>
      </c>
      <c r="B2044" s="6" t="s">
        <v>6882</v>
      </c>
      <c r="C2044" s="6" t="s">
        <v>6717</v>
      </c>
      <c r="D2044" s="6" t="s">
        <v>3427</v>
      </c>
      <c r="E2044" s="6" t="s">
        <v>3428</v>
      </c>
      <c r="F2044" s="6" t="s">
        <v>13</v>
      </c>
      <c r="G2044" s="6" t="s">
        <v>6176</v>
      </c>
      <c r="H2044" s="6" t="s">
        <v>3</v>
      </c>
      <c r="I2044" s="6" t="s">
        <v>1368</v>
      </c>
      <c r="J2044" s="6"/>
      <c r="K2044" s="6" t="s">
        <v>2778</v>
      </c>
      <c r="L2044" s="6" t="s">
        <v>3429</v>
      </c>
      <c r="M2044" s="6" t="s">
        <v>3430</v>
      </c>
      <c r="N2044" s="6" t="s">
        <v>3431</v>
      </c>
      <c r="O2044" s="6" t="str">
        <f>HYPERLINK("https://ceds.ed.gov/cedselementdetails.aspx?termid=5172")</f>
        <v>https://ceds.ed.gov/cedselementdetails.aspx?termid=5172</v>
      </c>
      <c r="P2044" s="6" t="str">
        <f>HYPERLINK("https://ceds.ed.gov/elementComment.aspx?elementName=Last or Surname &amp;elementID=5172", "Click here to submit comment")</f>
        <v>Click here to submit comment</v>
      </c>
    </row>
    <row r="2045" spans="1:16" ht="150">
      <c r="A2045" s="6" t="s">
        <v>6869</v>
      </c>
      <c r="B2045" s="6" t="s">
        <v>6882</v>
      </c>
      <c r="C2045" s="6" t="s">
        <v>6717</v>
      </c>
      <c r="D2045" s="6" t="s">
        <v>2829</v>
      </c>
      <c r="E2045" s="6" t="s">
        <v>2830</v>
      </c>
      <c r="F2045" s="6" t="s">
        <v>13</v>
      </c>
      <c r="G2045" s="6" t="s">
        <v>6179</v>
      </c>
      <c r="H2045" s="6" t="s">
        <v>3</v>
      </c>
      <c r="I2045" s="6" t="s">
        <v>2031</v>
      </c>
      <c r="J2045" s="6"/>
      <c r="K2045" s="6" t="s">
        <v>2778</v>
      </c>
      <c r="L2045" s="6" t="s">
        <v>2831</v>
      </c>
      <c r="M2045" s="6"/>
      <c r="N2045" s="6" t="s">
        <v>2832</v>
      </c>
      <c r="O2045" s="6" t="str">
        <f>HYPERLINK("https://ceds.ed.gov/cedselementdetails.aspx?termid=5121")</f>
        <v>https://ceds.ed.gov/cedselementdetails.aspx?termid=5121</v>
      </c>
      <c r="P2045" s="6" t="str">
        <f>HYPERLINK("https://ceds.ed.gov/elementComment.aspx?elementName=Generation Code or Suffix &amp;elementID=5121", "Click here to submit comment")</f>
        <v>Click here to submit comment</v>
      </c>
    </row>
    <row r="2046" spans="1:16" ht="105">
      <c r="A2046" s="6" t="s">
        <v>6869</v>
      </c>
      <c r="B2046" s="6" t="s">
        <v>6882</v>
      </c>
      <c r="C2046" s="6" t="s">
        <v>6717</v>
      </c>
      <c r="D2046" s="6" t="s">
        <v>4498</v>
      </c>
      <c r="E2046" s="6" t="s">
        <v>4499</v>
      </c>
      <c r="F2046" s="6" t="s">
        <v>13</v>
      </c>
      <c r="G2046" s="6" t="s">
        <v>6280</v>
      </c>
      <c r="H2046" s="6" t="s">
        <v>3</v>
      </c>
      <c r="I2046" s="6" t="s">
        <v>100</v>
      </c>
      <c r="J2046" s="6"/>
      <c r="K2046" s="6"/>
      <c r="L2046" s="6" t="s">
        <v>4500</v>
      </c>
      <c r="M2046" s="6" t="s">
        <v>4501</v>
      </c>
      <c r="N2046" s="6" t="s">
        <v>4502</v>
      </c>
      <c r="O2046" s="6" t="str">
        <f>HYPERLINK("https://ceds.ed.gov/cedselementdetails.aspx?termid=5212")</f>
        <v>https://ceds.ed.gov/cedselementdetails.aspx?termid=5212</v>
      </c>
      <c r="P2046" s="6" t="str">
        <f>HYPERLINK("https://ceds.ed.gov/elementComment.aspx?elementName=Personal Title or Prefix &amp;elementID=5212", "Click here to submit comment")</f>
        <v>Click here to submit comment</v>
      </c>
    </row>
    <row r="2047" spans="1:16" ht="30">
      <c r="A2047" s="6" t="s">
        <v>6869</v>
      </c>
      <c r="B2047" s="6" t="s">
        <v>6882</v>
      </c>
      <c r="C2047" s="6" t="s">
        <v>6718</v>
      </c>
      <c r="D2047" s="6" t="s">
        <v>4375</v>
      </c>
      <c r="E2047" s="6" t="s">
        <v>4376</v>
      </c>
      <c r="F2047" s="6" t="s">
        <v>13</v>
      </c>
      <c r="G2047" s="6"/>
      <c r="H2047" s="6" t="s">
        <v>54</v>
      </c>
      <c r="I2047" s="6" t="s">
        <v>1368</v>
      </c>
      <c r="J2047" s="6"/>
      <c r="K2047" s="6" t="s">
        <v>4377</v>
      </c>
      <c r="L2047" s="6" t="s">
        <v>4378</v>
      </c>
      <c r="M2047" s="6"/>
      <c r="N2047" s="6" t="s">
        <v>4379</v>
      </c>
      <c r="O2047" s="6" t="str">
        <f>HYPERLINK("https://ceds.ed.gov/cedselementdetails.aspx?termid=6486")</f>
        <v>https://ceds.ed.gov/cedselementdetails.aspx?termid=6486</v>
      </c>
      <c r="P2047" s="6" t="str">
        <f>HYPERLINK("https://ceds.ed.gov/elementComment.aspx?elementName=Other First Name &amp;elementID=6486", "Click here to submit comment")</f>
        <v>Click here to submit comment</v>
      </c>
    </row>
    <row r="2048" spans="1:16" ht="30">
      <c r="A2048" s="6" t="s">
        <v>6869</v>
      </c>
      <c r="B2048" s="6" t="s">
        <v>6882</v>
      </c>
      <c r="C2048" s="6" t="s">
        <v>6718</v>
      </c>
      <c r="D2048" s="6" t="s">
        <v>4380</v>
      </c>
      <c r="E2048" s="6" t="s">
        <v>4381</v>
      </c>
      <c r="F2048" s="6" t="s">
        <v>13</v>
      </c>
      <c r="G2048" s="6"/>
      <c r="H2048" s="6" t="s">
        <v>54</v>
      </c>
      <c r="I2048" s="6" t="s">
        <v>1368</v>
      </c>
      <c r="J2048" s="6"/>
      <c r="K2048" s="6" t="s">
        <v>4382</v>
      </c>
      <c r="L2048" s="6" t="s">
        <v>4383</v>
      </c>
      <c r="M2048" s="6"/>
      <c r="N2048" s="6" t="s">
        <v>4384</v>
      </c>
      <c r="O2048" s="6" t="str">
        <f>HYPERLINK("https://ceds.ed.gov/cedselementdetails.aspx?termid=6485")</f>
        <v>https://ceds.ed.gov/cedselementdetails.aspx?termid=6485</v>
      </c>
      <c r="P2048" s="6" t="str">
        <f>HYPERLINK("https://ceds.ed.gov/elementComment.aspx?elementName=Other Last Name &amp;elementID=6485", "Click here to submit comment")</f>
        <v>Click here to submit comment</v>
      </c>
    </row>
    <row r="2049" spans="1:16" ht="30">
      <c r="A2049" s="6" t="s">
        <v>6869</v>
      </c>
      <c r="B2049" s="6" t="s">
        <v>6882</v>
      </c>
      <c r="C2049" s="6" t="s">
        <v>6718</v>
      </c>
      <c r="D2049" s="6" t="s">
        <v>4385</v>
      </c>
      <c r="E2049" s="6" t="s">
        <v>4386</v>
      </c>
      <c r="F2049" s="6" t="s">
        <v>13</v>
      </c>
      <c r="G2049" s="6"/>
      <c r="H2049" s="6" t="s">
        <v>54</v>
      </c>
      <c r="I2049" s="6" t="s">
        <v>1368</v>
      </c>
      <c r="J2049" s="6"/>
      <c r="K2049" s="6" t="s">
        <v>4387</v>
      </c>
      <c r="L2049" s="6" t="s">
        <v>4388</v>
      </c>
      <c r="M2049" s="6"/>
      <c r="N2049" s="6" t="s">
        <v>4389</v>
      </c>
      <c r="O2049" s="6" t="str">
        <f>HYPERLINK("https://ceds.ed.gov/cedselementdetails.aspx?termid=6487")</f>
        <v>https://ceds.ed.gov/cedselementdetails.aspx?termid=6487</v>
      </c>
      <c r="P2049" s="6" t="str">
        <f>HYPERLINK("https://ceds.ed.gov/elementComment.aspx?elementName=Other Middle Name &amp;elementID=6487", "Click here to submit comment")</f>
        <v>Click here to submit comment</v>
      </c>
    </row>
    <row r="2050" spans="1:16" ht="150">
      <c r="A2050" s="6" t="s">
        <v>6869</v>
      </c>
      <c r="B2050" s="6" t="s">
        <v>6882</v>
      </c>
      <c r="C2050" s="6" t="s">
        <v>6718</v>
      </c>
      <c r="D2050" s="6" t="s">
        <v>4390</v>
      </c>
      <c r="E2050" s="6" t="s">
        <v>4391</v>
      </c>
      <c r="F2050" s="6" t="s">
        <v>13</v>
      </c>
      <c r="G2050" s="6" t="s">
        <v>6179</v>
      </c>
      <c r="H2050" s="6" t="s">
        <v>3</v>
      </c>
      <c r="I2050" s="6" t="s">
        <v>149</v>
      </c>
      <c r="J2050" s="6"/>
      <c r="K2050" s="6"/>
      <c r="L2050" s="6" t="s">
        <v>4392</v>
      </c>
      <c r="M2050" s="6"/>
      <c r="N2050" s="6" t="s">
        <v>4393</v>
      </c>
      <c r="O2050" s="6" t="str">
        <f>HYPERLINK("https://ceds.ed.gov/cedselementdetails.aspx?termid=5206")</f>
        <v>https://ceds.ed.gov/cedselementdetails.aspx?termid=5206</v>
      </c>
      <c r="P2050" s="6" t="str">
        <f>HYPERLINK("https://ceds.ed.gov/elementComment.aspx?elementName=Other Name &amp;elementID=5206", "Click here to submit comment")</f>
        <v>Click here to submit comment</v>
      </c>
    </row>
    <row r="2051" spans="1:16" ht="90">
      <c r="A2051" s="6" t="s">
        <v>6869</v>
      </c>
      <c r="B2051" s="6" t="s">
        <v>6882</v>
      </c>
      <c r="C2051" s="6" t="s">
        <v>6718</v>
      </c>
      <c r="D2051" s="6" t="s">
        <v>4394</v>
      </c>
      <c r="E2051" s="6" t="s">
        <v>4395</v>
      </c>
      <c r="F2051" s="7" t="s">
        <v>6593</v>
      </c>
      <c r="G2051" s="6" t="s">
        <v>6273</v>
      </c>
      <c r="H2051" s="6" t="s">
        <v>3</v>
      </c>
      <c r="I2051" s="6" t="s">
        <v>100</v>
      </c>
      <c r="J2051" s="6"/>
      <c r="K2051" s="6"/>
      <c r="L2051" s="6" t="s">
        <v>4396</v>
      </c>
      <c r="M2051" s="6"/>
      <c r="N2051" s="6" t="s">
        <v>4397</v>
      </c>
      <c r="O2051" s="6" t="str">
        <f>HYPERLINK("https://ceds.ed.gov/cedselementdetails.aspx?termid=5627")</f>
        <v>https://ceds.ed.gov/cedselementdetails.aspx?termid=5627</v>
      </c>
      <c r="P2051" s="6" t="str">
        <f>HYPERLINK("https://ceds.ed.gov/elementComment.aspx?elementName=Other Name Type &amp;elementID=5627", "Click here to submit comment")</f>
        <v>Click here to submit comment</v>
      </c>
    </row>
    <row r="2052" spans="1:16" ht="390">
      <c r="A2052" s="6" t="s">
        <v>6869</v>
      </c>
      <c r="B2052" s="6" t="s">
        <v>6882</v>
      </c>
      <c r="C2052" s="6" t="s">
        <v>6719</v>
      </c>
      <c r="D2052" s="6" t="s">
        <v>5383</v>
      </c>
      <c r="E2052" s="6" t="s">
        <v>5384</v>
      </c>
      <c r="F2052" s="6" t="s">
        <v>13</v>
      </c>
      <c r="G2052" s="6" t="s">
        <v>6315</v>
      </c>
      <c r="H2052" s="6" t="s">
        <v>3</v>
      </c>
      <c r="I2052" s="6" t="s">
        <v>5385</v>
      </c>
      <c r="J2052" s="6"/>
      <c r="K2052" s="6" t="s">
        <v>5386</v>
      </c>
      <c r="L2052" s="6" t="s">
        <v>5387</v>
      </c>
      <c r="M2052" s="6" t="s">
        <v>5388</v>
      </c>
      <c r="N2052" s="6" t="s">
        <v>5389</v>
      </c>
      <c r="O2052" s="6" t="str">
        <f>HYPERLINK("https://ceds.ed.gov/cedselementdetails.aspx?termid=5259")</f>
        <v>https://ceds.ed.gov/cedselementdetails.aspx?termid=5259</v>
      </c>
      <c r="P2052" s="6" t="str">
        <f>HYPERLINK("https://ceds.ed.gov/elementComment.aspx?elementName=Social Security Number &amp;elementID=5259", "Click here to submit comment")</f>
        <v>Click here to submit comment</v>
      </c>
    </row>
    <row r="2053" spans="1:16" ht="135">
      <c r="A2053" s="6" t="s">
        <v>6869</v>
      </c>
      <c r="B2053" s="6" t="s">
        <v>6882</v>
      </c>
      <c r="C2053" s="6" t="s">
        <v>6719</v>
      </c>
      <c r="D2053" s="6" t="s">
        <v>5506</v>
      </c>
      <c r="E2053" s="6" t="s">
        <v>5507</v>
      </c>
      <c r="F2053" s="6" t="s">
        <v>13</v>
      </c>
      <c r="G2053" s="6" t="s">
        <v>6322</v>
      </c>
      <c r="H2053" s="6" t="s">
        <v>3</v>
      </c>
      <c r="I2053" s="6" t="s">
        <v>100</v>
      </c>
      <c r="J2053" s="6"/>
      <c r="K2053" s="6"/>
      <c r="L2053" s="6" t="s">
        <v>5508</v>
      </c>
      <c r="M2053" s="6"/>
      <c r="N2053" s="6" t="s">
        <v>5509</v>
      </c>
      <c r="O2053" s="6" t="str">
        <f>HYPERLINK("https://ceds.ed.gov/cedselementdetails.aspx?termid=5156")</f>
        <v>https://ceds.ed.gov/cedselementdetails.aspx?termid=5156</v>
      </c>
      <c r="P2053" s="6" t="str">
        <f>HYPERLINK("https://ceds.ed.gov/elementComment.aspx?elementName=Staff Member Identifier &amp;elementID=5156", "Click here to submit comment")</f>
        <v>Click here to submit comment</v>
      </c>
    </row>
    <row r="2054" spans="1:16" ht="409.5">
      <c r="A2054" s="6" t="s">
        <v>6869</v>
      </c>
      <c r="B2054" s="6" t="s">
        <v>6882</v>
      </c>
      <c r="C2054" s="6" t="s">
        <v>6719</v>
      </c>
      <c r="D2054" s="6" t="s">
        <v>5502</v>
      </c>
      <c r="E2054" s="6" t="s">
        <v>5503</v>
      </c>
      <c r="F2054" s="7" t="s">
        <v>6662</v>
      </c>
      <c r="G2054" s="6" t="s">
        <v>6321</v>
      </c>
      <c r="H2054" s="6" t="s">
        <v>3</v>
      </c>
      <c r="I2054" s="6"/>
      <c r="J2054" s="6"/>
      <c r="K2054" s="6"/>
      <c r="L2054" s="6" t="s">
        <v>5504</v>
      </c>
      <c r="M2054" s="6"/>
      <c r="N2054" s="6" t="s">
        <v>5505</v>
      </c>
      <c r="O2054" s="6" t="str">
        <f>HYPERLINK("https://ceds.ed.gov/cedselementdetails.aspx?termid=5162")</f>
        <v>https://ceds.ed.gov/cedselementdetails.aspx?termid=5162</v>
      </c>
      <c r="P2054" s="6" t="str">
        <f>HYPERLINK("https://ceds.ed.gov/elementComment.aspx?elementName=Staff Member Identification System &amp;elementID=5162", "Click here to submit comment")</f>
        <v>Click here to submit comment</v>
      </c>
    </row>
    <row r="2055" spans="1:16" ht="375">
      <c r="A2055" s="6" t="s">
        <v>6869</v>
      </c>
      <c r="B2055" s="6" t="s">
        <v>6882</v>
      </c>
      <c r="C2055" s="6" t="s">
        <v>6719</v>
      </c>
      <c r="D2055" s="6" t="s">
        <v>4494</v>
      </c>
      <c r="E2055" s="6" t="s">
        <v>4495</v>
      </c>
      <c r="F2055" s="7" t="s">
        <v>6599</v>
      </c>
      <c r="G2055" s="6"/>
      <c r="H2055" s="6" t="s">
        <v>3</v>
      </c>
      <c r="I2055" s="6"/>
      <c r="J2055" s="6"/>
      <c r="K2055" s="6"/>
      <c r="L2055" s="6" t="s">
        <v>4496</v>
      </c>
      <c r="M2055" s="6"/>
      <c r="N2055" s="6" t="s">
        <v>4497</v>
      </c>
      <c r="O2055" s="6" t="str">
        <f>HYPERLINK("https://ceds.ed.gov/cedselementdetails.aspx?termid=5611")</f>
        <v>https://ceds.ed.gov/cedselementdetails.aspx?termid=5611</v>
      </c>
      <c r="P2055" s="6" t="str">
        <f>HYPERLINK("https://ceds.ed.gov/elementComment.aspx?elementName=Personal Information Verification &amp;elementID=5611", "Click here to submit comment")</f>
        <v>Click here to submit comment</v>
      </c>
    </row>
    <row r="2056" spans="1:16" ht="150">
      <c r="A2056" s="6" t="s">
        <v>6869</v>
      </c>
      <c r="B2056" s="6" t="s">
        <v>6882</v>
      </c>
      <c r="C2056" s="6" t="s">
        <v>6720</v>
      </c>
      <c r="D2056" s="6" t="s">
        <v>200</v>
      </c>
      <c r="E2056" s="6" t="s">
        <v>201</v>
      </c>
      <c r="F2056" s="7" t="s">
        <v>6355</v>
      </c>
      <c r="G2056" s="6" t="s">
        <v>202</v>
      </c>
      <c r="H2056" s="6" t="s">
        <v>3</v>
      </c>
      <c r="I2056" s="6" t="s">
        <v>100</v>
      </c>
      <c r="J2056" s="6"/>
      <c r="K2056" s="6"/>
      <c r="L2056" s="6" t="s">
        <v>203</v>
      </c>
      <c r="M2056" s="6"/>
      <c r="N2056" s="6" t="s">
        <v>204</v>
      </c>
      <c r="O2056" s="6" t="str">
        <f>HYPERLINK("https://ceds.ed.gov/cedselementdetails.aspx?termid=5698")</f>
        <v>https://ceds.ed.gov/cedselementdetails.aspx?termid=5698</v>
      </c>
      <c r="P2056" s="6" t="str">
        <f>HYPERLINK("https://ceds.ed.gov/elementComment.aspx?elementName=Address Type for Staff &amp;elementID=5698", "Click here to submit comment")</f>
        <v>Click here to submit comment</v>
      </c>
    </row>
    <row r="2057" spans="1:16" ht="225">
      <c r="A2057" s="6" t="s">
        <v>6869</v>
      </c>
      <c r="B2057" s="6" t="s">
        <v>6882</v>
      </c>
      <c r="C2057" s="6" t="s">
        <v>6720</v>
      </c>
      <c r="D2057" s="6" t="s">
        <v>170</v>
      </c>
      <c r="E2057" s="6" t="s">
        <v>171</v>
      </c>
      <c r="F2057" s="6" t="s">
        <v>13</v>
      </c>
      <c r="G2057" s="6" t="s">
        <v>5973</v>
      </c>
      <c r="H2057" s="6" t="s">
        <v>3</v>
      </c>
      <c r="I2057" s="6" t="s">
        <v>100</v>
      </c>
      <c r="J2057" s="6"/>
      <c r="K2057" s="6"/>
      <c r="L2057" s="6" t="s">
        <v>172</v>
      </c>
      <c r="M2057" s="6"/>
      <c r="N2057" s="6" t="s">
        <v>173</v>
      </c>
      <c r="O2057" s="6" t="str">
        <f>HYPERLINK("https://ceds.ed.gov/cedselementdetails.aspx?termid=5019")</f>
        <v>https://ceds.ed.gov/cedselementdetails.aspx?termid=5019</v>
      </c>
      <c r="P2057" s="6" t="str">
        <f>HYPERLINK("https://ceds.ed.gov/elementComment.aspx?elementName=Address Apartment Room or Suite Number &amp;elementID=5019", "Click here to submit comment")</f>
        <v>Click here to submit comment</v>
      </c>
    </row>
    <row r="2058" spans="1:16" ht="225">
      <c r="A2058" s="6" t="s">
        <v>6869</v>
      </c>
      <c r="B2058" s="6" t="s">
        <v>6882</v>
      </c>
      <c r="C2058" s="6" t="s">
        <v>6720</v>
      </c>
      <c r="D2058" s="6" t="s">
        <v>187</v>
      </c>
      <c r="E2058" s="6" t="s">
        <v>188</v>
      </c>
      <c r="F2058" s="6" t="s">
        <v>13</v>
      </c>
      <c r="G2058" s="6" t="s">
        <v>5973</v>
      </c>
      <c r="H2058" s="6" t="s">
        <v>3</v>
      </c>
      <c r="I2058" s="6" t="s">
        <v>149</v>
      </c>
      <c r="J2058" s="6"/>
      <c r="K2058" s="6"/>
      <c r="L2058" s="6" t="s">
        <v>189</v>
      </c>
      <c r="M2058" s="6"/>
      <c r="N2058" s="6" t="s">
        <v>190</v>
      </c>
      <c r="O2058" s="6" t="str">
        <f>HYPERLINK("https://ceds.ed.gov/cedselementdetails.aspx?termid=5269")</f>
        <v>https://ceds.ed.gov/cedselementdetails.aspx?termid=5269</v>
      </c>
      <c r="P2058" s="6" t="str">
        <f>HYPERLINK("https://ceds.ed.gov/elementComment.aspx?elementName=Address Street Number and Name &amp;elementID=5269", "Click here to submit comment")</f>
        <v>Click here to submit comment</v>
      </c>
    </row>
    <row r="2059" spans="1:16" ht="225">
      <c r="A2059" s="6" t="s">
        <v>6869</v>
      </c>
      <c r="B2059" s="6" t="s">
        <v>6882</v>
      </c>
      <c r="C2059" s="6" t="s">
        <v>6720</v>
      </c>
      <c r="D2059" s="6" t="s">
        <v>174</v>
      </c>
      <c r="E2059" s="6" t="s">
        <v>175</v>
      </c>
      <c r="F2059" s="6" t="s">
        <v>13</v>
      </c>
      <c r="G2059" s="6" t="s">
        <v>5973</v>
      </c>
      <c r="H2059" s="6" t="s">
        <v>3</v>
      </c>
      <c r="I2059" s="6" t="s">
        <v>100</v>
      </c>
      <c r="J2059" s="6"/>
      <c r="K2059" s="6"/>
      <c r="L2059" s="6" t="s">
        <v>176</v>
      </c>
      <c r="M2059" s="6"/>
      <c r="N2059" s="6" t="s">
        <v>177</v>
      </c>
      <c r="O2059" s="6" t="str">
        <f>HYPERLINK("https://ceds.ed.gov/cedselementdetails.aspx?termid=5040")</f>
        <v>https://ceds.ed.gov/cedselementdetails.aspx?termid=5040</v>
      </c>
      <c r="P2059" s="6" t="str">
        <f>HYPERLINK("https://ceds.ed.gov/elementComment.aspx?elementName=Address City &amp;elementID=5040", "Click here to submit comment")</f>
        <v>Click here to submit comment</v>
      </c>
    </row>
    <row r="2060" spans="1:16" ht="409.5">
      <c r="A2060" s="6" t="s">
        <v>6869</v>
      </c>
      <c r="B2060" s="6" t="s">
        <v>6882</v>
      </c>
      <c r="C2060" s="6" t="s">
        <v>6720</v>
      </c>
      <c r="D2060" s="6" t="s">
        <v>5533</v>
      </c>
      <c r="E2060" s="6" t="s">
        <v>5534</v>
      </c>
      <c r="F2060" s="7" t="s">
        <v>6633</v>
      </c>
      <c r="G2060" s="6" t="s">
        <v>6324</v>
      </c>
      <c r="H2060" s="6" t="s">
        <v>3</v>
      </c>
      <c r="I2060" s="6"/>
      <c r="J2060" s="6"/>
      <c r="K2060" s="6"/>
      <c r="L2060" s="6" t="s">
        <v>5535</v>
      </c>
      <c r="M2060" s="6"/>
      <c r="N2060" s="6" t="s">
        <v>5536</v>
      </c>
      <c r="O2060" s="6" t="str">
        <f>HYPERLINK("https://ceds.ed.gov/cedselementdetails.aspx?termid=5267")</f>
        <v>https://ceds.ed.gov/cedselementdetails.aspx?termid=5267</v>
      </c>
      <c r="P2060" s="6" t="str">
        <f>HYPERLINK("https://ceds.ed.gov/elementComment.aspx?elementName=State Abbreviation &amp;elementID=5267", "Click here to submit comment")</f>
        <v>Click here to submit comment</v>
      </c>
    </row>
    <row r="2061" spans="1:16" ht="225">
      <c r="A2061" s="6" t="s">
        <v>6869</v>
      </c>
      <c r="B2061" s="6" t="s">
        <v>6882</v>
      </c>
      <c r="C2061" s="6" t="s">
        <v>6720</v>
      </c>
      <c r="D2061" s="6" t="s">
        <v>182</v>
      </c>
      <c r="E2061" s="6" t="s">
        <v>183</v>
      </c>
      <c r="F2061" s="6" t="s">
        <v>13</v>
      </c>
      <c r="G2061" s="6" t="s">
        <v>5973</v>
      </c>
      <c r="H2061" s="6" t="s">
        <v>3</v>
      </c>
      <c r="I2061" s="6" t="s">
        <v>184</v>
      </c>
      <c r="J2061" s="6"/>
      <c r="K2061" s="6"/>
      <c r="L2061" s="6" t="s">
        <v>185</v>
      </c>
      <c r="M2061" s="6"/>
      <c r="N2061" s="6" t="s">
        <v>186</v>
      </c>
      <c r="O2061" s="6" t="str">
        <f>HYPERLINK("https://ceds.ed.gov/cedselementdetails.aspx?termid=5214")</f>
        <v>https://ceds.ed.gov/cedselementdetails.aspx?termid=5214</v>
      </c>
      <c r="P2061" s="6" t="str">
        <f>HYPERLINK("https://ceds.ed.gov/elementComment.aspx?elementName=Address Postal Code &amp;elementID=5214", "Click here to submit comment")</f>
        <v>Click here to submit comment</v>
      </c>
    </row>
    <row r="2062" spans="1:16" ht="225">
      <c r="A2062" s="6" t="s">
        <v>6869</v>
      </c>
      <c r="B2062" s="6" t="s">
        <v>6882</v>
      </c>
      <c r="C2062" s="6" t="s">
        <v>6720</v>
      </c>
      <c r="D2062" s="6" t="s">
        <v>178</v>
      </c>
      <c r="E2062" s="6" t="s">
        <v>179</v>
      </c>
      <c r="F2062" s="6" t="s">
        <v>13</v>
      </c>
      <c r="G2062" s="6" t="s">
        <v>5973</v>
      </c>
      <c r="H2062" s="6" t="s">
        <v>3</v>
      </c>
      <c r="I2062" s="6" t="s">
        <v>100</v>
      </c>
      <c r="J2062" s="6"/>
      <c r="K2062" s="6"/>
      <c r="L2062" s="6" t="s">
        <v>180</v>
      </c>
      <c r="M2062" s="6"/>
      <c r="N2062" s="6" t="s">
        <v>181</v>
      </c>
      <c r="O2062" s="6" t="str">
        <f>HYPERLINK("https://ceds.ed.gov/cedselementdetails.aspx?termid=5190")</f>
        <v>https://ceds.ed.gov/cedselementdetails.aspx?termid=5190</v>
      </c>
      <c r="P2062" s="6" t="str">
        <f>HYPERLINK("https://ceds.ed.gov/elementComment.aspx?elementName=Address County Name &amp;elementID=5190", "Click here to submit comment")</f>
        <v>Click here to submit comment</v>
      </c>
    </row>
    <row r="2063" spans="1:16" ht="409.5">
      <c r="A2063" s="6" t="s">
        <v>6869</v>
      </c>
      <c r="B2063" s="6" t="s">
        <v>6882</v>
      </c>
      <c r="C2063" s="6" t="s">
        <v>6720</v>
      </c>
      <c r="D2063" s="6" t="s">
        <v>1809</v>
      </c>
      <c r="E2063" s="6" t="s">
        <v>1810</v>
      </c>
      <c r="F2063" s="7" t="s">
        <v>6433</v>
      </c>
      <c r="G2063" s="6" t="s">
        <v>6107</v>
      </c>
      <c r="H2063" s="6" t="s">
        <v>3</v>
      </c>
      <c r="I2063" s="6"/>
      <c r="J2063" s="6"/>
      <c r="K2063" s="6"/>
      <c r="L2063" s="6" t="s">
        <v>1811</v>
      </c>
      <c r="M2063" s="6"/>
      <c r="N2063" s="6" t="s">
        <v>1812</v>
      </c>
      <c r="O2063" s="6" t="str">
        <f>HYPERLINK("https://ceds.ed.gov/cedselementdetails.aspx?termid=5050")</f>
        <v>https://ceds.ed.gov/cedselementdetails.aspx?termid=5050</v>
      </c>
      <c r="P2063" s="6" t="str">
        <f>HYPERLINK("https://ceds.ed.gov/elementComment.aspx?elementName=Country Code &amp;elementID=5050", "Click here to submit comment")</f>
        <v>Click here to submit comment</v>
      </c>
    </row>
    <row r="2064" spans="1:16" ht="240">
      <c r="A2064" s="6" t="s">
        <v>6869</v>
      </c>
      <c r="B2064" s="6" t="s">
        <v>6882</v>
      </c>
      <c r="C2064" s="6" t="s">
        <v>6722</v>
      </c>
      <c r="D2064" s="6" t="s">
        <v>1474</v>
      </c>
      <c r="E2064" s="6" t="s">
        <v>1475</v>
      </c>
      <c r="F2064" s="6" t="s">
        <v>13</v>
      </c>
      <c r="G2064" s="6" t="s">
        <v>6080</v>
      </c>
      <c r="H2064" s="6" t="s">
        <v>3</v>
      </c>
      <c r="I2064" s="6" t="s">
        <v>73</v>
      </c>
      <c r="J2064" s="6"/>
      <c r="K2064" s="6"/>
      <c r="L2064" s="6" t="s">
        <v>1476</v>
      </c>
      <c r="M2064" s="6"/>
      <c r="N2064" s="6" t="s">
        <v>1474</v>
      </c>
      <c r="O2064" s="6" t="str">
        <f>HYPERLINK("https://ceds.ed.gov/cedselementdetails.aspx?termid=5033")</f>
        <v>https://ceds.ed.gov/cedselementdetails.aspx?termid=5033</v>
      </c>
      <c r="P2064" s="6" t="str">
        <f>HYPERLINK("https://ceds.ed.gov/elementComment.aspx?elementName=Birthdate &amp;elementID=5033", "Click here to submit comment")</f>
        <v>Click here to submit comment</v>
      </c>
    </row>
    <row r="2065" spans="1:16" ht="255">
      <c r="A2065" s="6" t="s">
        <v>6869</v>
      </c>
      <c r="B2065" s="6" t="s">
        <v>6882</v>
      </c>
      <c r="C2065" s="6" t="s">
        <v>6722</v>
      </c>
      <c r="D2065" s="6" t="s">
        <v>5353</v>
      </c>
      <c r="E2065" s="6" t="s">
        <v>5354</v>
      </c>
      <c r="F2065" s="7" t="s">
        <v>6656</v>
      </c>
      <c r="G2065" s="6" t="s">
        <v>6312</v>
      </c>
      <c r="H2065" s="6" t="s">
        <v>3</v>
      </c>
      <c r="I2065" s="6"/>
      <c r="J2065" s="6"/>
      <c r="K2065" s="6" t="s">
        <v>5355</v>
      </c>
      <c r="L2065" s="6" t="s">
        <v>5356</v>
      </c>
      <c r="M2065" s="6"/>
      <c r="N2065" s="6" t="s">
        <v>5353</v>
      </c>
      <c r="O2065" s="6" t="str">
        <f>HYPERLINK("https://ceds.ed.gov/cedselementdetails.aspx?termid=5255")</f>
        <v>https://ceds.ed.gov/cedselementdetails.aspx?termid=5255</v>
      </c>
      <c r="P2065" s="6" t="str">
        <f>HYPERLINK("https://ceds.ed.gov/elementComment.aspx?elementName=Sex &amp;elementID=5255", "Click here to submit comment")</f>
        <v>Click here to submit comment</v>
      </c>
    </row>
    <row r="2066" spans="1:16" ht="225">
      <c r="A2066" s="6" t="s">
        <v>6869</v>
      </c>
      <c r="B2066" s="6" t="s">
        <v>6882</v>
      </c>
      <c r="C2066" s="6" t="s">
        <v>6722</v>
      </c>
      <c r="D2066" s="6" t="s">
        <v>351</v>
      </c>
      <c r="E2066" s="6" t="s">
        <v>352</v>
      </c>
      <c r="F2066" s="7" t="s">
        <v>6373</v>
      </c>
      <c r="G2066" s="6" t="s">
        <v>5986</v>
      </c>
      <c r="H2066" s="6"/>
      <c r="I2066" s="6"/>
      <c r="J2066" s="6"/>
      <c r="K2066" s="6" t="s">
        <v>353</v>
      </c>
      <c r="L2066" s="6" t="s">
        <v>354</v>
      </c>
      <c r="M2066" s="6"/>
      <c r="N2066" s="6" t="s">
        <v>355</v>
      </c>
      <c r="O2066" s="6" t="str">
        <f>HYPERLINK("https://ceds.ed.gov/cedselementdetails.aspx?termid=5655")</f>
        <v>https://ceds.ed.gov/cedselementdetails.aspx?termid=5655</v>
      </c>
      <c r="P2066" s="6" t="str">
        <f>HYPERLINK("https://ceds.ed.gov/elementComment.aspx?elementName=American Indian or Alaska Native &amp;elementID=5655", "Click here to submit comment")</f>
        <v>Click here to submit comment</v>
      </c>
    </row>
    <row r="2067" spans="1:16" ht="225">
      <c r="A2067" s="6" t="s">
        <v>6869</v>
      </c>
      <c r="B2067" s="6" t="s">
        <v>6882</v>
      </c>
      <c r="C2067" s="6" t="s">
        <v>6722</v>
      </c>
      <c r="D2067" s="6" t="s">
        <v>392</v>
      </c>
      <c r="E2067" s="6" t="s">
        <v>393</v>
      </c>
      <c r="F2067" s="7" t="s">
        <v>6373</v>
      </c>
      <c r="G2067" s="6" t="s">
        <v>5986</v>
      </c>
      <c r="H2067" s="6"/>
      <c r="I2067" s="6"/>
      <c r="J2067" s="6"/>
      <c r="K2067" s="6" t="s">
        <v>353</v>
      </c>
      <c r="L2067" s="6" t="s">
        <v>394</v>
      </c>
      <c r="M2067" s="6"/>
      <c r="N2067" s="6" t="s">
        <v>392</v>
      </c>
      <c r="O2067" s="6" t="str">
        <f>HYPERLINK("https://ceds.ed.gov/cedselementdetails.aspx?termid=5656")</f>
        <v>https://ceds.ed.gov/cedselementdetails.aspx?termid=5656</v>
      </c>
      <c r="P2067" s="6" t="str">
        <f>HYPERLINK("https://ceds.ed.gov/elementComment.aspx?elementName=Asian &amp;elementID=5656", "Click here to submit comment")</f>
        <v>Click here to submit comment</v>
      </c>
    </row>
    <row r="2068" spans="1:16" ht="225">
      <c r="A2068" s="6" t="s">
        <v>6869</v>
      </c>
      <c r="B2068" s="6" t="s">
        <v>6882</v>
      </c>
      <c r="C2068" s="6" t="s">
        <v>6722</v>
      </c>
      <c r="D2068" s="6" t="s">
        <v>1483</v>
      </c>
      <c r="E2068" s="6" t="s">
        <v>1484</v>
      </c>
      <c r="F2068" s="7" t="s">
        <v>6373</v>
      </c>
      <c r="G2068" s="6" t="s">
        <v>5986</v>
      </c>
      <c r="H2068" s="6"/>
      <c r="I2068" s="6"/>
      <c r="J2068" s="6"/>
      <c r="K2068" s="6" t="s">
        <v>353</v>
      </c>
      <c r="L2068" s="6" t="s">
        <v>1485</v>
      </c>
      <c r="M2068" s="6"/>
      <c r="N2068" s="6" t="s">
        <v>1486</v>
      </c>
      <c r="O2068" s="6" t="str">
        <f>HYPERLINK("https://ceds.ed.gov/cedselementdetails.aspx?termid=5657")</f>
        <v>https://ceds.ed.gov/cedselementdetails.aspx?termid=5657</v>
      </c>
      <c r="P2068" s="6" t="str">
        <f>HYPERLINK("https://ceds.ed.gov/elementComment.aspx?elementName=Black or African American &amp;elementID=5657", "Click here to submit comment")</f>
        <v>Click here to submit comment</v>
      </c>
    </row>
    <row r="2069" spans="1:16" ht="225">
      <c r="A2069" s="6" t="s">
        <v>6869</v>
      </c>
      <c r="B2069" s="6" t="s">
        <v>6882</v>
      </c>
      <c r="C2069" s="6" t="s">
        <v>6722</v>
      </c>
      <c r="D2069" s="6" t="s">
        <v>4202</v>
      </c>
      <c r="E2069" s="6" t="s">
        <v>4203</v>
      </c>
      <c r="F2069" s="7" t="s">
        <v>6373</v>
      </c>
      <c r="G2069" s="6" t="s">
        <v>5986</v>
      </c>
      <c r="H2069" s="6"/>
      <c r="I2069" s="6"/>
      <c r="J2069" s="6"/>
      <c r="K2069" s="6" t="s">
        <v>353</v>
      </c>
      <c r="L2069" s="6" t="s">
        <v>4204</v>
      </c>
      <c r="M2069" s="6"/>
      <c r="N2069" s="6" t="s">
        <v>4205</v>
      </c>
      <c r="O2069" s="6" t="str">
        <f>HYPERLINK("https://ceds.ed.gov/cedselementdetails.aspx?termid=5658")</f>
        <v>https://ceds.ed.gov/cedselementdetails.aspx?termid=5658</v>
      </c>
      <c r="P2069" s="6" t="str">
        <f>HYPERLINK("https://ceds.ed.gov/elementComment.aspx?elementName=Native Hawaiian or Other Pacific Islander &amp;elementID=5658", "Click here to submit comment")</f>
        <v>Click here to submit comment</v>
      </c>
    </row>
    <row r="2070" spans="1:16" ht="225">
      <c r="A2070" s="6" t="s">
        <v>6869</v>
      </c>
      <c r="B2070" s="6" t="s">
        <v>6882</v>
      </c>
      <c r="C2070" s="6" t="s">
        <v>6722</v>
      </c>
      <c r="D2070" s="6" t="s">
        <v>5925</v>
      </c>
      <c r="E2070" s="6" t="s">
        <v>5926</v>
      </c>
      <c r="F2070" s="7" t="s">
        <v>6373</v>
      </c>
      <c r="G2070" s="6" t="s">
        <v>5986</v>
      </c>
      <c r="H2070" s="6"/>
      <c r="I2070" s="6"/>
      <c r="J2070" s="6"/>
      <c r="K2070" s="6" t="s">
        <v>353</v>
      </c>
      <c r="L2070" s="6" t="s">
        <v>5927</v>
      </c>
      <c r="M2070" s="6"/>
      <c r="N2070" s="6" t="s">
        <v>5925</v>
      </c>
      <c r="O2070" s="6" t="str">
        <f>HYPERLINK("https://ceds.ed.gov/cedselementdetails.aspx?termid=5659")</f>
        <v>https://ceds.ed.gov/cedselementdetails.aspx?termid=5659</v>
      </c>
      <c r="P2070" s="6" t="str">
        <f>HYPERLINK("https://ceds.ed.gov/elementComment.aspx?elementName=White &amp;elementID=5659", "Click here to submit comment")</f>
        <v>Click here to submit comment</v>
      </c>
    </row>
    <row r="2071" spans="1:16" ht="225">
      <c r="A2071" s="6" t="s">
        <v>6869</v>
      </c>
      <c r="B2071" s="6" t="s">
        <v>6882</v>
      </c>
      <c r="C2071" s="6" t="s">
        <v>6722</v>
      </c>
      <c r="D2071" s="6" t="s">
        <v>2985</v>
      </c>
      <c r="E2071" s="6" t="s">
        <v>2986</v>
      </c>
      <c r="F2071" s="7" t="s">
        <v>6373</v>
      </c>
      <c r="G2071" s="6" t="s">
        <v>5986</v>
      </c>
      <c r="H2071" s="6"/>
      <c r="I2071" s="6"/>
      <c r="J2071" s="6"/>
      <c r="K2071" s="6" t="s">
        <v>353</v>
      </c>
      <c r="L2071" s="6" t="s">
        <v>2987</v>
      </c>
      <c r="M2071" s="6"/>
      <c r="N2071" s="6" t="s">
        <v>2988</v>
      </c>
      <c r="O2071" s="6" t="str">
        <f>HYPERLINK("https://ceds.ed.gov/cedselementdetails.aspx?termid=5144")</f>
        <v>https://ceds.ed.gov/cedselementdetails.aspx?termid=5144</v>
      </c>
      <c r="P2071" s="6" t="str">
        <f>HYPERLINK("https://ceds.ed.gov/elementComment.aspx?elementName=Hispanic or Latino Ethnicity &amp;elementID=5144", "Click here to submit comment")</f>
        <v>Click here to submit comment</v>
      </c>
    </row>
    <row r="2072" spans="1:16" ht="135">
      <c r="A2072" s="6" t="s">
        <v>6869</v>
      </c>
      <c r="B2072" s="6" t="s">
        <v>6882</v>
      </c>
      <c r="C2072" s="6" t="s">
        <v>6722</v>
      </c>
      <c r="D2072" s="6" t="s">
        <v>5867</v>
      </c>
      <c r="E2072" s="6" t="s">
        <v>5868</v>
      </c>
      <c r="F2072" s="7" t="s">
        <v>6689</v>
      </c>
      <c r="G2072" s="6" t="s">
        <v>6340</v>
      </c>
      <c r="H2072" s="6"/>
      <c r="I2072" s="6"/>
      <c r="J2072" s="6"/>
      <c r="K2072" s="6" t="s">
        <v>5355</v>
      </c>
      <c r="L2072" s="6" t="s">
        <v>5869</v>
      </c>
      <c r="M2072" s="6"/>
      <c r="N2072" s="6" t="s">
        <v>5870</v>
      </c>
      <c r="O2072" s="6" t="str">
        <f>HYPERLINK("https://ceds.ed.gov/cedselementdetails.aspx?termid=5299")</f>
        <v>https://ceds.ed.gov/cedselementdetails.aspx?termid=5299</v>
      </c>
      <c r="P2072" s="6" t="str">
        <f>HYPERLINK("https://ceds.ed.gov/elementComment.aspx?elementName=United States Citizenship Status &amp;elementID=5299", "Click here to submit comment")</f>
        <v>Click here to submit comment</v>
      </c>
    </row>
    <row r="2073" spans="1:16" ht="210">
      <c r="A2073" s="6" t="s">
        <v>6869</v>
      </c>
      <c r="B2073" s="6" t="s">
        <v>6882</v>
      </c>
      <c r="C2073" s="6" t="s">
        <v>6770</v>
      </c>
      <c r="D2073" s="6" t="s">
        <v>2980</v>
      </c>
      <c r="E2073" s="6" t="s">
        <v>2981</v>
      </c>
      <c r="F2073" s="6" t="s">
        <v>13</v>
      </c>
      <c r="G2073" s="6" t="s">
        <v>6197</v>
      </c>
      <c r="H2073" s="6" t="s">
        <v>3</v>
      </c>
      <c r="I2073" s="6" t="s">
        <v>73</v>
      </c>
      <c r="J2073" s="6"/>
      <c r="K2073" s="6" t="s">
        <v>2982</v>
      </c>
      <c r="L2073" s="6" t="s">
        <v>2983</v>
      </c>
      <c r="M2073" s="6"/>
      <c r="N2073" s="6" t="s">
        <v>2984</v>
      </c>
      <c r="O2073" s="6" t="str">
        <f>HYPERLINK("https://ceds.ed.gov/cedselementdetails.aspx?termid=5143")</f>
        <v>https://ceds.ed.gov/cedselementdetails.aspx?termid=5143</v>
      </c>
      <c r="P2073" s="6" t="str">
        <f>HYPERLINK("https://ceds.ed.gov/elementComment.aspx?elementName=Hire Date &amp;elementID=5143", "Click here to submit comment")</f>
        <v>Click here to submit comment</v>
      </c>
    </row>
    <row r="2074" spans="1:16" ht="405">
      <c r="A2074" s="6" t="s">
        <v>6869</v>
      </c>
      <c r="B2074" s="6" t="s">
        <v>6882</v>
      </c>
      <c r="C2074" s="6" t="s">
        <v>6770</v>
      </c>
      <c r="D2074" s="6" t="s">
        <v>2628</v>
      </c>
      <c r="E2074" s="6" t="s">
        <v>2629</v>
      </c>
      <c r="F2074" s="6" t="s">
        <v>5963</v>
      </c>
      <c r="G2074" s="6" t="s">
        <v>36</v>
      </c>
      <c r="H2074" s="6"/>
      <c r="I2074" s="6"/>
      <c r="J2074" s="6"/>
      <c r="K2074" s="6" t="s">
        <v>2630</v>
      </c>
      <c r="L2074" s="6" t="s">
        <v>2631</v>
      </c>
      <c r="M2074" s="6"/>
      <c r="N2074" s="6" t="s">
        <v>2632</v>
      </c>
      <c r="O2074" s="6" t="str">
        <f>HYPERLINK("https://ceds.ed.gov/cedselementdetails.aspx?termid=5711")</f>
        <v>https://ceds.ed.gov/cedselementdetails.aspx?termid=5711</v>
      </c>
      <c r="P2074" s="6" t="str">
        <f>HYPERLINK("https://ceds.ed.gov/elementComment.aspx?elementName=Faculty Status &amp;elementID=5711", "Click here to submit comment")</f>
        <v>Click here to submit comment</v>
      </c>
    </row>
    <row r="2075" spans="1:16" ht="180">
      <c r="A2075" s="6" t="s">
        <v>6869</v>
      </c>
      <c r="B2075" s="6" t="s">
        <v>6882</v>
      </c>
      <c r="C2075" s="6" t="s">
        <v>6770</v>
      </c>
      <c r="D2075" s="6" t="s">
        <v>2815</v>
      </c>
      <c r="E2075" s="6" t="s">
        <v>2816</v>
      </c>
      <c r="F2075" s="6" t="s">
        <v>6178</v>
      </c>
      <c r="G2075" s="6" t="s">
        <v>36</v>
      </c>
      <c r="H2075" s="6"/>
      <c r="I2075" s="6"/>
      <c r="J2075" s="6"/>
      <c r="K2075" s="6" t="s">
        <v>2817</v>
      </c>
      <c r="L2075" s="6" t="s">
        <v>2818</v>
      </c>
      <c r="M2075" s="6"/>
      <c r="N2075" s="6" t="s">
        <v>2819</v>
      </c>
      <c r="O2075" s="6" t="str">
        <f>HYPERLINK("https://ceds.ed.gov/cedselementdetails.aspx?termid=5713")</f>
        <v>https://ceds.ed.gov/cedselementdetails.aspx?termid=5713</v>
      </c>
      <c r="P2075" s="6" t="str">
        <f>HYPERLINK("https://ceds.ed.gov/elementComment.aspx?elementName=Full-time Status &amp;elementID=5713", "Click here to submit comment")</f>
        <v>Click here to submit comment</v>
      </c>
    </row>
    <row r="2076" spans="1:16" ht="105">
      <c r="A2076" s="6" t="s">
        <v>6869</v>
      </c>
      <c r="B2076" s="6" t="s">
        <v>6882</v>
      </c>
      <c r="C2076" s="6" t="s">
        <v>6770</v>
      </c>
      <c r="D2076" s="6" t="s">
        <v>1783</v>
      </c>
      <c r="E2076" s="6" t="s">
        <v>1784</v>
      </c>
      <c r="F2076" s="7" t="s">
        <v>6429</v>
      </c>
      <c r="G2076" s="6" t="s">
        <v>36</v>
      </c>
      <c r="H2076" s="6"/>
      <c r="I2076" s="6"/>
      <c r="J2076" s="6"/>
      <c r="K2076" s="6" t="s">
        <v>1785</v>
      </c>
      <c r="L2076" s="6" t="s">
        <v>1786</v>
      </c>
      <c r="M2076" s="6"/>
      <c r="N2076" s="6" t="s">
        <v>1787</v>
      </c>
      <c r="O2076" s="6" t="str">
        <f>HYPERLINK("https://ceds.ed.gov/cedselementdetails.aspx?termid=5714")</f>
        <v>https://ceds.ed.gov/cedselementdetails.aspx?termid=5714</v>
      </c>
      <c r="P2076" s="6" t="str">
        <f>HYPERLINK("https://ceds.ed.gov/elementComment.aspx?elementName=Contract Type &amp;elementID=5714", "Click here to submit comment")</f>
        <v>Click here to submit comment</v>
      </c>
    </row>
    <row r="2077" spans="1:16" ht="120">
      <c r="A2077" s="6" t="s">
        <v>6869</v>
      </c>
      <c r="B2077" s="6" t="s">
        <v>6882</v>
      </c>
      <c r="C2077" s="6" t="s">
        <v>6770</v>
      </c>
      <c r="D2077" s="6" t="s">
        <v>5519</v>
      </c>
      <c r="E2077" s="6" t="s">
        <v>5520</v>
      </c>
      <c r="F2077" s="6" t="s">
        <v>13</v>
      </c>
      <c r="G2077" s="6" t="s">
        <v>36</v>
      </c>
      <c r="H2077" s="6"/>
      <c r="I2077" s="6" t="s">
        <v>5521</v>
      </c>
      <c r="J2077" s="6"/>
      <c r="K2077" s="6"/>
      <c r="L2077" s="6" t="s">
        <v>5522</v>
      </c>
      <c r="M2077" s="6"/>
      <c r="N2077" s="6" t="s">
        <v>5523</v>
      </c>
      <c r="O2077" s="6" t="str">
        <f>HYPERLINK("https://ceds.ed.gov/cedselementdetails.aspx?termid=5707")</f>
        <v>https://ceds.ed.gov/cedselementdetails.aspx?termid=5707</v>
      </c>
      <c r="P2077" s="6" t="str">
        <f>HYPERLINK("https://ceds.ed.gov/elementComment.aspx?elementName=Standard Occupational Classification &amp;elementID=5707", "Click here to submit comment")</f>
        <v>Click here to submit comment</v>
      </c>
    </row>
    <row r="2078" spans="1:16" ht="409.5">
      <c r="A2078" s="6" t="s">
        <v>6869</v>
      </c>
      <c r="B2078" s="6" t="s">
        <v>6882</v>
      </c>
      <c r="C2078" s="6" t="s">
        <v>6770</v>
      </c>
      <c r="D2078" s="6" t="s">
        <v>3379</v>
      </c>
      <c r="E2078" s="6" t="s">
        <v>3380</v>
      </c>
      <c r="F2078" s="7" t="s">
        <v>6559</v>
      </c>
      <c r="G2078" s="6" t="s">
        <v>36</v>
      </c>
      <c r="H2078" s="6"/>
      <c r="I2078" s="6"/>
      <c r="J2078" s="6"/>
      <c r="K2078" s="6" t="s">
        <v>3381</v>
      </c>
      <c r="L2078" s="6" t="s">
        <v>3382</v>
      </c>
      <c r="M2078" s="6"/>
      <c r="N2078" s="6" t="s">
        <v>3383</v>
      </c>
      <c r="O2078" s="6" t="str">
        <f>HYPERLINK("https://ceds.ed.gov/cedselementdetails.aspx?termid=5708")</f>
        <v>https://ceds.ed.gov/cedselementdetails.aspx?termid=5708</v>
      </c>
      <c r="P2078" s="6" t="str">
        <f>HYPERLINK("https://ceds.ed.gov/elementComment.aspx?elementName=IPEDS Occupational Category &amp;elementID=5708", "Click here to submit comment")</f>
        <v>Click here to submit comment</v>
      </c>
    </row>
    <row r="2079" spans="1:16" ht="90">
      <c r="A2079" s="6" t="s">
        <v>6869</v>
      </c>
      <c r="B2079" s="6" t="s">
        <v>6882</v>
      </c>
      <c r="C2079" s="6" t="s">
        <v>6770</v>
      </c>
      <c r="D2079" s="6" t="s">
        <v>3335</v>
      </c>
      <c r="E2079" s="6" t="s">
        <v>3336</v>
      </c>
      <c r="F2079" s="6" t="s">
        <v>5963</v>
      </c>
      <c r="G2079" s="6"/>
      <c r="H2079" s="6"/>
      <c r="I2079" s="6"/>
      <c r="J2079" s="6"/>
      <c r="K2079" s="6" t="s">
        <v>2630</v>
      </c>
      <c r="L2079" s="6" t="s">
        <v>3337</v>
      </c>
      <c r="M2079" s="6"/>
      <c r="N2079" s="6" t="s">
        <v>3338</v>
      </c>
      <c r="O2079" s="6" t="str">
        <f>HYPERLINK("https://ceds.ed.gov/cedselementdetails.aspx?termid=5709")</f>
        <v>https://ceds.ed.gov/cedselementdetails.aspx?termid=5709</v>
      </c>
      <c r="P2079" s="6" t="str">
        <f>HYPERLINK("https://ceds.ed.gov/elementComment.aspx?elementName=Instructional Staff Status &amp;elementID=5709", "Click here to submit comment")</f>
        <v>Click here to submit comment</v>
      </c>
    </row>
    <row r="2080" spans="1:16" ht="180">
      <c r="A2080" s="6" t="s">
        <v>6869</v>
      </c>
      <c r="B2080" s="6" t="s">
        <v>6882</v>
      </c>
      <c r="C2080" s="6" t="s">
        <v>6770</v>
      </c>
      <c r="D2080" s="6" t="s">
        <v>4074</v>
      </c>
      <c r="E2080" s="6" t="s">
        <v>4075</v>
      </c>
      <c r="F2080" s="6" t="s">
        <v>5963</v>
      </c>
      <c r="G2080" s="6" t="s">
        <v>36</v>
      </c>
      <c r="H2080" s="6"/>
      <c r="I2080" s="6"/>
      <c r="J2080" s="6"/>
      <c r="K2080" s="6" t="s">
        <v>2630</v>
      </c>
      <c r="L2080" s="6" t="s">
        <v>4076</v>
      </c>
      <c r="M2080" s="6"/>
      <c r="N2080" s="6" t="s">
        <v>4077</v>
      </c>
      <c r="O2080" s="6" t="str">
        <f>HYPERLINK("https://ceds.ed.gov/cedselementdetails.aspx?termid=5710")</f>
        <v>https://ceds.ed.gov/cedselementdetails.aspx?termid=5710</v>
      </c>
      <c r="P2080" s="6" t="str">
        <f>HYPERLINK("https://ceds.ed.gov/elementComment.aspx?elementName=Medical School Staff Status &amp;elementID=5710", "Click here to submit comment")</f>
        <v>Click here to submit comment</v>
      </c>
    </row>
    <row r="2081" spans="1:16" ht="105">
      <c r="A2081" s="6" t="s">
        <v>6869</v>
      </c>
      <c r="B2081" s="6" t="s">
        <v>6882</v>
      </c>
      <c r="C2081" s="6" t="s">
        <v>6770</v>
      </c>
      <c r="D2081" s="6" t="s">
        <v>3326</v>
      </c>
      <c r="E2081" s="6" t="s">
        <v>3327</v>
      </c>
      <c r="F2081" s="7" t="s">
        <v>6555</v>
      </c>
      <c r="G2081" s="6" t="s">
        <v>36</v>
      </c>
      <c r="H2081" s="6"/>
      <c r="I2081" s="6"/>
      <c r="J2081" s="6"/>
      <c r="K2081" s="6" t="s">
        <v>3328</v>
      </c>
      <c r="L2081" s="6" t="s">
        <v>3329</v>
      </c>
      <c r="M2081" s="6"/>
      <c r="N2081" s="6" t="s">
        <v>3330</v>
      </c>
      <c r="O2081" s="6" t="str">
        <f>HYPERLINK("https://ceds.ed.gov/cedselementdetails.aspx?termid=5712")</f>
        <v>https://ceds.ed.gov/cedselementdetails.aspx?termid=5712</v>
      </c>
      <c r="P2081" s="6" t="str">
        <f>HYPERLINK("https://ceds.ed.gov/elementComment.aspx?elementName=Instructional Staff Contract Length &amp;elementID=5712", "Click here to submit comment")</f>
        <v>Click here to submit comment</v>
      </c>
    </row>
    <row r="2082" spans="1:16" ht="120">
      <c r="A2082" s="6" t="s">
        <v>6869</v>
      </c>
      <c r="B2082" s="6" t="s">
        <v>6882</v>
      </c>
      <c r="C2082" s="6" t="s">
        <v>6770</v>
      </c>
      <c r="D2082" s="6" t="s">
        <v>3331</v>
      </c>
      <c r="E2082" s="6" t="s">
        <v>3332</v>
      </c>
      <c r="F2082" s="7" t="s">
        <v>6556</v>
      </c>
      <c r="G2082" s="6" t="s">
        <v>36</v>
      </c>
      <c r="H2082" s="6"/>
      <c r="I2082" s="6"/>
      <c r="J2082" s="6"/>
      <c r="K2082" s="6" t="s">
        <v>1785</v>
      </c>
      <c r="L2082" s="6" t="s">
        <v>3333</v>
      </c>
      <c r="M2082" s="6"/>
      <c r="N2082" s="6" t="s">
        <v>3334</v>
      </c>
      <c r="O2082" s="6" t="str">
        <f>HYPERLINK("https://ceds.ed.gov/cedselementdetails.aspx?termid=5716")</f>
        <v>https://ceds.ed.gov/cedselementdetails.aspx?termid=5716</v>
      </c>
      <c r="P2082" s="6" t="str">
        <f>HYPERLINK("https://ceds.ed.gov/elementComment.aspx?elementName=Instructional Staff Faculty Tenure Status &amp;elementID=5716", "Click here to submit comment")</f>
        <v>Click here to submit comment</v>
      </c>
    </row>
    <row r="2083" spans="1:16" ht="150">
      <c r="A2083" s="6" t="s">
        <v>6869</v>
      </c>
      <c r="B2083" s="6" t="s">
        <v>6882</v>
      </c>
      <c r="C2083" s="6" t="s">
        <v>6770</v>
      </c>
      <c r="D2083" s="6" t="s">
        <v>33</v>
      </c>
      <c r="E2083" s="6" t="s">
        <v>34</v>
      </c>
      <c r="F2083" s="7" t="s">
        <v>6348</v>
      </c>
      <c r="G2083" s="6" t="s">
        <v>36</v>
      </c>
      <c r="H2083" s="6"/>
      <c r="I2083" s="6"/>
      <c r="J2083" s="6"/>
      <c r="K2083" s="6" t="s">
        <v>37</v>
      </c>
      <c r="L2083" s="6" t="s">
        <v>38</v>
      </c>
      <c r="M2083" s="6"/>
      <c r="N2083" s="6" t="s">
        <v>39</v>
      </c>
      <c r="O2083" s="6" t="str">
        <f>HYPERLINK("https://ceds.ed.gov/cedselementdetails.aspx?termid=5717")</f>
        <v>https://ceds.ed.gov/cedselementdetails.aspx?termid=5717</v>
      </c>
      <c r="P2083" s="6" t="str">
        <f>HYPERLINK("https://ceds.ed.gov/elementComment.aspx?elementName=Academic Rank &amp;elementID=5717", "Click here to submit comment")</f>
        <v>Click here to submit comment</v>
      </c>
    </row>
    <row r="2084" spans="1:16" ht="120">
      <c r="A2084" s="6" t="s">
        <v>6869</v>
      </c>
      <c r="B2084" s="6" t="s">
        <v>6882</v>
      </c>
      <c r="C2084" s="6" t="s">
        <v>6770</v>
      </c>
      <c r="D2084" s="6" t="s">
        <v>3297</v>
      </c>
      <c r="E2084" s="6" t="s">
        <v>3298</v>
      </c>
      <c r="F2084" s="7" t="s">
        <v>6554</v>
      </c>
      <c r="G2084" s="6" t="s">
        <v>36</v>
      </c>
      <c r="H2084" s="6"/>
      <c r="I2084" s="6"/>
      <c r="J2084" s="6"/>
      <c r="K2084" s="6" t="s">
        <v>3299</v>
      </c>
      <c r="L2084" s="6" t="s">
        <v>3300</v>
      </c>
      <c r="M2084" s="6"/>
      <c r="N2084" s="6" t="s">
        <v>3301</v>
      </c>
      <c r="O2084" s="6" t="str">
        <f>HYPERLINK("https://ceds.ed.gov/cedselementdetails.aspx?termid=5719")</f>
        <v>https://ceds.ed.gov/cedselementdetails.aspx?termid=5719</v>
      </c>
      <c r="P2084" s="6" t="str">
        <f>HYPERLINK("https://ceds.ed.gov/elementComment.aspx?elementName=Instruction Credit Type &amp;elementID=5719", "Click here to submit comment")</f>
        <v>Click here to submit comment</v>
      </c>
    </row>
    <row r="2085" spans="1:16" ht="150">
      <c r="A2085" s="6" t="s">
        <v>6869</v>
      </c>
      <c r="B2085" s="6" t="s">
        <v>6882</v>
      </c>
      <c r="C2085" s="6" t="s">
        <v>6770</v>
      </c>
      <c r="D2085" s="6" t="s">
        <v>2899</v>
      </c>
      <c r="E2085" s="6" t="s">
        <v>2900</v>
      </c>
      <c r="F2085" s="6" t="s">
        <v>5963</v>
      </c>
      <c r="G2085" s="6" t="s">
        <v>36</v>
      </c>
      <c r="H2085" s="6"/>
      <c r="I2085" s="6"/>
      <c r="J2085" s="6"/>
      <c r="K2085" s="6" t="s">
        <v>358</v>
      </c>
      <c r="L2085" s="6" t="s">
        <v>2901</v>
      </c>
      <c r="M2085" s="6"/>
      <c r="N2085" s="6" t="s">
        <v>2902</v>
      </c>
      <c r="O2085" s="6" t="str">
        <f>HYPERLINK("https://ceds.ed.gov/cedselementdetails.aspx?termid=5720")</f>
        <v>https://ceds.ed.gov/cedselementdetails.aspx?termid=5720</v>
      </c>
      <c r="P2085" s="6" t="str">
        <f>HYPERLINK("https://ceds.ed.gov/elementComment.aspx?elementName=Graduate Assistant Status &amp;elementID=5720", "Click here to submit comment")</f>
        <v>Click here to submit comment</v>
      </c>
    </row>
    <row r="2086" spans="1:16" ht="270">
      <c r="A2086" s="6" t="s">
        <v>6869</v>
      </c>
      <c r="B2086" s="6" t="s">
        <v>6882</v>
      </c>
      <c r="C2086" s="6" t="s">
        <v>6770</v>
      </c>
      <c r="D2086" s="6" t="s">
        <v>2895</v>
      </c>
      <c r="E2086" s="6" t="s">
        <v>2896</v>
      </c>
      <c r="F2086" s="7" t="s">
        <v>6523</v>
      </c>
      <c r="G2086" s="6" t="s">
        <v>36</v>
      </c>
      <c r="H2086" s="6"/>
      <c r="I2086" s="6"/>
      <c r="J2086" s="6"/>
      <c r="K2086" s="6" t="s">
        <v>1785</v>
      </c>
      <c r="L2086" s="6" t="s">
        <v>2897</v>
      </c>
      <c r="M2086" s="6"/>
      <c r="N2086" s="6" t="s">
        <v>2898</v>
      </c>
      <c r="O2086" s="6" t="str">
        <f>HYPERLINK("https://ceds.ed.gov/cedselementdetails.aspx?termid=5721")</f>
        <v>https://ceds.ed.gov/cedselementdetails.aspx?termid=5721</v>
      </c>
      <c r="P2086" s="6" t="str">
        <f>HYPERLINK("https://ceds.ed.gov/elementComment.aspx?elementName=Graduate Assistant IPEDS Occupation Category &amp;elementID=5721", "Click here to submit comment")</f>
        <v>Click here to submit comment</v>
      </c>
    </row>
    <row r="2087" spans="1:16" ht="30">
      <c r="A2087" s="6" t="s">
        <v>6869</v>
      </c>
      <c r="B2087" s="6" t="s">
        <v>6882</v>
      </c>
      <c r="C2087" s="6" t="s">
        <v>6770</v>
      </c>
      <c r="D2087" s="6" t="s">
        <v>356</v>
      </c>
      <c r="E2087" s="6" t="s">
        <v>357</v>
      </c>
      <c r="F2087" s="6" t="s">
        <v>13</v>
      </c>
      <c r="G2087" s="6" t="s">
        <v>36</v>
      </c>
      <c r="H2087" s="6"/>
      <c r="I2087" s="6" t="s">
        <v>308</v>
      </c>
      <c r="J2087" s="6"/>
      <c r="K2087" s="6" t="s">
        <v>358</v>
      </c>
      <c r="L2087" s="6" t="s">
        <v>359</v>
      </c>
      <c r="M2087" s="6"/>
      <c r="N2087" s="6" t="s">
        <v>360</v>
      </c>
      <c r="O2087" s="6" t="str">
        <f>HYPERLINK("https://ceds.ed.gov/cedselementdetails.aspx?termid=5722")</f>
        <v>https://ceds.ed.gov/cedselementdetails.aspx?termid=5722</v>
      </c>
      <c r="P2087" s="6" t="str">
        <f>HYPERLINK("https://ceds.ed.gov/elementComment.aspx?elementName=Annual Base Contractual Salary &amp;elementID=5722", "Click here to submit comment")</f>
        <v>Click here to submit comment</v>
      </c>
    </row>
    <row r="2088" spans="1:16" ht="60">
      <c r="A2088" s="6" t="s">
        <v>6869</v>
      </c>
      <c r="B2088" s="6" t="s">
        <v>6882</v>
      </c>
      <c r="C2088" s="6" t="s">
        <v>6770</v>
      </c>
      <c r="D2088" s="6" t="s">
        <v>2492</v>
      </c>
      <c r="E2088" s="6" t="s">
        <v>2493</v>
      </c>
      <c r="F2088" s="6" t="s">
        <v>13</v>
      </c>
      <c r="G2088" s="6" t="s">
        <v>202</v>
      </c>
      <c r="H2088" s="6" t="s">
        <v>3</v>
      </c>
      <c r="I2088" s="6" t="s">
        <v>73</v>
      </c>
      <c r="J2088" s="6"/>
      <c r="K2088" s="6"/>
      <c r="L2088" s="6" t="s">
        <v>2494</v>
      </c>
      <c r="M2088" s="6"/>
      <c r="N2088" s="6" t="s">
        <v>2495</v>
      </c>
      <c r="O2088" s="6" t="str">
        <f>HYPERLINK("https://ceds.ed.gov/cedselementdetails.aspx?termid=5794")</f>
        <v>https://ceds.ed.gov/cedselementdetails.aspx?termid=5794</v>
      </c>
      <c r="P2088" s="6" t="str">
        <f>HYPERLINK("https://ceds.ed.gov/elementComment.aspx?elementName=Employment End Date &amp;elementID=5794", "Click here to submit comment")</f>
        <v>Click here to submit comment</v>
      </c>
    </row>
    <row r="2089" spans="1:16" ht="60">
      <c r="A2089" s="6" t="s">
        <v>6869</v>
      </c>
      <c r="B2089" s="6" t="s">
        <v>6882</v>
      </c>
      <c r="C2089" s="6" t="s">
        <v>6770</v>
      </c>
      <c r="D2089" s="6" t="s">
        <v>2534</v>
      </c>
      <c r="E2089" s="6" t="s">
        <v>2535</v>
      </c>
      <c r="F2089" s="6" t="s">
        <v>13</v>
      </c>
      <c r="G2089" s="6" t="s">
        <v>6154</v>
      </c>
      <c r="H2089" s="6" t="s">
        <v>3</v>
      </c>
      <c r="I2089" s="6" t="s">
        <v>73</v>
      </c>
      <c r="J2089" s="6"/>
      <c r="K2089" s="6"/>
      <c r="L2089" s="6" t="s">
        <v>2536</v>
      </c>
      <c r="M2089" s="6"/>
      <c r="N2089" s="6" t="s">
        <v>2537</v>
      </c>
      <c r="O2089" s="6" t="str">
        <f>HYPERLINK("https://ceds.ed.gov/cedselementdetails.aspx?termid=5345")</f>
        <v>https://ceds.ed.gov/cedselementdetails.aspx?termid=5345</v>
      </c>
      <c r="P2089" s="6" t="str">
        <f>HYPERLINK("https://ceds.ed.gov/elementComment.aspx?elementName=Employment Start Date &amp;elementID=5345", "Click here to submit comment")</f>
        <v>Click here to submit comment</v>
      </c>
    </row>
    <row r="2090" spans="1:16" ht="75">
      <c r="A2090" s="6" t="s">
        <v>6869</v>
      </c>
      <c r="B2090" s="6" t="s">
        <v>6882</v>
      </c>
      <c r="C2090" s="6" t="s">
        <v>6771</v>
      </c>
      <c r="D2090" s="6" t="s">
        <v>1562</v>
      </c>
      <c r="E2090" s="6" t="s">
        <v>1563</v>
      </c>
      <c r="F2090" s="6" t="s">
        <v>5963</v>
      </c>
      <c r="G2090" s="6"/>
      <c r="H2090" s="6" t="s">
        <v>54</v>
      </c>
      <c r="I2090" s="6"/>
      <c r="J2090" s="6"/>
      <c r="K2090" s="6"/>
      <c r="L2090" s="6" t="s">
        <v>1564</v>
      </c>
      <c r="M2090" s="6" t="s">
        <v>1565</v>
      </c>
      <c r="N2090" s="6" t="s">
        <v>1566</v>
      </c>
      <c r="O2090" s="6" t="str">
        <f>HYPERLINK("https://ceds.ed.gov/cedselementdetails.aspx?termid=6284")</f>
        <v>https://ceds.ed.gov/cedselementdetails.aspx?termid=6284</v>
      </c>
      <c r="P2090" s="6" t="str">
        <f>HYPERLINK("https://ceds.ed.gov/elementComment.aspx?elementName=Career and Technical Education Instructor Industry Certification &amp;elementID=6284", "Click here to submit comment")</f>
        <v>Click here to submit comment</v>
      </c>
    </row>
    <row r="2091" spans="1:16" ht="90">
      <c r="A2091" s="6" t="s">
        <v>6869</v>
      </c>
      <c r="B2091" s="6" t="s">
        <v>6882</v>
      </c>
      <c r="C2091" s="6" t="s">
        <v>6771</v>
      </c>
      <c r="D2091" s="6" t="s">
        <v>2050</v>
      </c>
      <c r="E2091" s="6" t="s">
        <v>2051</v>
      </c>
      <c r="F2091" s="6" t="s">
        <v>6125</v>
      </c>
      <c r="G2091" s="6"/>
      <c r="H2091" s="6" t="s">
        <v>3</v>
      </c>
      <c r="I2091" s="6"/>
      <c r="J2091" s="6"/>
      <c r="K2091" s="6"/>
      <c r="L2091" s="6" t="s">
        <v>2052</v>
      </c>
      <c r="M2091" s="6"/>
      <c r="N2091" s="6" t="s">
        <v>2053</v>
      </c>
      <c r="O2091" s="6" t="str">
        <f>HYPERLINK("https://ceds.ed.gov/cedselementdetails.aspx?termid=5071")</f>
        <v>https://ceds.ed.gov/cedselementdetails.aspx?termid=5071</v>
      </c>
      <c r="P2091" s="6" t="str">
        <f>HYPERLINK("https://ceds.ed.gov/elementComment.aspx?elementName=Credential Type &amp;elementID=5071", "Click here to submit comment")</f>
        <v>Click here to submit comment</v>
      </c>
    </row>
    <row r="2092" spans="1:16" ht="165">
      <c r="A2092" s="6" t="s">
        <v>6869</v>
      </c>
      <c r="B2092" s="6" t="s">
        <v>6883</v>
      </c>
      <c r="C2092" s="6"/>
      <c r="D2092" s="6" t="s">
        <v>234</v>
      </c>
      <c r="E2092" s="6" t="s">
        <v>235</v>
      </c>
      <c r="F2092" s="7" t="s">
        <v>6359</v>
      </c>
      <c r="G2092" s="6" t="s">
        <v>237</v>
      </c>
      <c r="H2092" s="6"/>
      <c r="I2092" s="6"/>
      <c r="J2092" s="6"/>
      <c r="K2092" s="6" t="s">
        <v>238</v>
      </c>
      <c r="L2092" s="6" t="s">
        <v>239</v>
      </c>
      <c r="M2092" s="6"/>
      <c r="N2092" s="6" t="s">
        <v>240</v>
      </c>
      <c r="O2092" s="6" t="str">
        <f>HYPERLINK("https://ceds.ed.gov/cedselementdetails.aspx?termid=5736")</f>
        <v>https://ceds.ed.gov/cedselementdetails.aspx?termid=5736</v>
      </c>
      <c r="P2092" s="6" t="str">
        <f>HYPERLINK("https://ceds.ed.gov/elementComment.aspx?elementName=Admitted Student &amp;elementID=5736", "Click here to submit comment")</f>
        <v>Click here to submit comment</v>
      </c>
    </row>
    <row r="2093" spans="1:16" ht="180">
      <c r="A2093" s="6" t="s">
        <v>6869</v>
      </c>
      <c r="B2093" s="6" t="s">
        <v>6883</v>
      </c>
      <c r="C2093" s="6"/>
      <c r="D2093" s="6" t="s">
        <v>2860</v>
      </c>
      <c r="E2093" s="6" t="s">
        <v>2861</v>
      </c>
      <c r="F2093" s="6" t="s">
        <v>13</v>
      </c>
      <c r="G2093" s="6" t="s">
        <v>6185</v>
      </c>
      <c r="H2093" s="6"/>
      <c r="I2093" s="6" t="s">
        <v>2857</v>
      </c>
      <c r="J2093" s="6"/>
      <c r="K2093" s="6" t="s">
        <v>2862</v>
      </c>
      <c r="L2093" s="6" t="s">
        <v>2863</v>
      </c>
      <c r="M2093" s="6" t="s">
        <v>2864</v>
      </c>
      <c r="N2093" s="6" t="s">
        <v>2865</v>
      </c>
      <c r="O2093" s="6" t="str">
        <f>HYPERLINK("https://ceds.ed.gov/cedselementdetails.aspx?termid=5128")</f>
        <v>https://ceds.ed.gov/cedselementdetails.aspx?termid=5128</v>
      </c>
      <c r="P2093" s="6" t="str">
        <f>HYPERLINK("https://ceds.ed.gov/elementComment.aspx?elementName=Grade Point Average Cumulative &amp;elementID=5128", "Click here to submit comment")</f>
        <v>Click here to submit comment</v>
      </c>
    </row>
    <row r="2094" spans="1:16" ht="150">
      <c r="A2094" s="6" t="s">
        <v>6869</v>
      </c>
      <c r="B2094" s="6" t="s">
        <v>6883</v>
      </c>
      <c r="C2094" s="6"/>
      <c r="D2094" s="6" t="s">
        <v>2866</v>
      </c>
      <c r="E2094" s="6" t="s">
        <v>2867</v>
      </c>
      <c r="F2094" s="7" t="s">
        <v>6521</v>
      </c>
      <c r="G2094" s="6" t="s">
        <v>237</v>
      </c>
      <c r="H2094" s="6"/>
      <c r="I2094" s="6"/>
      <c r="J2094" s="6"/>
      <c r="K2094" s="6" t="s">
        <v>2868</v>
      </c>
      <c r="L2094" s="6" t="s">
        <v>2869</v>
      </c>
      <c r="M2094" s="6" t="s">
        <v>2870</v>
      </c>
      <c r="N2094" s="6" t="s">
        <v>2871</v>
      </c>
      <c r="O2094" s="6" t="str">
        <f>HYPERLINK("https://ceds.ed.gov/cedselementdetails.aspx?termid=5739")</f>
        <v>https://ceds.ed.gov/cedselementdetails.aspx?termid=5739</v>
      </c>
      <c r="P2094" s="6" t="str">
        <f>HYPERLINK("https://ceds.ed.gov/elementComment.aspx?elementName=Grade Point Average Domain &amp;elementID=5739", "Click here to submit comment")</f>
        <v>Click here to submit comment</v>
      </c>
    </row>
    <row r="2095" spans="1:16" ht="45">
      <c r="A2095" s="6" t="s">
        <v>6869</v>
      </c>
      <c r="B2095" s="6" t="s">
        <v>6883</v>
      </c>
      <c r="C2095" s="6"/>
      <c r="D2095" s="6" t="s">
        <v>2877</v>
      </c>
      <c r="E2095" s="6" t="s">
        <v>2878</v>
      </c>
      <c r="F2095" s="6" t="s">
        <v>6186</v>
      </c>
      <c r="G2095" s="6" t="s">
        <v>6188</v>
      </c>
      <c r="H2095" s="6"/>
      <c r="I2095" s="6"/>
      <c r="J2095" s="6"/>
      <c r="K2095" s="6"/>
      <c r="L2095" s="6" t="s">
        <v>2879</v>
      </c>
      <c r="M2095" s="6" t="s">
        <v>2880</v>
      </c>
      <c r="N2095" s="6" t="s">
        <v>2881</v>
      </c>
      <c r="O2095" s="6" t="str">
        <f>HYPERLINK("https://ceds.ed.gov/cedselementdetails.aspx?termid=5123")</f>
        <v>https://ceds.ed.gov/cedselementdetails.aspx?termid=5123</v>
      </c>
      <c r="P2095" s="6" t="str">
        <f>HYPERLINK("https://ceds.ed.gov/elementComment.aspx?elementName=Grade Point Average Weighted Indicator &amp;elementID=5123", "Click here to submit comment")</f>
        <v>Click here to submit comment</v>
      </c>
    </row>
    <row r="2096" spans="1:16" ht="120">
      <c r="A2096" s="6" t="s">
        <v>6869</v>
      </c>
      <c r="B2096" s="6" t="s">
        <v>6883</v>
      </c>
      <c r="C2096" s="6"/>
      <c r="D2096" s="6" t="s">
        <v>2957</v>
      </c>
      <c r="E2096" s="6" t="s">
        <v>2958</v>
      </c>
      <c r="F2096" s="6" t="s">
        <v>13</v>
      </c>
      <c r="G2096" s="6" t="s">
        <v>237</v>
      </c>
      <c r="H2096" s="6"/>
      <c r="I2096" s="6" t="s">
        <v>740</v>
      </c>
      <c r="J2096" s="6"/>
      <c r="K2096" s="6" t="s">
        <v>2959</v>
      </c>
      <c r="L2096" s="6" t="s">
        <v>2960</v>
      </c>
      <c r="M2096" s="6"/>
      <c r="N2096" s="6" t="s">
        <v>2961</v>
      </c>
      <c r="O2096" s="6" t="str">
        <f>HYPERLINK("https://ceds.ed.gov/cedselementdetails.aspx?termid=5740")</f>
        <v>https://ceds.ed.gov/cedselementdetails.aspx?termid=5740</v>
      </c>
      <c r="P2096" s="6" t="str">
        <f>HYPERLINK("https://ceds.ed.gov/elementComment.aspx?elementName=High School Percentile &amp;elementID=5740", "Click here to submit comment")</f>
        <v>Click here to submit comment</v>
      </c>
    </row>
    <row r="2097" spans="1:16" ht="120">
      <c r="A2097" s="6" t="s">
        <v>6869</v>
      </c>
      <c r="B2097" s="6" t="s">
        <v>6883</v>
      </c>
      <c r="C2097" s="6"/>
      <c r="D2097" s="6" t="s">
        <v>2962</v>
      </c>
      <c r="E2097" s="6" t="s">
        <v>2963</v>
      </c>
      <c r="F2097" s="6" t="s">
        <v>13</v>
      </c>
      <c r="G2097" s="6" t="s">
        <v>6193</v>
      </c>
      <c r="H2097" s="6"/>
      <c r="I2097" s="6" t="s">
        <v>308</v>
      </c>
      <c r="J2097" s="6"/>
      <c r="K2097" s="6"/>
      <c r="L2097" s="6" t="s">
        <v>2964</v>
      </c>
      <c r="M2097" s="6"/>
      <c r="N2097" s="6" t="s">
        <v>2965</v>
      </c>
      <c r="O2097" s="6" t="str">
        <f>HYPERLINK("https://ceds.ed.gov/cedselementdetails.aspx?termid=5041")</f>
        <v>https://ceds.ed.gov/cedselementdetails.aspx?termid=5041</v>
      </c>
      <c r="P2097" s="6" t="str">
        <f>HYPERLINK("https://ceds.ed.gov/elementComment.aspx?elementName=High School Student Class Rank &amp;elementID=5041", "Click here to submit comment")</f>
        <v>Click here to submit comment</v>
      </c>
    </row>
    <row r="2098" spans="1:16" ht="180">
      <c r="A2098" s="6" t="s">
        <v>6869</v>
      </c>
      <c r="B2098" s="6" t="s">
        <v>6883</v>
      </c>
      <c r="C2098" s="6"/>
      <c r="D2098" s="6" t="s">
        <v>4511</v>
      </c>
      <c r="E2098" s="6" t="s">
        <v>4512</v>
      </c>
      <c r="F2098" s="6" t="s">
        <v>5963</v>
      </c>
      <c r="G2098" s="6" t="s">
        <v>237</v>
      </c>
      <c r="H2098" s="6"/>
      <c r="I2098" s="6"/>
      <c r="J2098" s="6"/>
      <c r="K2098" s="6" t="s">
        <v>4513</v>
      </c>
      <c r="L2098" s="6" t="s">
        <v>4514</v>
      </c>
      <c r="M2098" s="6"/>
      <c r="N2098" s="6" t="s">
        <v>4515</v>
      </c>
      <c r="O2098" s="6" t="str">
        <f>HYPERLINK("https://ceds.ed.gov/cedselementdetails.aspx?termid=5735")</f>
        <v>https://ceds.ed.gov/cedselementdetails.aspx?termid=5735</v>
      </c>
      <c r="P2098" s="6" t="str">
        <f>HYPERLINK("https://ceds.ed.gov/elementComment.aspx?elementName=Postsecondary Applicant &amp;elementID=5735", "Click here to submit comment")</f>
        <v>Click here to submit comment</v>
      </c>
    </row>
    <row r="2099" spans="1:16" ht="120">
      <c r="A2099" s="6" t="s">
        <v>6869</v>
      </c>
      <c r="B2099" s="6" t="s">
        <v>6883</v>
      </c>
      <c r="C2099" s="6"/>
      <c r="D2099" s="6" t="s">
        <v>5379</v>
      </c>
      <c r="E2099" s="6" t="s">
        <v>5380</v>
      </c>
      <c r="F2099" s="6" t="s">
        <v>13</v>
      </c>
      <c r="G2099" s="6" t="s">
        <v>6193</v>
      </c>
      <c r="H2099" s="6"/>
      <c r="I2099" s="6" t="s">
        <v>308</v>
      </c>
      <c r="J2099" s="6"/>
      <c r="K2099" s="6"/>
      <c r="L2099" s="6" t="s">
        <v>5381</v>
      </c>
      <c r="M2099" s="6"/>
      <c r="N2099" s="6" t="s">
        <v>5382</v>
      </c>
      <c r="O2099" s="6" t="str">
        <f>HYPERLINK("https://ceds.ed.gov/cedselementdetails.aspx?termid=5294")</f>
        <v>https://ceds.ed.gov/cedselementdetails.aspx?termid=5294</v>
      </c>
      <c r="P2099" s="6" t="str">
        <f>HYPERLINK("https://ceds.ed.gov/elementComment.aspx?elementName=Size of High School Graduating Class &amp;elementID=5294", "Click here to submit comment")</f>
        <v>Click here to submit comment</v>
      </c>
    </row>
    <row r="2100" spans="1:16" ht="60">
      <c r="A2100" s="6" t="s">
        <v>6869</v>
      </c>
      <c r="B2100" s="6" t="s">
        <v>6883</v>
      </c>
      <c r="C2100" s="6"/>
      <c r="D2100" s="6" t="s">
        <v>5899</v>
      </c>
      <c r="E2100" s="6" t="s">
        <v>5900</v>
      </c>
      <c r="F2100" s="6" t="s">
        <v>5963</v>
      </c>
      <c r="G2100" s="6" t="s">
        <v>237</v>
      </c>
      <c r="H2100" s="6"/>
      <c r="I2100" s="6"/>
      <c r="J2100" s="6"/>
      <c r="K2100" s="6" t="s">
        <v>2746</v>
      </c>
      <c r="L2100" s="6" t="s">
        <v>5901</v>
      </c>
      <c r="M2100" s="6"/>
      <c r="N2100" s="6" t="s">
        <v>5902</v>
      </c>
      <c r="O2100" s="6" t="str">
        <f>HYPERLINK("https://ceds.ed.gov/cedselementdetails.aspx?termid=5738")</f>
        <v>https://ceds.ed.gov/cedselementdetails.aspx?termid=5738</v>
      </c>
      <c r="P2100" s="6" t="str">
        <f>HYPERLINK("https://ceds.ed.gov/elementComment.aspx?elementName=Wait Listed Student &amp;elementID=5738", "Click here to submit comment")</f>
        <v>Click here to submit comment</v>
      </c>
    </row>
    <row r="2101" spans="1:16" ht="165">
      <c r="A2101" s="6" t="s">
        <v>6869</v>
      </c>
      <c r="B2101" s="6" t="s">
        <v>6830</v>
      </c>
      <c r="C2101" s="6"/>
      <c r="D2101" s="6" t="s">
        <v>590</v>
      </c>
      <c r="E2101" s="6" t="s">
        <v>591</v>
      </c>
      <c r="F2101" s="6" t="s">
        <v>13</v>
      </c>
      <c r="G2101" s="6" t="s">
        <v>6015</v>
      </c>
      <c r="H2101" s="6"/>
      <c r="I2101" s="6" t="s">
        <v>100</v>
      </c>
      <c r="J2101" s="6"/>
      <c r="K2101" s="6"/>
      <c r="L2101" s="6" t="s">
        <v>592</v>
      </c>
      <c r="M2101" s="6"/>
      <c r="N2101" s="6" t="s">
        <v>593</v>
      </c>
      <c r="O2101" s="6" t="str">
        <f>HYPERLINK("https://ceds.ed.gov/cedselementdetails.aspx?termid=5152")</f>
        <v>https://ceds.ed.gov/cedselementdetails.aspx?termid=5152</v>
      </c>
      <c r="P2101" s="6" t="str">
        <f>HYPERLINK("https://ceds.ed.gov/elementComment.aspx?elementName=Assessment Identifier &amp;elementID=5152", "Click here to submit comment")</f>
        <v>Click here to submit comment</v>
      </c>
    </row>
    <row r="2102" spans="1:16" ht="165">
      <c r="A2102" s="6" t="s">
        <v>6869</v>
      </c>
      <c r="B2102" s="6" t="s">
        <v>6830</v>
      </c>
      <c r="C2102" s="6"/>
      <c r="D2102" s="6" t="s">
        <v>1387</v>
      </c>
      <c r="E2102" s="6" t="s">
        <v>1388</v>
      </c>
      <c r="F2102" s="6" t="s">
        <v>13</v>
      </c>
      <c r="G2102" s="6" t="s">
        <v>6073</v>
      </c>
      <c r="H2102" s="6"/>
      <c r="I2102" s="6" t="s">
        <v>106</v>
      </c>
      <c r="J2102" s="6"/>
      <c r="K2102" s="6"/>
      <c r="L2102" s="6" t="s">
        <v>1389</v>
      </c>
      <c r="M2102" s="6"/>
      <c r="N2102" s="6" t="s">
        <v>1390</v>
      </c>
      <c r="O2102" s="6" t="str">
        <f>HYPERLINK("https://ceds.ed.gov/cedselementdetails.aspx?termid=5028")</f>
        <v>https://ceds.ed.gov/cedselementdetails.aspx?termid=5028</v>
      </c>
      <c r="P2102" s="6" t="str">
        <f>HYPERLINK("https://ceds.ed.gov/elementComment.aspx?elementName=Assessment Title &amp;elementID=5028", "Click here to submit comment")</f>
        <v>Click here to submit comment</v>
      </c>
    </row>
    <row r="2103" spans="1:16" ht="409.5">
      <c r="A2103" s="6" t="s">
        <v>6869</v>
      </c>
      <c r="B2103" s="6" t="s">
        <v>6830</v>
      </c>
      <c r="C2103" s="6"/>
      <c r="D2103" s="6" t="s">
        <v>1391</v>
      </c>
      <c r="E2103" s="6" t="s">
        <v>1392</v>
      </c>
      <c r="F2103" s="7" t="s">
        <v>6405</v>
      </c>
      <c r="G2103" s="6" t="s">
        <v>6000</v>
      </c>
      <c r="H2103" s="6"/>
      <c r="I2103" s="6"/>
      <c r="J2103" s="6"/>
      <c r="K2103" s="6"/>
      <c r="L2103" s="6" t="s">
        <v>1393</v>
      </c>
      <c r="M2103" s="6"/>
      <c r="N2103" s="6" t="s">
        <v>1394</v>
      </c>
      <c r="O2103" s="6" t="str">
        <f>HYPERLINK("https://ceds.ed.gov/cedselementdetails.aspx?termid=5029")</f>
        <v>https://ceds.ed.gov/cedselementdetails.aspx?termid=5029</v>
      </c>
      <c r="P2103" s="6" t="str">
        <f>HYPERLINK("https://ceds.ed.gov/elementComment.aspx?elementName=Assessment Type &amp;elementID=5029", "Click here to submit comment")</f>
        <v>Click here to submit comment</v>
      </c>
    </row>
    <row r="2104" spans="1:16" ht="405">
      <c r="A2104" s="6" t="s">
        <v>6869</v>
      </c>
      <c r="B2104" s="6" t="s">
        <v>6830</v>
      </c>
      <c r="C2104" s="6"/>
      <c r="D2104" s="6" t="s">
        <v>395</v>
      </c>
      <c r="E2104" s="6" t="s">
        <v>396</v>
      </c>
      <c r="F2104" s="7" t="s">
        <v>6375</v>
      </c>
      <c r="G2104" s="6" t="s">
        <v>5990</v>
      </c>
      <c r="H2104" s="6"/>
      <c r="I2104" s="6"/>
      <c r="J2104" s="6"/>
      <c r="K2104" s="6"/>
      <c r="L2104" s="6" t="s">
        <v>397</v>
      </c>
      <c r="M2104" s="6"/>
      <c r="N2104" s="6" t="s">
        <v>398</v>
      </c>
      <c r="O2104" s="6" t="str">
        <f>HYPERLINK("https://ceds.ed.gov/cedselementdetails.aspx?termid=5021")</f>
        <v>https://ceds.ed.gov/cedselementdetails.aspx?termid=5021</v>
      </c>
      <c r="P2104" s="6" t="str">
        <f>HYPERLINK("https://ceds.ed.gov/elementComment.aspx?elementName=Assessment Academic Subject &amp;elementID=5021", "Click here to submit comment")</f>
        <v>Click here to submit comment</v>
      </c>
    </row>
    <row r="2105" spans="1:16" ht="409.5">
      <c r="A2105" s="6" t="s">
        <v>6869</v>
      </c>
      <c r="B2105" s="6" t="s">
        <v>6830</v>
      </c>
      <c r="C2105" s="6"/>
      <c r="D2105" s="6" t="s">
        <v>1156</v>
      </c>
      <c r="E2105" s="6" t="s">
        <v>1157</v>
      </c>
      <c r="F2105" s="7" t="s">
        <v>6399</v>
      </c>
      <c r="G2105" s="6" t="s">
        <v>6000</v>
      </c>
      <c r="H2105" s="6"/>
      <c r="I2105" s="6"/>
      <c r="J2105" s="6"/>
      <c r="K2105" s="6" t="s">
        <v>1158</v>
      </c>
      <c r="L2105" s="6" t="s">
        <v>1159</v>
      </c>
      <c r="M2105" s="6"/>
      <c r="N2105" s="6" t="s">
        <v>1160</v>
      </c>
      <c r="O2105" s="6" t="str">
        <f>HYPERLINK("https://ceds.ed.gov/cedselementdetails.aspx?termid=5026")</f>
        <v>https://ceds.ed.gov/cedselementdetails.aspx?termid=5026</v>
      </c>
      <c r="P2105" s="6" t="str">
        <f>HYPERLINK("https://ceds.ed.gov/elementComment.aspx?elementName=Assessment Purpose &amp;elementID=5026", "Click here to submit comment")</f>
        <v>Click here to submit comment</v>
      </c>
    </row>
    <row r="2106" spans="1:16" ht="150">
      <c r="A2106" s="6" t="s">
        <v>6869</v>
      </c>
      <c r="B2106" s="6" t="s">
        <v>6830</v>
      </c>
      <c r="C2106" s="6"/>
      <c r="D2106" s="6" t="s">
        <v>514</v>
      </c>
      <c r="E2106" s="6" t="s">
        <v>515</v>
      </c>
      <c r="F2106" s="6" t="s">
        <v>13</v>
      </c>
      <c r="G2106" s="6" t="s">
        <v>6006</v>
      </c>
      <c r="H2106" s="6"/>
      <c r="I2106" s="6" t="s">
        <v>149</v>
      </c>
      <c r="J2106" s="6"/>
      <c r="K2106" s="6"/>
      <c r="L2106" s="6" t="s">
        <v>516</v>
      </c>
      <c r="M2106" s="6"/>
      <c r="N2106" s="6" t="s">
        <v>517</v>
      </c>
      <c r="O2106" s="6" t="str">
        <f>HYPERLINK("https://ceds.ed.gov/cedselementdetails.aspx?termid=5024")</f>
        <v>https://ceds.ed.gov/cedselementdetails.aspx?termid=5024</v>
      </c>
      <c r="P2106" s="6" t="str">
        <f>HYPERLINK("https://ceds.ed.gov/elementComment.aspx?elementName=Assessment Form Name &amp;elementID=5024", "Click here to submit comment")</f>
        <v>Click here to submit comment</v>
      </c>
    </row>
    <row r="2107" spans="1:16" ht="225">
      <c r="A2107" s="6" t="s">
        <v>6869</v>
      </c>
      <c r="B2107" s="6" t="s">
        <v>6830</v>
      </c>
      <c r="C2107" s="6"/>
      <c r="D2107" s="6" t="s">
        <v>487</v>
      </c>
      <c r="E2107" s="6" t="s">
        <v>488</v>
      </c>
      <c r="F2107" s="7" t="s">
        <v>6380</v>
      </c>
      <c r="G2107" s="6" t="s">
        <v>6000</v>
      </c>
      <c r="H2107" s="6"/>
      <c r="I2107" s="6"/>
      <c r="J2107" s="6"/>
      <c r="K2107" s="6"/>
      <c r="L2107" s="6" t="s">
        <v>489</v>
      </c>
      <c r="M2107" s="6"/>
      <c r="N2107" s="6" t="s">
        <v>490</v>
      </c>
      <c r="O2107" s="6" t="str">
        <f>HYPERLINK("https://ceds.ed.gov/cedselementdetails.aspx?termid=5598")</f>
        <v>https://ceds.ed.gov/cedselementdetails.aspx?termid=5598</v>
      </c>
      <c r="P2107" s="6" t="str">
        <f>HYPERLINK("https://ceds.ed.gov/elementComment.aspx?elementName=Assessment Content Standard Type &amp;elementID=5598", "Click here to submit comment")</f>
        <v>Click here to submit comment</v>
      </c>
    </row>
    <row r="2108" spans="1:16" ht="45">
      <c r="A2108" s="6" t="s">
        <v>6869</v>
      </c>
      <c r="B2108" s="6" t="s">
        <v>6830</v>
      </c>
      <c r="C2108" s="6"/>
      <c r="D2108" s="6" t="s">
        <v>1302</v>
      </c>
      <c r="E2108" s="6" t="s">
        <v>1303</v>
      </c>
      <c r="F2108" s="6" t="s">
        <v>13</v>
      </c>
      <c r="G2108" s="6" t="s">
        <v>6064</v>
      </c>
      <c r="H2108" s="6"/>
      <c r="I2108" s="6" t="s">
        <v>100</v>
      </c>
      <c r="J2108" s="6"/>
      <c r="K2108" s="6"/>
      <c r="L2108" s="6" t="s">
        <v>1304</v>
      </c>
      <c r="M2108" s="6"/>
      <c r="N2108" s="6" t="s">
        <v>1305</v>
      </c>
      <c r="O2108" s="6" t="str">
        <f>HYPERLINK("https://ceds.ed.gov/cedselementdetails.aspx?termid=5366")</f>
        <v>https://ceds.ed.gov/cedselementdetails.aspx?termid=5366</v>
      </c>
      <c r="P2108" s="6" t="str">
        <f>HYPERLINK("https://ceds.ed.gov/elementComment.aspx?elementName=Assessment Subtest Identifier &amp;elementID=5366", "Click here to submit comment")</f>
        <v>Click here to submit comment</v>
      </c>
    </row>
    <row r="2109" spans="1:16" ht="165">
      <c r="A2109" s="6" t="s">
        <v>6869</v>
      </c>
      <c r="B2109" s="6" t="s">
        <v>6830</v>
      </c>
      <c r="C2109" s="6"/>
      <c r="D2109" s="6" t="s">
        <v>1379</v>
      </c>
      <c r="E2109" s="6" t="s">
        <v>1380</v>
      </c>
      <c r="F2109" s="6" t="s">
        <v>13</v>
      </c>
      <c r="G2109" s="6" t="s">
        <v>6073</v>
      </c>
      <c r="H2109" s="6"/>
      <c r="I2109" s="6" t="s">
        <v>106</v>
      </c>
      <c r="J2109" s="6"/>
      <c r="K2109" s="6"/>
      <c r="L2109" s="6" t="s">
        <v>1381</v>
      </c>
      <c r="M2109" s="6"/>
      <c r="N2109" s="6" t="s">
        <v>1382</v>
      </c>
      <c r="O2109" s="6" t="str">
        <f>HYPERLINK("https://ceds.ed.gov/cedselementdetails.aspx?termid=5275")</f>
        <v>https://ceds.ed.gov/cedselementdetails.aspx?termid=5275</v>
      </c>
      <c r="P2109" s="6" t="str">
        <f>HYPERLINK("https://ceds.ed.gov/elementComment.aspx?elementName=Assessment Subtest Title &amp;elementID=5275", "Click here to submit comment")</f>
        <v>Click here to submit comment</v>
      </c>
    </row>
    <row r="2110" spans="1:16" ht="45">
      <c r="A2110" s="6" t="s">
        <v>6869</v>
      </c>
      <c r="B2110" s="6" t="s">
        <v>6830</v>
      </c>
      <c r="C2110" s="6"/>
      <c r="D2110" s="6" t="s">
        <v>1294</v>
      </c>
      <c r="E2110" s="6" t="s">
        <v>1295</v>
      </c>
      <c r="F2110" s="6" t="s">
        <v>13</v>
      </c>
      <c r="G2110" s="6" t="s">
        <v>6063</v>
      </c>
      <c r="H2110" s="6"/>
      <c r="I2110" s="6" t="s">
        <v>100</v>
      </c>
      <c r="J2110" s="6"/>
      <c r="K2110" s="6"/>
      <c r="L2110" s="6" t="s">
        <v>1296</v>
      </c>
      <c r="M2110" s="6"/>
      <c r="N2110" s="6" t="s">
        <v>1297</v>
      </c>
      <c r="O2110" s="6" t="str">
        <f>HYPERLINK("https://ceds.ed.gov/cedselementdetails.aspx?termid=5367")</f>
        <v>https://ceds.ed.gov/cedselementdetails.aspx?termid=5367</v>
      </c>
      <c r="P2110" s="6" t="str">
        <f>HYPERLINK("https://ceds.ed.gov/elementComment.aspx?elementName=Assessment Subtest Abbreviation &amp;elementID=5367", "Click here to submit comment")</f>
        <v>Click here to submit comment</v>
      </c>
    </row>
    <row r="2111" spans="1:16" ht="150">
      <c r="A2111" s="6" t="s">
        <v>6869</v>
      </c>
      <c r="B2111" s="6" t="s">
        <v>6830</v>
      </c>
      <c r="C2111" s="6"/>
      <c r="D2111" s="6" t="s">
        <v>1298</v>
      </c>
      <c r="E2111" s="6" t="s">
        <v>1299</v>
      </c>
      <c r="F2111" s="6" t="s">
        <v>13</v>
      </c>
      <c r="G2111" s="6" t="s">
        <v>6006</v>
      </c>
      <c r="H2111" s="6"/>
      <c r="I2111" s="6" t="s">
        <v>106</v>
      </c>
      <c r="J2111" s="6"/>
      <c r="K2111" s="6"/>
      <c r="L2111" s="6" t="s">
        <v>1300</v>
      </c>
      <c r="M2111" s="6"/>
      <c r="N2111" s="6" t="s">
        <v>1301</v>
      </c>
      <c r="O2111" s="6" t="str">
        <f>HYPERLINK("https://ceds.ed.gov/cedselementdetails.aspx?termid=5274")</f>
        <v>https://ceds.ed.gov/cedselementdetails.aspx?termid=5274</v>
      </c>
      <c r="P2111" s="6" t="str">
        <f>HYPERLINK("https://ceds.ed.gov/elementComment.aspx?elementName=Assessment Subtest Description &amp;elementID=5274", "Click here to submit comment")</f>
        <v>Click here to submit comment</v>
      </c>
    </row>
    <row r="2112" spans="1:16" ht="45">
      <c r="A2112" s="6" t="s">
        <v>6869</v>
      </c>
      <c r="B2112" s="6" t="s">
        <v>6830</v>
      </c>
      <c r="C2112" s="6"/>
      <c r="D2112" s="6" t="s">
        <v>1383</v>
      </c>
      <c r="E2112" s="6" t="s">
        <v>1384</v>
      </c>
      <c r="F2112" s="6" t="s">
        <v>13</v>
      </c>
      <c r="G2112" s="6" t="s">
        <v>6064</v>
      </c>
      <c r="H2112" s="6"/>
      <c r="I2112" s="6" t="s">
        <v>100</v>
      </c>
      <c r="J2112" s="6"/>
      <c r="K2112" s="6"/>
      <c r="L2112" s="6" t="s">
        <v>1385</v>
      </c>
      <c r="M2112" s="6"/>
      <c r="N2112" s="6" t="s">
        <v>1386</v>
      </c>
      <c r="O2112" s="6" t="str">
        <f>HYPERLINK("https://ceds.ed.gov/cedselementdetails.aspx?termid=5379")</f>
        <v>https://ceds.ed.gov/cedselementdetails.aspx?termid=5379</v>
      </c>
      <c r="P2112" s="6" t="str">
        <f>HYPERLINK("https://ceds.ed.gov/elementComment.aspx?elementName=Assessment Subtest Version &amp;elementID=5379", "Click here to submit comment")</f>
        <v>Click here to submit comment</v>
      </c>
    </row>
    <row r="2113" spans="1:16" ht="409.5">
      <c r="A2113" s="6" t="s">
        <v>6869</v>
      </c>
      <c r="B2113" s="6" t="s">
        <v>6830</v>
      </c>
      <c r="C2113" s="6"/>
      <c r="D2113" s="6" t="s">
        <v>1375</v>
      </c>
      <c r="E2113" s="6" t="s">
        <v>1376</v>
      </c>
      <c r="F2113" s="7" t="s">
        <v>6398</v>
      </c>
      <c r="G2113" s="6" t="s">
        <v>6064</v>
      </c>
      <c r="H2113" s="6"/>
      <c r="I2113" s="6"/>
      <c r="J2113" s="6"/>
      <c r="K2113" s="6"/>
      <c r="L2113" s="6" t="s">
        <v>1377</v>
      </c>
      <c r="M2113" s="6"/>
      <c r="N2113" s="6" t="s">
        <v>1378</v>
      </c>
      <c r="O2113" s="6" t="str">
        <f>HYPERLINK("https://ceds.ed.gov/cedselementdetails.aspx?termid=5368")</f>
        <v>https://ceds.ed.gov/cedselementdetails.aspx?termid=5368</v>
      </c>
      <c r="P2113" s="6" t="str">
        <f>HYPERLINK("https://ceds.ed.gov/elementComment.aspx?elementName=Assessment Subtest Score Metric Type &amp;elementID=5368", "Click here to submit comment")</f>
        <v>Click here to submit comment</v>
      </c>
    </row>
    <row r="2114" spans="1:16" ht="195">
      <c r="A2114" s="6" t="s">
        <v>6869</v>
      </c>
      <c r="B2114" s="6" t="s">
        <v>6830</v>
      </c>
      <c r="C2114" s="6"/>
      <c r="D2114" s="6" t="s">
        <v>1366</v>
      </c>
      <c r="E2114" s="6" t="s">
        <v>1367</v>
      </c>
      <c r="F2114" s="6" t="s">
        <v>13</v>
      </c>
      <c r="G2114" s="6" t="s">
        <v>6071</v>
      </c>
      <c r="H2114" s="6"/>
      <c r="I2114" s="6" t="s">
        <v>1368</v>
      </c>
      <c r="J2114" s="6"/>
      <c r="K2114" s="6"/>
      <c r="L2114" s="6" t="s">
        <v>1369</v>
      </c>
      <c r="M2114" s="6"/>
      <c r="N2114" s="6" t="s">
        <v>1370</v>
      </c>
      <c r="O2114" s="6" t="str">
        <f>HYPERLINK("https://ceds.ed.gov/cedselementdetails.aspx?termid=5245")</f>
        <v>https://ceds.ed.gov/cedselementdetails.aspx?termid=5245</v>
      </c>
      <c r="P2114" s="6" t="str">
        <f>HYPERLINK("https://ceds.ed.gov/elementComment.aspx?elementName=Assessment Subtest Result Score Value &amp;elementID=5245", "Click here to submit comment")</f>
        <v>Click here to submit comment</v>
      </c>
    </row>
    <row r="2115" spans="1:16" ht="195">
      <c r="A2115" s="6" t="s">
        <v>6869</v>
      </c>
      <c r="B2115" s="6" t="s">
        <v>6741</v>
      </c>
      <c r="C2115" s="6" t="s">
        <v>6717</v>
      </c>
      <c r="D2115" s="6" t="s">
        <v>2776</v>
      </c>
      <c r="E2115" s="6" t="s">
        <v>2777</v>
      </c>
      <c r="F2115" s="6" t="s">
        <v>13</v>
      </c>
      <c r="G2115" s="6" t="s">
        <v>6176</v>
      </c>
      <c r="H2115" s="6" t="s">
        <v>3</v>
      </c>
      <c r="I2115" s="6" t="s">
        <v>1368</v>
      </c>
      <c r="J2115" s="6"/>
      <c r="K2115" s="6" t="s">
        <v>2778</v>
      </c>
      <c r="L2115" s="6" t="s">
        <v>2779</v>
      </c>
      <c r="M2115" s="6"/>
      <c r="N2115" s="6" t="s">
        <v>2780</v>
      </c>
      <c r="O2115" s="6" t="str">
        <f>HYPERLINK("https://ceds.ed.gov/cedselementdetails.aspx?termid=5115")</f>
        <v>https://ceds.ed.gov/cedselementdetails.aspx?termid=5115</v>
      </c>
      <c r="P2115" s="6" t="str">
        <f>HYPERLINK("https://ceds.ed.gov/elementComment.aspx?elementName=First Name &amp;elementID=5115", "Click here to submit comment")</f>
        <v>Click here to submit comment</v>
      </c>
    </row>
    <row r="2116" spans="1:16" ht="195">
      <c r="A2116" s="6" t="s">
        <v>6869</v>
      </c>
      <c r="B2116" s="6" t="s">
        <v>6741</v>
      </c>
      <c r="C2116" s="6" t="s">
        <v>6717</v>
      </c>
      <c r="D2116" s="6" t="s">
        <v>4088</v>
      </c>
      <c r="E2116" s="6" t="s">
        <v>4089</v>
      </c>
      <c r="F2116" s="6" t="s">
        <v>13</v>
      </c>
      <c r="G2116" s="6" t="s">
        <v>6176</v>
      </c>
      <c r="H2116" s="6" t="s">
        <v>3</v>
      </c>
      <c r="I2116" s="6" t="s">
        <v>1368</v>
      </c>
      <c r="J2116" s="6"/>
      <c r="K2116" s="6" t="s">
        <v>2778</v>
      </c>
      <c r="L2116" s="6" t="s">
        <v>4090</v>
      </c>
      <c r="M2116" s="6"/>
      <c r="N2116" s="6" t="s">
        <v>4091</v>
      </c>
      <c r="O2116" s="6" t="str">
        <f>HYPERLINK("https://ceds.ed.gov/cedselementdetails.aspx?termid=5184")</f>
        <v>https://ceds.ed.gov/cedselementdetails.aspx?termid=5184</v>
      </c>
      <c r="P2116" s="6" t="str">
        <f>HYPERLINK("https://ceds.ed.gov/elementComment.aspx?elementName=Middle Name &amp;elementID=5184", "Click here to submit comment")</f>
        <v>Click here to submit comment</v>
      </c>
    </row>
    <row r="2117" spans="1:16" ht="195">
      <c r="A2117" s="6" t="s">
        <v>6869</v>
      </c>
      <c r="B2117" s="6" t="s">
        <v>6741</v>
      </c>
      <c r="C2117" s="6" t="s">
        <v>6717</v>
      </c>
      <c r="D2117" s="6" t="s">
        <v>3427</v>
      </c>
      <c r="E2117" s="6" t="s">
        <v>3428</v>
      </c>
      <c r="F2117" s="6" t="s">
        <v>13</v>
      </c>
      <c r="G2117" s="6" t="s">
        <v>6176</v>
      </c>
      <c r="H2117" s="6" t="s">
        <v>3</v>
      </c>
      <c r="I2117" s="6" t="s">
        <v>1368</v>
      </c>
      <c r="J2117" s="6"/>
      <c r="K2117" s="6" t="s">
        <v>2778</v>
      </c>
      <c r="L2117" s="6" t="s">
        <v>3429</v>
      </c>
      <c r="M2117" s="6" t="s">
        <v>3430</v>
      </c>
      <c r="N2117" s="6" t="s">
        <v>3431</v>
      </c>
      <c r="O2117" s="6" t="str">
        <f>HYPERLINK("https://ceds.ed.gov/cedselementdetails.aspx?termid=5172")</f>
        <v>https://ceds.ed.gov/cedselementdetails.aspx?termid=5172</v>
      </c>
      <c r="P2117" s="6" t="str">
        <f>HYPERLINK("https://ceds.ed.gov/elementComment.aspx?elementName=Last or Surname &amp;elementID=5172", "Click here to submit comment")</f>
        <v>Click here to submit comment</v>
      </c>
    </row>
    <row r="2118" spans="1:16" ht="150">
      <c r="A2118" s="6" t="s">
        <v>6869</v>
      </c>
      <c r="B2118" s="6" t="s">
        <v>6741</v>
      </c>
      <c r="C2118" s="6" t="s">
        <v>6717</v>
      </c>
      <c r="D2118" s="6" t="s">
        <v>2829</v>
      </c>
      <c r="E2118" s="6" t="s">
        <v>2830</v>
      </c>
      <c r="F2118" s="6" t="s">
        <v>13</v>
      </c>
      <c r="G2118" s="6" t="s">
        <v>6179</v>
      </c>
      <c r="H2118" s="6" t="s">
        <v>3</v>
      </c>
      <c r="I2118" s="6" t="s">
        <v>2031</v>
      </c>
      <c r="J2118" s="6"/>
      <c r="K2118" s="6" t="s">
        <v>2778</v>
      </c>
      <c r="L2118" s="6" t="s">
        <v>2831</v>
      </c>
      <c r="M2118" s="6"/>
      <c r="N2118" s="6" t="s">
        <v>2832</v>
      </c>
      <c r="O2118" s="6" t="str">
        <f>HYPERLINK("https://ceds.ed.gov/cedselementdetails.aspx?termid=5121")</f>
        <v>https://ceds.ed.gov/cedselementdetails.aspx?termid=5121</v>
      </c>
      <c r="P2118" s="6" t="str">
        <f>HYPERLINK("https://ceds.ed.gov/elementComment.aspx?elementName=Generation Code or Suffix &amp;elementID=5121", "Click here to submit comment")</f>
        <v>Click here to submit comment</v>
      </c>
    </row>
    <row r="2119" spans="1:16" ht="105">
      <c r="A2119" s="6" t="s">
        <v>6869</v>
      </c>
      <c r="B2119" s="6" t="s">
        <v>6741</v>
      </c>
      <c r="C2119" s="6" t="s">
        <v>6717</v>
      </c>
      <c r="D2119" s="6" t="s">
        <v>4498</v>
      </c>
      <c r="E2119" s="6" t="s">
        <v>4499</v>
      </c>
      <c r="F2119" s="6" t="s">
        <v>13</v>
      </c>
      <c r="G2119" s="6" t="s">
        <v>6280</v>
      </c>
      <c r="H2119" s="6" t="s">
        <v>3</v>
      </c>
      <c r="I2119" s="6" t="s">
        <v>100</v>
      </c>
      <c r="J2119" s="6"/>
      <c r="K2119" s="6"/>
      <c r="L2119" s="6" t="s">
        <v>4500</v>
      </c>
      <c r="M2119" s="6" t="s">
        <v>4501</v>
      </c>
      <c r="N2119" s="6" t="s">
        <v>4502</v>
      </c>
      <c r="O2119" s="6" t="str">
        <f>HYPERLINK("https://ceds.ed.gov/cedselementdetails.aspx?termid=5212")</f>
        <v>https://ceds.ed.gov/cedselementdetails.aspx?termid=5212</v>
      </c>
      <c r="P2119" s="6" t="str">
        <f>HYPERLINK("https://ceds.ed.gov/elementComment.aspx?elementName=Personal Title or Prefix &amp;elementID=5212", "Click here to submit comment")</f>
        <v>Click here to submit comment</v>
      </c>
    </row>
    <row r="2120" spans="1:16" ht="30">
      <c r="A2120" s="6" t="s">
        <v>6869</v>
      </c>
      <c r="B2120" s="6" t="s">
        <v>6741</v>
      </c>
      <c r="C2120" s="6" t="s">
        <v>6718</v>
      </c>
      <c r="D2120" s="6" t="s">
        <v>4375</v>
      </c>
      <c r="E2120" s="6" t="s">
        <v>4376</v>
      </c>
      <c r="F2120" s="6" t="s">
        <v>13</v>
      </c>
      <c r="G2120" s="6"/>
      <c r="H2120" s="6" t="s">
        <v>54</v>
      </c>
      <c r="I2120" s="6" t="s">
        <v>1368</v>
      </c>
      <c r="J2120" s="6"/>
      <c r="K2120" s="6" t="s">
        <v>4377</v>
      </c>
      <c r="L2120" s="6" t="s">
        <v>4378</v>
      </c>
      <c r="M2120" s="6"/>
      <c r="N2120" s="6" t="s">
        <v>4379</v>
      </c>
      <c r="O2120" s="6" t="str">
        <f>HYPERLINK("https://ceds.ed.gov/cedselementdetails.aspx?termid=6486")</f>
        <v>https://ceds.ed.gov/cedselementdetails.aspx?termid=6486</v>
      </c>
      <c r="P2120" s="6" t="str">
        <f>HYPERLINK("https://ceds.ed.gov/elementComment.aspx?elementName=Other First Name &amp;elementID=6486", "Click here to submit comment")</f>
        <v>Click here to submit comment</v>
      </c>
    </row>
    <row r="2121" spans="1:16" ht="30">
      <c r="A2121" s="6" t="s">
        <v>6869</v>
      </c>
      <c r="B2121" s="6" t="s">
        <v>6741</v>
      </c>
      <c r="C2121" s="6" t="s">
        <v>6718</v>
      </c>
      <c r="D2121" s="6" t="s">
        <v>4380</v>
      </c>
      <c r="E2121" s="6" t="s">
        <v>4381</v>
      </c>
      <c r="F2121" s="6" t="s">
        <v>13</v>
      </c>
      <c r="G2121" s="6"/>
      <c r="H2121" s="6" t="s">
        <v>54</v>
      </c>
      <c r="I2121" s="6" t="s">
        <v>1368</v>
      </c>
      <c r="J2121" s="6"/>
      <c r="K2121" s="6" t="s">
        <v>4382</v>
      </c>
      <c r="L2121" s="6" t="s">
        <v>4383</v>
      </c>
      <c r="M2121" s="6"/>
      <c r="N2121" s="6" t="s">
        <v>4384</v>
      </c>
      <c r="O2121" s="6" t="str">
        <f>HYPERLINK("https://ceds.ed.gov/cedselementdetails.aspx?termid=6485")</f>
        <v>https://ceds.ed.gov/cedselementdetails.aspx?termid=6485</v>
      </c>
      <c r="P2121" s="6" t="str">
        <f>HYPERLINK("https://ceds.ed.gov/elementComment.aspx?elementName=Other Last Name &amp;elementID=6485", "Click here to submit comment")</f>
        <v>Click here to submit comment</v>
      </c>
    </row>
    <row r="2122" spans="1:16" ht="30">
      <c r="A2122" s="6" t="s">
        <v>6869</v>
      </c>
      <c r="B2122" s="6" t="s">
        <v>6741</v>
      </c>
      <c r="C2122" s="6" t="s">
        <v>6718</v>
      </c>
      <c r="D2122" s="6" t="s">
        <v>4385</v>
      </c>
      <c r="E2122" s="6" t="s">
        <v>4386</v>
      </c>
      <c r="F2122" s="6" t="s">
        <v>13</v>
      </c>
      <c r="G2122" s="6"/>
      <c r="H2122" s="6" t="s">
        <v>54</v>
      </c>
      <c r="I2122" s="6" t="s">
        <v>1368</v>
      </c>
      <c r="J2122" s="6"/>
      <c r="K2122" s="6" t="s">
        <v>4387</v>
      </c>
      <c r="L2122" s="6" t="s">
        <v>4388</v>
      </c>
      <c r="M2122" s="6"/>
      <c r="N2122" s="6" t="s">
        <v>4389</v>
      </c>
      <c r="O2122" s="6" t="str">
        <f>HYPERLINK("https://ceds.ed.gov/cedselementdetails.aspx?termid=6487")</f>
        <v>https://ceds.ed.gov/cedselementdetails.aspx?termid=6487</v>
      </c>
      <c r="P2122" s="6" t="str">
        <f>HYPERLINK("https://ceds.ed.gov/elementComment.aspx?elementName=Other Middle Name &amp;elementID=6487", "Click here to submit comment")</f>
        <v>Click here to submit comment</v>
      </c>
    </row>
    <row r="2123" spans="1:16" ht="150">
      <c r="A2123" s="6" t="s">
        <v>6869</v>
      </c>
      <c r="B2123" s="6" t="s">
        <v>6741</v>
      </c>
      <c r="C2123" s="6" t="s">
        <v>6718</v>
      </c>
      <c r="D2123" s="6" t="s">
        <v>4390</v>
      </c>
      <c r="E2123" s="6" t="s">
        <v>4391</v>
      </c>
      <c r="F2123" s="6" t="s">
        <v>13</v>
      </c>
      <c r="G2123" s="6" t="s">
        <v>6179</v>
      </c>
      <c r="H2123" s="6" t="s">
        <v>3</v>
      </c>
      <c r="I2123" s="6" t="s">
        <v>149</v>
      </c>
      <c r="J2123" s="6"/>
      <c r="K2123" s="6"/>
      <c r="L2123" s="6" t="s">
        <v>4392</v>
      </c>
      <c r="M2123" s="6"/>
      <c r="N2123" s="6" t="s">
        <v>4393</v>
      </c>
      <c r="O2123" s="6" t="str">
        <f>HYPERLINK("https://ceds.ed.gov/cedselementdetails.aspx?termid=5206")</f>
        <v>https://ceds.ed.gov/cedselementdetails.aspx?termid=5206</v>
      </c>
      <c r="P2123" s="6" t="str">
        <f>HYPERLINK("https://ceds.ed.gov/elementComment.aspx?elementName=Other Name &amp;elementID=5206", "Click here to submit comment")</f>
        <v>Click here to submit comment</v>
      </c>
    </row>
    <row r="2124" spans="1:16" ht="90">
      <c r="A2124" s="6" t="s">
        <v>6869</v>
      </c>
      <c r="B2124" s="6" t="s">
        <v>6741</v>
      </c>
      <c r="C2124" s="6" t="s">
        <v>6718</v>
      </c>
      <c r="D2124" s="6" t="s">
        <v>4394</v>
      </c>
      <c r="E2124" s="6" t="s">
        <v>4395</v>
      </c>
      <c r="F2124" s="7" t="s">
        <v>6593</v>
      </c>
      <c r="G2124" s="6" t="s">
        <v>6273</v>
      </c>
      <c r="H2124" s="6" t="s">
        <v>3</v>
      </c>
      <c r="I2124" s="6" t="s">
        <v>100</v>
      </c>
      <c r="J2124" s="6"/>
      <c r="K2124" s="6"/>
      <c r="L2124" s="6" t="s">
        <v>4396</v>
      </c>
      <c r="M2124" s="6"/>
      <c r="N2124" s="6" t="s">
        <v>4397</v>
      </c>
      <c r="O2124" s="6" t="str">
        <f>HYPERLINK("https://ceds.ed.gov/cedselementdetails.aspx?termid=5627")</f>
        <v>https://ceds.ed.gov/cedselementdetails.aspx?termid=5627</v>
      </c>
      <c r="P2124" s="6" t="str">
        <f>HYPERLINK("https://ceds.ed.gov/elementComment.aspx?elementName=Other Name Type &amp;elementID=5627", "Click here to submit comment")</f>
        <v>Click here to submit comment</v>
      </c>
    </row>
    <row r="2125" spans="1:16" ht="390">
      <c r="A2125" s="6" t="s">
        <v>6869</v>
      </c>
      <c r="B2125" s="6" t="s">
        <v>6741</v>
      </c>
      <c r="C2125" s="6" t="s">
        <v>6719</v>
      </c>
      <c r="D2125" s="6" t="s">
        <v>5383</v>
      </c>
      <c r="E2125" s="6" t="s">
        <v>5384</v>
      </c>
      <c r="F2125" s="6" t="s">
        <v>13</v>
      </c>
      <c r="G2125" s="6" t="s">
        <v>6315</v>
      </c>
      <c r="H2125" s="6" t="s">
        <v>3</v>
      </c>
      <c r="I2125" s="6" t="s">
        <v>5385</v>
      </c>
      <c r="J2125" s="6"/>
      <c r="K2125" s="6" t="s">
        <v>5386</v>
      </c>
      <c r="L2125" s="6" t="s">
        <v>5387</v>
      </c>
      <c r="M2125" s="6" t="s">
        <v>5388</v>
      </c>
      <c r="N2125" s="6" t="s">
        <v>5389</v>
      </c>
      <c r="O2125" s="6" t="str">
        <f>HYPERLINK("https://ceds.ed.gov/cedselementdetails.aspx?termid=5259")</f>
        <v>https://ceds.ed.gov/cedselementdetails.aspx?termid=5259</v>
      </c>
      <c r="P2125" s="6" t="str">
        <f>HYPERLINK("https://ceds.ed.gov/elementComment.aspx?elementName=Social Security Number &amp;elementID=5259", "Click here to submit comment")</f>
        <v>Click here to submit comment</v>
      </c>
    </row>
    <row r="2126" spans="1:16" ht="375">
      <c r="A2126" s="6" t="s">
        <v>6869</v>
      </c>
      <c r="B2126" s="6" t="s">
        <v>6741</v>
      </c>
      <c r="C2126" s="6" t="s">
        <v>6719</v>
      </c>
      <c r="D2126" s="6" t="s">
        <v>4494</v>
      </c>
      <c r="E2126" s="6" t="s">
        <v>4495</v>
      </c>
      <c r="F2126" s="7" t="s">
        <v>6599</v>
      </c>
      <c r="G2126" s="6"/>
      <c r="H2126" s="6" t="s">
        <v>3</v>
      </c>
      <c r="I2126" s="6"/>
      <c r="J2126" s="6"/>
      <c r="K2126" s="6"/>
      <c r="L2126" s="6" t="s">
        <v>4496</v>
      </c>
      <c r="M2126" s="6"/>
      <c r="N2126" s="6" t="s">
        <v>4497</v>
      </c>
      <c r="O2126" s="6" t="str">
        <f>HYPERLINK("https://ceds.ed.gov/cedselementdetails.aspx?termid=5611")</f>
        <v>https://ceds.ed.gov/cedselementdetails.aspx?termid=5611</v>
      </c>
      <c r="P2126" s="6" t="str">
        <f>HYPERLINK("https://ceds.ed.gov/elementComment.aspx?elementName=Personal Information Verification &amp;elementID=5611", "Click here to submit comment")</f>
        <v>Click here to submit comment</v>
      </c>
    </row>
    <row r="2127" spans="1:16" ht="285">
      <c r="A2127" s="6" t="s">
        <v>6869</v>
      </c>
      <c r="B2127" s="6" t="s">
        <v>6741</v>
      </c>
      <c r="C2127" s="6" t="s">
        <v>6720</v>
      </c>
      <c r="D2127" s="6" t="s">
        <v>191</v>
      </c>
      <c r="E2127" s="6" t="s">
        <v>192</v>
      </c>
      <c r="F2127" s="7" t="s">
        <v>6353</v>
      </c>
      <c r="G2127" s="6" t="s">
        <v>5976</v>
      </c>
      <c r="H2127" s="6" t="s">
        <v>66</v>
      </c>
      <c r="I2127" s="6" t="s">
        <v>100</v>
      </c>
      <c r="J2127" s="6" t="s">
        <v>193</v>
      </c>
      <c r="K2127" s="6"/>
      <c r="L2127" s="6" t="s">
        <v>194</v>
      </c>
      <c r="M2127" s="6"/>
      <c r="N2127" s="6" t="s">
        <v>195</v>
      </c>
      <c r="O2127" s="6" t="str">
        <f>HYPERLINK("https://ceds.ed.gov/cedselementdetails.aspx?termid=5358")</f>
        <v>https://ceds.ed.gov/cedselementdetails.aspx?termid=5358</v>
      </c>
      <c r="P2127" s="6" t="str">
        <f>HYPERLINK("https://ceds.ed.gov/elementComment.aspx?elementName=Address Type for Learner or Family &amp;elementID=5358", "Click here to submit comment")</f>
        <v>Click here to submit comment</v>
      </c>
    </row>
    <row r="2128" spans="1:16" ht="225">
      <c r="A2128" s="6" t="s">
        <v>6869</v>
      </c>
      <c r="B2128" s="6" t="s">
        <v>6741</v>
      </c>
      <c r="C2128" s="6" t="s">
        <v>6720</v>
      </c>
      <c r="D2128" s="6" t="s">
        <v>187</v>
      </c>
      <c r="E2128" s="6" t="s">
        <v>188</v>
      </c>
      <c r="F2128" s="6" t="s">
        <v>13</v>
      </c>
      <c r="G2128" s="6" t="s">
        <v>5973</v>
      </c>
      <c r="H2128" s="6" t="s">
        <v>3</v>
      </c>
      <c r="I2128" s="6" t="s">
        <v>149</v>
      </c>
      <c r="J2128" s="6"/>
      <c r="K2128" s="6"/>
      <c r="L2128" s="6" t="s">
        <v>189</v>
      </c>
      <c r="M2128" s="6"/>
      <c r="N2128" s="6" t="s">
        <v>190</v>
      </c>
      <c r="O2128" s="6" t="str">
        <f>HYPERLINK("https://ceds.ed.gov/cedselementdetails.aspx?termid=5269")</f>
        <v>https://ceds.ed.gov/cedselementdetails.aspx?termid=5269</v>
      </c>
      <c r="P2128" s="6" t="str">
        <f>HYPERLINK("https://ceds.ed.gov/elementComment.aspx?elementName=Address Street Number and Name &amp;elementID=5269", "Click here to submit comment")</f>
        <v>Click here to submit comment</v>
      </c>
    </row>
    <row r="2129" spans="1:16" ht="225">
      <c r="A2129" s="6" t="s">
        <v>6869</v>
      </c>
      <c r="B2129" s="6" t="s">
        <v>6741</v>
      </c>
      <c r="C2129" s="6" t="s">
        <v>6720</v>
      </c>
      <c r="D2129" s="6" t="s">
        <v>170</v>
      </c>
      <c r="E2129" s="6" t="s">
        <v>171</v>
      </c>
      <c r="F2129" s="6" t="s">
        <v>13</v>
      </c>
      <c r="G2129" s="6" t="s">
        <v>5973</v>
      </c>
      <c r="H2129" s="6" t="s">
        <v>3</v>
      </c>
      <c r="I2129" s="6" t="s">
        <v>100</v>
      </c>
      <c r="J2129" s="6"/>
      <c r="K2129" s="6"/>
      <c r="L2129" s="6" t="s">
        <v>172</v>
      </c>
      <c r="M2129" s="6"/>
      <c r="N2129" s="6" t="s">
        <v>173</v>
      </c>
      <c r="O2129" s="6" t="str">
        <f>HYPERLINK("https://ceds.ed.gov/cedselementdetails.aspx?termid=5019")</f>
        <v>https://ceds.ed.gov/cedselementdetails.aspx?termid=5019</v>
      </c>
      <c r="P2129" s="6" t="str">
        <f>HYPERLINK("https://ceds.ed.gov/elementComment.aspx?elementName=Address Apartment Room or Suite Number &amp;elementID=5019", "Click here to submit comment")</f>
        <v>Click here to submit comment</v>
      </c>
    </row>
    <row r="2130" spans="1:16" ht="225">
      <c r="A2130" s="6" t="s">
        <v>6869</v>
      </c>
      <c r="B2130" s="6" t="s">
        <v>6741</v>
      </c>
      <c r="C2130" s="6" t="s">
        <v>6720</v>
      </c>
      <c r="D2130" s="6" t="s">
        <v>174</v>
      </c>
      <c r="E2130" s="6" t="s">
        <v>175</v>
      </c>
      <c r="F2130" s="6" t="s">
        <v>13</v>
      </c>
      <c r="G2130" s="6" t="s">
        <v>5973</v>
      </c>
      <c r="H2130" s="6" t="s">
        <v>3</v>
      </c>
      <c r="I2130" s="6" t="s">
        <v>100</v>
      </c>
      <c r="J2130" s="6"/>
      <c r="K2130" s="6"/>
      <c r="L2130" s="6" t="s">
        <v>176</v>
      </c>
      <c r="M2130" s="6"/>
      <c r="N2130" s="6" t="s">
        <v>177</v>
      </c>
      <c r="O2130" s="6" t="str">
        <f>HYPERLINK("https://ceds.ed.gov/cedselementdetails.aspx?termid=5040")</f>
        <v>https://ceds.ed.gov/cedselementdetails.aspx?termid=5040</v>
      </c>
      <c r="P2130" s="6" t="str">
        <f>HYPERLINK("https://ceds.ed.gov/elementComment.aspx?elementName=Address City &amp;elementID=5040", "Click here to submit comment")</f>
        <v>Click here to submit comment</v>
      </c>
    </row>
    <row r="2131" spans="1:16" ht="409.5">
      <c r="A2131" s="6" t="s">
        <v>6869</v>
      </c>
      <c r="B2131" s="6" t="s">
        <v>6741</v>
      </c>
      <c r="C2131" s="6" t="s">
        <v>6720</v>
      </c>
      <c r="D2131" s="6" t="s">
        <v>5533</v>
      </c>
      <c r="E2131" s="6" t="s">
        <v>5534</v>
      </c>
      <c r="F2131" s="7" t="s">
        <v>6633</v>
      </c>
      <c r="G2131" s="6" t="s">
        <v>6324</v>
      </c>
      <c r="H2131" s="6" t="s">
        <v>3</v>
      </c>
      <c r="I2131" s="6"/>
      <c r="J2131" s="6"/>
      <c r="K2131" s="6"/>
      <c r="L2131" s="6" t="s">
        <v>5535</v>
      </c>
      <c r="M2131" s="6"/>
      <c r="N2131" s="6" t="s">
        <v>5536</v>
      </c>
      <c r="O2131" s="6" t="str">
        <f>HYPERLINK("https://ceds.ed.gov/cedselementdetails.aspx?termid=5267")</f>
        <v>https://ceds.ed.gov/cedselementdetails.aspx?termid=5267</v>
      </c>
      <c r="P2131" s="6" t="str">
        <f>HYPERLINK("https://ceds.ed.gov/elementComment.aspx?elementName=State Abbreviation &amp;elementID=5267", "Click here to submit comment")</f>
        <v>Click here to submit comment</v>
      </c>
    </row>
    <row r="2132" spans="1:16" ht="225">
      <c r="A2132" s="6" t="s">
        <v>6869</v>
      </c>
      <c r="B2132" s="6" t="s">
        <v>6741</v>
      </c>
      <c r="C2132" s="6" t="s">
        <v>6720</v>
      </c>
      <c r="D2132" s="6" t="s">
        <v>182</v>
      </c>
      <c r="E2132" s="6" t="s">
        <v>183</v>
      </c>
      <c r="F2132" s="6" t="s">
        <v>13</v>
      </c>
      <c r="G2132" s="6" t="s">
        <v>5973</v>
      </c>
      <c r="H2132" s="6" t="s">
        <v>3</v>
      </c>
      <c r="I2132" s="6" t="s">
        <v>184</v>
      </c>
      <c r="J2132" s="6"/>
      <c r="K2132" s="6"/>
      <c r="L2132" s="6" t="s">
        <v>185</v>
      </c>
      <c r="M2132" s="6"/>
      <c r="N2132" s="6" t="s">
        <v>186</v>
      </c>
      <c r="O2132" s="6" t="str">
        <f>HYPERLINK("https://ceds.ed.gov/cedselementdetails.aspx?termid=5214")</f>
        <v>https://ceds.ed.gov/cedselementdetails.aspx?termid=5214</v>
      </c>
      <c r="P2132" s="6" t="str">
        <f>HYPERLINK("https://ceds.ed.gov/elementComment.aspx?elementName=Address Postal Code &amp;elementID=5214", "Click here to submit comment")</f>
        <v>Click here to submit comment</v>
      </c>
    </row>
    <row r="2133" spans="1:16" ht="225">
      <c r="A2133" s="6" t="s">
        <v>6869</v>
      </c>
      <c r="B2133" s="6" t="s">
        <v>6741</v>
      </c>
      <c r="C2133" s="6" t="s">
        <v>6720</v>
      </c>
      <c r="D2133" s="6" t="s">
        <v>178</v>
      </c>
      <c r="E2133" s="6" t="s">
        <v>179</v>
      </c>
      <c r="F2133" s="6" t="s">
        <v>13</v>
      </c>
      <c r="G2133" s="6" t="s">
        <v>5973</v>
      </c>
      <c r="H2133" s="6" t="s">
        <v>3</v>
      </c>
      <c r="I2133" s="6" t="s">
        <v>100</v>
      </c>
      <c r="J2133" s="6"/>
      <c r="K2133" s="6"/>
      <c r="L2133" s="6" t="s">
        <v>180</v>
      </c>
      <c r="M2133" s="6"/>
      <c r="N2133" s="6" t="s">
        <v>181</v>
      </c>
      <c r="O2133" s="6" t="str">
        <f>HYPERLINK("https://ceds.ed.gov/cedselementdetails.aspx?termid=5190")</f>
        <v>https://ceds.ed.gov/cedselementdetails.aspx?termid=5190</v>
      </c>
      <c r="P2133" s="6" t="str">
        <f>HYPERLINK("https://ceds.ed.gov/elementComment.aspx?elementName=Address County Name &amp;elementID=5190", "Click here to submit comment")</f>
        <v>Click here to submit comment</v>
      </c>
    </row>
    <row r="2134" spans="1:16" ht="409.5">
      <c r="A2134" s="6" t="s">
        <v>6869</v>
      </c>
      <c r="B2134" s="6" t="s">
        <v>6741</v>
      </c>
      <c r="C2134" s="6" t="s">
        <v>6720</v>
      </c>
      <c r="D2134" s="6" t="s">
        <v>1809</v>
      </c>
      <c r="E2134" s="6" t="s">
        <v>1810</v>
      </c>
      <c r="F2134" s="7" t="s">
        <v>6433</v>
      </c>
      <c r="G2134" s="6" t="s">
        <v>6107</v>
      </c>
      <c r="H2134" s="6" t="s">
        <v>3</v>
      </c>
      <c r="I2134" s="6"/>
      <c r="J2134" s="6"/>
      <c r="K2134" s="6"/>
      <c r="L2134" s="6" t="s">
        <v>1811</v>
      </c>
      <c r="M2134" s="6"/>
      <c r="N2134" s="6" t="s">
        <v>1812</v>
      </c>
      <c r="O2134" s="6" t="str">
        <f>HYPERLINK("https://ceds.ed.gov/cedselementdetails.aspx?termid=5050")</f>
        <v>https://ceds.ed.gov/cedselementdetails.aspx?termid=5050</v>
      </c>
      <c r="P2134" s="6" t="str">
        <f>HYPERLINK("https://ceds.ed.gov/elementComment.aspx?elementName=Country Code &amp;elementID=5050", "Click here to submit comment")</f>
        <v>Click here to submit comment</v>
      </c>
    </row>
    <row r="2135" spans="1:16" ht="135">
      <c r="A2135" s="6" t="s">
        <v>6869</v>
      </c>
      <c r="B2135" s="6" t="s">
        <v>6741</v>
      </c>
      <c r="C2135" s="6" t="s">
        <v>6721</v>
      </c>
      <c r="D2135" s="6" t="s">
        <v>5732</v>
      </c>
      <c r="E2135" s="6" t="s">
        <v>5733</v>
      </c>
      <c r="F2135" s="7" t="s">
        <v>6675</v>
      </c>
      <c r="G2135" s="6" t="s">
        <v>5968</v>
      </c>
      <c r="H2135" s="6" t="s">
        <v>3</v>
      </c>
      <c r="I2135" s="6" t="s">
        <v>2844</v>
      </c>
      <c r="J2135" s="6"/>
      <c r="K2135" s="6"/>
      <c r="L2135" s="6" t="s">
        <v>5734</v>
      </c>
      <c r="M2135" s="6"/>
      <c r="N2135" s="6" t="s">
        <v>5735</v>
      </c>
      <c r="O2135" s="6" t="str">
        <f>HYPERLINK("https://ceds.ed.gov/cedselementdetails.aspx?termid=5280")</f>
        <v>https://ceds.ed.gov/cedselementdetails.aspx?termid=5280</v>
      </c>
      <c r="P2135" s="6" t="str">
        <f>HYPERLINK("https://ceds.ed.gov/elementComment.aspx?elementName=Telephone Number Type &amp;elementID=5280", "Click here to submit comment")</f>
        <v>Click here to submit comment</v>
      </c>
    </row>
    <row r="2136" spans="1:16" ht="90">
      <c r="A2136" s="6" t="s">
        <v>6869</v>
      </c>
      <c r="B2136" s="6" t="s">
        <v>6741</v>
      </c>
      <c r="C2136" s="6" t="s">
        <v>6721</v>
      </c>
      <c r="D2136" s="6" t="s">
        <v>4591</v>
      </c>
      <c r="E2136" s="6" t="s">
        <v>4592</v>
      </c>
      <c r="F2136" s="6" t="s">
        <v>5963</v>
      </c>
      <c r="G2136" s="6" t="s">
        <v>5968</v>
      </c>
      <c r="H2136" s="6" t="s">
        <v>3</v>
      </c>
      <c r="I2136" s="6"/>
      <c r="J2136" s="6"/>
      <c r="K2136" s="6"/>
      <c r="L2136" s="6" t="s">
        <v>4593</v>
      </c>
      <c r="M2136" s="6"/>
      <c r="N2136" s="6" t="s">
        <v>4594</v>
      </c>
      <c r="O2136" s="6" t="str">
        <f>HYPERLINK("https://ceds.ed.gov/cedselementdetails.aspx?termid=5219")</f>
        <v>https://ceds.ed.gov/cedselementdetails.aspx?termid=5219</v>
      </c>
      <c r="P2136" s="6" t="str">
        <f>HYPERLINK("https://ceds.ed.gov/elementComment.aspx?elementName=Primary Telephone Number Indicator &amp;elementID=5219", "Click here to submit comment")</f>
        <v>Click here to submit comment</v>
      </c>
    </row>
    <row r="2137" spans="1:16" ht="90">
      <c r="A2137" s="6" t="s">
        <v>6869</v>
      </c>
      <c r="B2137" s="6" t="s">
        <v>6741</v>
      </c>
      <c r="C2137" s="6" t="s">
        <v>6721</v>
      </c>
      <c r="D2137" s="6" t="s">
        <v>5727</v>
      </c>
      <c r="E2137" s="6" t="s">
        <v>5728</v>
      </c>
      <c r="F2137" s="6" t="s">
        <v>13</v>
      </c>
      <c r="G2137" s="6" t="s">
        <v>5968</v>
      </c>
      <c r="H2137" s="6" t="s">
        <v>3</v>
      </c>
      <c r="I2137" s="6" t="s">
        <v>5729</v>
      </c>
      <c r="J2137" s="6"/>
      <c r="K2137" s="6"/>
      <c r="L2137" s="6" t="s">
        <v>5730</v>
      </c>
      <c r="M2137" s="6"/>
      <c r="N2137" s="6" t="s">
        <v>5731</v>
      </c>
      <c r="O2137" s="6" t="str">
        <f>HYPERLINK("https://ceds.ed.gov/cedselementdetails.aspx?termid=5279")</f>
        <v>https://ceds.ed.gov/cedselementdetails.aspx?termid=5279</v>
      </c>
      <c r="P2137" s="6" t="str">
        <f>HYPERLINK("https://ceds.ed.gov/elementComment.aspx?elementName=Telephone Number &amp;elementID=5279", "Click here to submit comment")</f>
        <v>Click here to submit comment</v>
      </c>
    </row>
    <row r="2138" spans="1:16" ht="105">
      <c r="A2138" s="6" t="s">
        <v>6869</v>
      </c>
      <c r="B2138" s="6" t="s">
        <v>6741</v>
      </c>
      <c r="C2138" s="6" t="s">
        <v>6742</v>
      </c>
      <c r="D2138" s="6" t="s">
        <v>2457</v>
      </c>
      <c r="E2138" s="6" t="s">
        <v>2458</v>
      </c>
      <c r="F2138" s="7" t="s">
        <v>6489</v>
      </c>
      <c r="G2138" s="6" t="s">
        <v>5968</v>
      </c>
      <c r="H2138" s="6" t="s">
        <v>3</v>
      </c>
      <c r="I2138" s="6"/>
      <c r="J2138" s="6"/>
      <c r="K2138" s="6"/>
      <c r="L2138" s="6" t="s">
        <v>2459</v>
      </c>
      <c r="M2138" s="6" t="s">
        <v>2460</v>
      </c>
      <c r="N2138" s="6" t="s">
        <v>2461</v>
      </c>
      <c r="O2138" s="6" t="str">
        <f>HYPERLINK("https://ceds.ed.gov/cedselementdetails.aspx?termid=5089")</f>
        <v>https://ceds.ed.gov/cedselementdetails.aspx?termid=5089</v>
      </c>
      <c r="P2138" s="6" t="str">
        <f>HYPERLINK("https://ceds.ed.gov/elementComment.aspx?elementName=Electronic Mail Address Type &amp;elementID=5089", "Click here to submit comment")</f>
        <v>Click here to submit comment</v>
      </c>
    </row>
    <row r="2139" spans="1:16" ht="90">
      <c r="A2139" s="6" t="s">
        <v>6869</v>
      </c>
      <c r="B2139" s="6" t="s">
        <v>6741</v>
      </c>
      <c r="C2139" s="6" t="s">
        <v>6742</v>
      </c>
      <c r="D2139" s="6" t="s">
        <v>2451</v>
      </c>
      <c r="E2139" s="6" t="s">
        <v>2452</v>
      </c>
      <c r="F2139" s="6" t="s">
        <v>13</v>
      </c>
      <c r="G2139" s="6" t="s">
        <v>5968</v>
      </c>
      <c r="H2139" s="6" t="s">
        <v>3</v>
      </c>
      <c r="I2139" s="6" t="s">
        <v>2453</v>
      </c>
      <c r="J2139" s="6"/>
      <c r="K2139" s="6"/>
      <c r="L2139" s="6" t="s">
        <v>2454</v>
      </c>
      <c r="M2139" s="6" t="s">
        <v>2455</v>
      </c>
      <c r="N2139" s="6" t="s">
        <v>2456</v>
      </c>
      <c r="O2139" s="6" t="str">
        <f>HYPERLINK("https://ceds.ed.gov/cedselementdetails.aspx?termid=5088")</f>
        <v>https://ceds.ed.gov/cedselementdetails.aspx?termid=5088</v>
      </c>
      <c r="P2139" s="6" t="str">
        <f>HYPERLINK("https://ceds.ed.gov/elementComment.aspx?elementName=Electronic Mail Address &amp;elementID=5088", "Click here to submit comment")</f>
        <v>Click here to submit comment</v>
      </c>
    </row>
    <row r="2140" spans="1:16" ht="409.5">
      <c r="A2140" s="6" t="s">
        <v>6869</v>
      </c>
      <c r="B2140" s="6" t="s">
        <v>6741</v>
      </c>
      <c r="C2140" s="6" t="s">
        <v>6820</v>
      </c>
      <c r="D2140" s="6" t="s">
        <v>4490</v>
      </c>
      <c r="E2140" s="6" t="s">
        <v>4491</v>
      </c>
      <c r="F2140" s="7" t="s">
        <v>6598</v>
      </c>
      <c r="G2140" s="6" t="s">
        <v>1480</v>
      </c>
      <c r="H2140" s="6" t="s">
        <v>3</v>
      </c>
      <c r="I2140" s="6"/>
      <c r="J2140" s="6"/>
      <c r="K2140" s="6"/>
      <c r="L2140" s="6" t="s">
        <v>4492</v>
      </c>
      <c r="M2140" s="6"/>
      <c r="N2140" s="6" t="s">
        <v>4493</v>
      </c>
      <c r="O2140" s="6" t="str">
        <f>HYPERLINK("https://ceds.ed.gov/cedselementdetails.aspx?termid=5415")</f>
        <v>https://ceds.ed.gov/cedselementdetails.aspx?termid=5415</v>
      </c>
      <c r="P2140" s="6" t="str">
        <f>HYPERLINK("https://ceds.ed.gov/elementComment.aspx?elementName=Person Relationship to Learner Type &amp;elementID=5415", "Click here to submit comment")</f>
        <v>Click here to submit comment</v>
      </c>
    </row>
    <row r="2141" spans="1:16" ht="180">
      <c r="A2141" s="6" t="s">
        <v>6869</v>
      </c>
      <c r="B2141" s="6" t="s">
        <v>6866</v>
      </c>
      <c r="C2141" s="6"/>
      <c r="D2141" s="6" t="s">
        <v>3540</v>
      </c>
      <c r="E2141" s="6" t="s">
        <v>3541</v>
      </c>
      <c r="F2141" s="6" t="s">
        <v>6225</v>
      </c>
      <c r="G2141" s="6"/>
      <c r="H2141" s="6" t="s">
        <v>54</v>
      </c>
      <c r="I2141" s="6"/>
      <c r="J2141" s="6"/>
      <c r="K2141" s="6" t="s">
        <v>3542</v>
      </c>
      <c r="L2141" s="6" t="s">
        <v>3543</v>
      </c>
      <c r="M2141" s="6"/>
      <c r="N2141" s="6" t="s">
        <v>3544</v>
      </c>
      <c r="O2141" s="6" t="str">
        <f>HYPERLINK("https://ceds.ed.gov/cedselementdetails.aspx?termid=6358")</f>
        <v>https://ceds.ed.gov/cedselementdetails.aspx?termid=6358</v>
      </c>
      <c r="P2141" s="6" t="str">
        <f>HYPERLINK("https://ceds.ed.gov/elementComment.aspx?elementName=Learning Resource Access API Type &amp;elementID=6358", "Click here to submit comment")</f>
        <v>Click here to submit comment</v>
      </c>
    </row>
    <row r="2142" spans="1:16" ht="60">
      <c r="A2142" s="6" t="s">
        <v>6869</v>
      </c>
      <c r="B2142" s="6" t="s">
        <v>6866</v>
      </c>
      <c r="C2142" s="6"/>
      <c r="D2142" s="6" t="s">
        <v>3545</v>
      </c>
      <c r="E2142" s="6" t="s">
        <v>3546</v>
      </c>
      <c r="F2142" s="6" t="s">
        <v>6227</v>
      </c>
      <c r="G2142" s="6"/>
      <c r="H2142" s="6" t="s">
        <v>54</v>
      </c>
      <c r="I2142" s="6"/>
      <c r="J2142" s="6"/>
      <c r="K2142" s="6"/>
      <c r="L2142" s="6" t="s">
        <v>3547</v>
      </c>
      <c r="M2142" s="6"/>
      <c r="N2142" s="6" t="s">
        <v>3548</v>
      </c>
      <c r="O2142" s="6" t="str">
        <f>HYPERLINK("https://ceds.ed.gov/cedselementdetails.aspx?termid=6359")</f>
        <v>https://ceds.ed.gov/cedselementdetails.aspx?termid=6359</v>
      </c>
      <c r="P2142" s="6" t="str">
        <f>HYPERLINK("https://ceds.ed.gov/elementComment.aspx?elementName=Learning Resource Access Hazard Type &amp;elementID=6359", "Click here to submit comment")</f>
        <v>Click here to submit comment</v>
      </c>
    </row>
    <row r="2143" spans="1:16" ht="105">
      <c r="A2143" s="6" t="s">
        <v>6869</v>
      </c>
      <c r="B2143" s="6" t="s">
        <v>6866</v>
      </c>
      <c r="C2143" s="6"/>
      <c r="D2143" s="6" t="s">
        <v>3549</v>
      </c>
      <c r="E2143" s="6" t="s">
        <v>3550</v>
      </c>
      <c r="F2143" s="6" t="s">
        <v>6228</v>
      </c>
      <c r="G2143" s="6"/>
      <c r="H2143" s="6" t="s">
        <v>54</v>
      </c>
      <c r="I2143" s="6"/>
      <c r="J2143" s="6"/>
      <c r="K2143" s="6" t="s">
        <v>3551</v>
      </c>
      <c r="L2143" s="6" t="s">
        <v>3552</v>
      </c>
      <c r="M2143" s="6"/>
      <c r="N2143" s="6" t="s">
        <v>3553</v>
      </c>
      <c r="O2143" s="6" t="str">
        <f>HYPERLINK("https://ceds.ed.gov/cedselementdetails.aspx?termid=6360")</f>
        <v>https://ceds.ed.gov/cedselementdetails.aspx?termid=6360</v>
      </c>
      <c r="P2143" s="6" t="str">
        <f>HYPERLINK("https://ceds.ed.gov/elementComment.aspx?elementName=Learning Resource Access Mode Type &amp;elementID=6360", "Click here to submit comment")</f>
        <v>Click here to submit comment</v>
      </c>
    </row>
    <row r="2144" spans="1:16" ht="45">
      <c r="A2144" s="6" t="s">
        <v>6869</v>
      </c>
      <c r="B2144" s="6" t="s">
        <v>6866</v>
      </c>
      <c r="C2144" s="6"/>
      <c r="D2144" s="6" t="s">
        <v>3554</v>
      </c>
      <c r="E2144" s="6" t="s">
        <v>3555</v>
      </c>
      <c r="F2144" s="6" t="s">
        <v>13</v>
      </c>
      <c r="G2144" s="6"/>
      <c r="H2144" s="6" t="s">
        <v>54</v>
      </c>
      <c r="I2144" s="6" t="s">
        <v>93</v>
      </c>
      <c r="J2144" s="6"/>
      <c r="K2144" s="6"/>
      <c r="L2144" s="6" t="s">
        <v>3556</v>
      </c>
      <c r="M2144" s="6"/>
      <c r="N2144" s="6" t="s">
        <v>3557</v>
      </c>
      <c r="O2144" s="6" t="str">
        <f>HYPERLINK("https://ceds.ed.gov/cedselementdetails.aspx?termid=6361")</f>
        <v>https://ceds.ed.gov/cedselementdetails.aspx?termid=6361</v>
      </c>
      <c r="P2144" s="6" t="str">
        <f>HYPERLINK("https://ceds.ed.gov/elementComment.aspx?elementName=Learning Resource Adaptation URL &amp;elementID=6361", "Click here to submit comment")</f>
        <v>Click here to submit comment</v>
      </c>
    </row>
    <row r="2145" spans="1:16" ht="30">
      <c r="A2145" s="6" t="s">
        <v>6869</v>
      </c>
      <c r="B2145" s="6" t="s">
        <v>6866</v>
      </c>
      <c r="C2145" s="6"/>
      <c r="D2145" s="6" t="s">
        <v>3558</v>
      </c>
      <c r="E2145" s="6" t="s">
        <v>3559</v>
      </c>
      <c r="F2145" s="6" t="s">
        <v>13</v>
      </c>
      <c r="G2145" s="6"/>
      <c r="H2145" s="6" t="s">
        <v>54</v>
      </c>
      <c r="I2145" s="6" t="s">
        <v>93</v>
      </c>
      <c r="J2145" s="6"/>
      <c r="K2145" s="6"/>
      <c r="L2145" s="6" t="s">
        <v>3560</v>
      </c>
      <c r="M2145" s="6"/>
      <c r="N2145" s="6" t="s">
        <v>3561</v>
      </c>
      <c r="O2145" s="6" t="str">
        <f>HYPERLINK("https://ceds.ed.gov/cedselementdetails.aspx?termid=6367")</f>
        <v>https://ceds.ed.gov/cedselementdetails.aspx?termid=6367</v>
      </c>
      <c r="P2145" s="6" t="str">
        <f>HYPERLINK("https://ceds.ed.gov/elementComment.aspx?elementName=Learning Resource Adapted From URL &amp;elementID=6367", "Click here to submit comment")</f>
        <v>Click here to submit comment</v>
      </c>
    </row>
    <row r="2146" spans="1:16" ht="75">
      <c r="A2146" s="6" t="s">
        <v>6869</v>
      </c>
      <c r="B2146" s="6" t="s">
        <v>6866</v>
      </c>
      <c r="C2146" s="6"/>
      <c r="D2146" s="6" t="s">
        <v>3562</v>
      </c>
      <c r="E2146" s="6" t="s">
        <v>3563</v>
      </c>
      <c r="F2146" s="6" t="s">
        <v>5963</v>
      </c>
      <c r="G2146" s="6"/>
      <c r="H2146" s="6" t="s">
        <v>54</v>
      </c>
      <c r="I2146" s="6"/>
      <c r="J2146" s="6"/>
      <c r="K2146" s="6" t="s">
        <v>3564</v>
      </c>
      <c r="L2146" s="6" t="s">
        <v>3565</v>
      </c>
      <c r="M2146" s="6"/>
      <c r="N2146" s="6" t="s">
        <v>3566</v>
      </c>
      <c r="O2146" s="6" t="str">
        <f>HYPERLINK("https://ceds.ed.gov/cedselementdetails.aspx?termid=6362")</f>
        <v>https://ceds.ed.gov/cedselementdetails.aspx?termid=6362</v>
      </c>
      <c r="P2146" s="6" t="str">
        <f>HYPERLINK("https://ceds.ed.gov/elementComment.aspx?elementName=Learning Resource Assistive Technologies Compatible Indicator &amp;elementID=6362", "Click here to submit comment")</f>
        <v>Click here to submit comment</v>
      </c>
    </row>
    <row r="2147" spans="1:16" ht="45">
      <c r="A2147" s="6" t="s">
        <v>6869</v>
      </c>
      <c r="B2147" s="6" t="s">
        <v>6866</v>
      </c>
      <c r="C2147" s="6"/>
      <c r="D2147" s="6" t="s">
        <v>3567</v>
      </c>
      <c r="E2147" s="6" t="s">
        <v>3568</v>
      </c>
      <c r="F2147" s="6" t="s">
        <v>13</v>
      </c>
      <c r="G2147" s="6"/>
      <c r="H2147" s="6" t="s">
        <v>66</v>
      </c>
      <c r="I2147" s="6" t="s">
        <v>93</v>
      </c>
      <c r="J2147" s="6" t="s">
        <v>3569</v>
      </c>
      <c r="K2147" s="6" t="s">
        <v>3570</v>
      </c>
      <c r="L2147" s="6" t="s">
        <v>3571</v>
      </c>
      <c r="M2147" s="6"/>
      <c r="N2147" s="6" t="s">
        <v>3572</v>
      </c>
      <c r="O2147" s="6" t="str">
        <f>HYPERLINK("https://ceds.ed.gov/cedselementdetails.aspx?termid=5923")</f>
        <v>https://ceds.ed.gov/cedselementdetails.aspx?termid=5923</v>
      </c>
      <c r="P2147" s="6" t="str">
        <f>HYPERLINK("https://ceds.ed.gov/elementComment.aspx?elementName=Learning Resource Based On URL &amp;elementID=5923", "Click here to submit comment")</f>
        <v>Click here to submit comment</v>
      </c>
    </row>
    <row r="2148" spans="1:16" ht="135">
      <c r="A2148" s="6" t="s">
        <v>6869</v>
      </c>
      <c r="B2148" s="6" t="s">
        <v>6866</v>
      </c>
      <c r="C2148" s="6"/>
      <c r="D2148" s="6" t="s">
        <v>3573</v>
      </c>
      <c r="E2148" s="6" t="s">
        <v>3574</v>
      </c>
      <c r="F2148" s="6" t="s">
        <v>6229</v>
      </c>
      <c r="G2148" s="6"/>
      <c r="H2148" s="6" t="s">
        <v>54</v>
      </c>
      <c r="I2148" s="6"/>
      <c r="J2148" s="6"/>
      <c r="K2148" s="6"/>
      <c r="L2148" s="6" t="s">
        <v>3575</v>
      </c>
      <c r="M2148" s="6"/>
      <c r="N2148" s="6" t="s">
        <v>3576</v>
      </c>
      <c r="O2148" s="6" t="str">
        <f>HYPERLINK("https://ceds.ed.gov/cedselementdetails.aspx?termid=6363")</f>
        <v>https://ceds.ed.gov/cedselementdetails.aspx?termid=6363</v>
      </c>
      <c r="P2148" s="6" t="str">
        <f>HYPERLINK("https://ceds.ed.gov/elementComment.aspx?elementName=Learning Resource Book Format Type &amp;elementID=6363", "Click here to submit comment")</f>
        <v>Click here to submit comment</v>
      </c>
    </row>
    <row r="2149" spans="1:16" ht="45">
      <c r="A2149" s="6" t="s">
        <v>6869</v>
      </c>
      <c r="B2149" s="6" t="s">
        <v>6866</v>
      </c>
      <c r="C2149" s="6"/>
      <c r="D2149" s="6" t="s">
        <v>3582</v>
      </c>
      <c r="E2149" s="6" t="s">
        <v>3583</v>
      </c>
      <c r="F2149" s="6" t="s">
        <v>13</v>
      </c>
      <c r="G2149" s="6"/>
      <c r="H2149" s="6"/>
      <c r="I2149" s="6" t="s">
        <v>93</v>
      </c>
      <c r="J2149" s="6"/>
      <c r="K2149" s="6"/>
      <c r="L2149" s="6" t="s">
        <v>3584</v>
      </c>
      <c r="M2149" s="6"/>
      <c r="N2149" s="6" t="s">
        <v>3585</v>
      </c>
      <c r="O2149" s="6" t="str">
        <f>HYPERLINK("https://ceds.ed.gov/cedselementdetails.aspx?termid=6159")</f>
        <v>https://ceds.ed.gov/cedselementdetails.aspx?termid=6159</v>
      </c>
      <c r="P2149" s="6" t="str">
        <f>HYPERLINK("https://ceds.ed.gov/elementComment.aspx?elementName=Learning Resource Concept Keyword &amp;elementID=6159", "Click here to submit comment")</f>
        <v>Click here to submit comment</v>
      </c>
    </row>
    <row r="2150" spans="1:16" ht="90">
      <c r="A2150" s="6" t="s">
        <v>6869</v>
      </c>
      <c r="B2150" s="6" t="s">
        <v>6866</v>
      </c>
      <c r="C2150" s="6"/>
      <c r="D2150" s="6" t="s">
        <v>3586</v>
      </c>
      <c r="E2150" s="6" t="s">
        <v>3587</v>
      </c>
      <c r="F2150" s="6" t="s">
        <v>6232</v>
      </c>
      <c r="G2150" s="6"/>
      <c r="H2150" s="6" t="s">
        <v>54</v>
      </c>
      <c r="I2150" s="6"/>
      <c r="J2150" s="6"/>
      <c r="K2150" s="6"/>
      <c r="L2150" s="6" t="s">
        <v>3588</v>
      </c>
      <c r="M2150" s="6"/>
      <c r="N2150" s="6" t="s">
        <v>3589</v>
      </c>
      <c r="O2150" s="6" t="str">
        <f>HYPERLINK("https://ceds.ed.gov/cedselementdetails.aspx?termid=6364")</f>
        <v>https://ceds.ed.gov/cedselementdetails.aspx?termid=6364</v>
      </c>
      <c r="P2150" s="6" t="str">
        <f>HYPERLINK("https://ceds.ed.gov/elementComment.aspx?elementName=Learning Resource Control Flexibility Type &amp;elementID=6364", "Click here to submit comment")</f>
        <v>Click here to submit comment</v>
      </c>
    </row>
    <row r="2151" spans="1:16" ht="45">
      <c r="A2151" s="6" t="s">
        <v>6869</v>
      </c>
      <c r="B2151" s="6" t="s">
        <v>6866</v>
      </c>
      <c r="C2151" s="6"/>
      <c r="D2151" s="6" t="s">
        <v>3590</v>
      </c>
      <c r="E2151" s="6" t="s">
        <v>3591</v>
      </c>
      <c r="F2151" s="6" t="s">
        <v>13</v>
      </c>
      <c r="G2151" s="6"/>
      <c r="H2151" s="6"/>
      <c r="I2151" s="6" t="s">
        <v>106</v>
      </c>
      <c r="J2151" s="6"/>
      <c r="K2151" s="6"/>
      <c r="L2151" s="6" t="s">
        <v>3592</v>
      </c>
      <c r="M2151" s="6"/>
      <c r="N2151" s="6" t="s">
        <v>3593</v>
      </c>
      <c r="O2151" s="6" t="str">
        <f>HYPERLINK("https://ceds.ed.gov/cedselementdetails.aspx?termid=6157")</f>
        <v>https://ceds.ed.gov/cedselementdetails.aspx?termid=6157</v>
      </c>
      <c r="P2151" s="6" t="str">
        <f>HYPERLINK("https://ceds.ed.gov/elementComment.aspx?elementName=Learning Resource Copyright Holder Name &amp;elementID=6157", "Click here to submit comment")</f>
        <v>Click here to submit comment</v>
      </c>
    </row>
    <row r="2152" spans="1:16" ht="30">
      <c r="A2152" s="6" t="s">
        <v>6869</v>
      </c>
      <c r="B2152" s="6" t="s">
        <v>6866</v>
      </c>
      <c r="C2152" s="6"/>
      <c r="D2152" s="6" t="s">
        <v>3594</v>
      </c>
      <c r="E2152" s="6" t="s">
        <v>3595</v>
      </c>
      <c r="F2152" s="6" t="s">
        <v>13</v>
      </c>
      <c r="G2152" s="6"/>
      <c r="H2152" s="6"/>
      <c r="I2152" s="6" t="s">
        <v>1736</v>
      </c>
      <c r="J2152" s="6"/>
      <c r="K2152" s="6"/>
      <c r="L2152" s="6" t="s">
        <v>3596</v>
      </c>
      <c r="M2152" s="6"/>
      <c r="N2152" s="6" t="s">
        <v>3597</v>
      </c>
      <c r="O2152" s="6" t="str">
        <f>HYPERLINK("https://ceds.ed.gov/cedselementdetails.aspx?termid=6158")</f>
        <v>https://ceds.ed.gov/cedselementdetails.aspx?termid=6158</v>
      </c>
      <c r="P2152" s="6" t="str">
        <f>HYPERLINK("https://ceds.ed.gov/elementComment.aspx?elementName=Learning Resource Copyright Year &amp;elementID=6158", "Click here to submit comment")</f>
        <v>Click here to submit comment</v>
      </c>
    </row>
    <row r="2153" spans="1:16" ht="30">
      <c r="A2153" s="6" t="s">
        <v>6869</v>
      </c>
      <c r="B2153" s="6" t="s">
        <v>6866</v>
      </c>
      <c r="C2153" s="6"/>
      <c r="D2153" s="6" t="s">
        <v>3598</v>
      </c>
      <c r="E2153" s="6" t="s">
        <v>3599</v>
      </c>
      <c r="F2153" s="6" t="s">
        <v>13</v>
      </c>
      <c r="G2153" s="6"/>
      <c r="H2153" s="6"/>
      <c r="I2153" s="6" t="s">
        <v>106</v>
      </c>
      <c r="J2153" s="6"/>
      <c r="K2153" s="6"/>
      <c r="L2153" s="6" t="s">
        <v>3600</v>
      </c>
      <c r="M2153" s="6"/>
      <c r="N2153" s="6" t="s">
        <v>3601</v>
      </c>
      <c r="O2153" s="6" t="str">
        <f>HYPERLINK("https://ceds.ed.gov/cedselementdetails.aspx?termid=5918")</f>
        <v>https://ceds.ed.gov/cedselementdetails.aspx?termid=5918</v>
      </c>
      <c r="P2153" s="6" t="str">
        <f>HYPERLINK("https://ceds.ed.gov/elementComment.aspx?elementName=Learning Resource Creator &amp;elementID=5918", "Click here to submit comment")</f>
        <v>Click here to submit comment</v>
      </c>
    </row>
    <row r="2154" spans="1:16" ht="30">
      <c r="A2154" s="6" t="s">
        <v>6869</v>
      </c>
      <c r="B2154" s="6" t="s">
        <v>6866</v>
      </c>
      <c r="C2154" s="6"/>
      <c r="D2154" s="6" t="s">
        <v>3602</v>
      </c>
      <c r="E2154" s="6" t="s">
        <v>3603</v>
      </c>
      <c r="F2154" s="6" t="s">
        <v>13</v>
      </c>
      <c r="G2154" s="6"/>
      <c r="H2154" s="6"/>
      <c r="I2154" s="6" t="s">
        <v>73</v>
      </c>
      <c r="J2154" s="6"/>
      <c r="K2154" s="6"/>
      <c r="L2154" s="6" t="s">
        <v>3604</v>
      </c>
      <c r="M2154" s="6"/>
      <c r="N2154" s="6" t="s">
        <v>3605</v>
      </c>
      <c r="O2154" s="6" t="str">
        <f>HYPERLINK("https://ceds.ed.gov/cedselementdetails.aspx?termid=5916")</f>
        <v>https://ceds.ed.gov/cedselementdetails.aspx?termid=5916</v>
      </c>
      <c r="P2154" s="6" t="str">
        <f>HYPERLINK("https://ceds.ed.gov/elementComment.aspx?elementName=Learning Resource Date Created &amp;elementID=5916", "Click here to submit comment")</f>
        <v>Click here to submit comment</v>
      </c>
    </row>
    <row r="2155" spans="1:16" ht="30">
      <c r="A2155" s="6" t="s">
        <v>6869</v>
      </c>
      <c r="B2155" s="6" t="s">
        <v>6866</v>
      </c>
      <c r="C2155" s="6"/>
      <c r="D2155" s="6" t="s">
        <v>3606</v>
      </c>
      <c r="E2155" s="6" t="s">
        <v>3607</v>
      </c>
      <c r="F2155" s="6" t="s">
        <v>13</v>
      </c>
      <c r="G2155" s="6"/>
      <c r="H2155" s="6"/>
      <c r="I2155" s="6" t="s">
        <v>93</v>
      </c>
      <c r="J2155" s="6"/>
      <c r="K2155" s="6"/>
      <c r="L2155" s="6" t="s">
        <v>3608</v>
      </c>
      <c r="M2155" s="6"/>
      <c r="N2155" s="6" t="s">
        <v>3609</v>
      </c>
      <c r="O2155" s="6" t="str">
        <f>HYPERLINK("https://ceds.ed.gov/cedselementdetails.aspx?termid=6156")</f>
        <v>https://ceds.ed.gov/cedselementdetails.aspx?termid=6156</v>
      </c>
      <c r="P2155" s="6" t="str">
        <f>HYPERLINK("https://ceds.ed.gov/elementComment.aspx?elementName=Learning Resource Description &amp;elementID=6156", "Click here to submit comment")</f>
        <v>Click here to submit comment</v>
      </c>
    </row>
    <row r="2156" spans="1:16" ht="135">
      <c r="A2156" s="6" t="s">
        <v>6869</v>
      </c>
      <c r="B2156" s="6" t="s">
        <v>6866</v>
      </c>
      <c r="C2156" s="6"/>
      <c r="D2156" s="6" t="s">
        <v>3610</v>
      </c>
      <c r="E2156" s="6" t="s">
        <v>3611</v>
      </c>
      <c r="F2156" s="6" t="s">
        <v>3612</v>
      </c>
      <c r="G2156" s="6"/>
      <c r="H2156" s="6" t="s">
        <v>54</v>
      </c>
      <c r="I2156" s="6"/>
      <c r="J2156" s="6"/>
      <c r="K2156" s="6"/>
      <c r="L2156" s="6" t="s">
        <v>3613</v>
      </c>
      <c r="M2156" s="6"/>
      <c r="N2156" s="6" t="s">
        <v>3614</v>
      </c>
      <c r="O2156" s="6" t="str">
        <f>HYPERLINK("https://ceds.ed.gov/cedselementdetails.aspx?termid=6365")</f>
        <v>https://ceds.ed.gov/cedselementdetails.aspx?termid=6365</v>
      </c>
      <c r="P2156" s="6" t="str">
        <f>HYPERLINK("https://ceds.ed.gov/elementComment.aspx?elementName=Learning Resource Digital Media Sub Type &amp;elementID=6365", "Click here to submit comment")</f>
        <v>Click here to submit comment</v>
      </c>
    </row>
    <row r="2157" spans="1:16" ht="150">
      <c r="A2157" s="6" t="s">
        <v>6869</v>
      </c>
      <c r="B2157" s="6" t="s">
        <v>6866</v>
      </c>
      <c r="C2157" s="6"/>
      <c r="D2157" s="6" t="s">
        <v>3615</v>
      </c>
      <c r="E2157" s="6" t="s">
        <v>3616</v>
      </c>
      <c r="F2157" s="6" t="s">
        <v>6233</v>
      </c>
      <c r="G2157" s="6"/>
      <c r="H2157" s="6" t="s">
        <v>54</v>
      </c>
      <c r="I2157" s="6"/>
      <c r="J2157" s="6"/>
      <c r="K2157" s="6"/>
      <c r="L2157" s="6" t="s">
        <v>3617</v>
      </c>
      <c r="M2157" s="6"/>
      <c r="N2157" s="6" t="s">
        <v>3618</v>
      </c>
      <c r="O2157" s="6" t="str">
        <f>HYPERLINK("https://ceds.ed.gov/cedselementdetails.aspx?termid=6366")</f>
        <v>https://ceds.ed.gov/cedselementdetails.aspx?termid=6366</v>
      </c>
      <c r="P2157" s="6" t="str">
        <f>HYPERLINK("https://ceds.ed.gov/elementComment.aspx?elementName=Learning Resource Digital Media Type &amp;elementID=6366", "Click here to submit comment")</f>
        <v>Click here to submit comment</v>
      </c>
    </row>
    <row r="2158" spans="1:16" ht="120">
      <c r="A2158" s="6" t="s">
        <v>6869</v>
      </c>
      <c r="B2158" s="6" t="s">
        <v>6866</v>
      </c>
      <c r="C2158" s="6"/>
      <c r="D2158" s="6" t="s">
        <v>3624</v>
      </c>
      <c r="E2158" s="6" t="s">
        <v>3625</v>
      </c>
      <c r="F2158" s="7" t="s">
        <v>6565</v>
      </c>
      <c r="G2158" s="6"/>
      <c r="H2158" s="6" t="s">
        <v>66</v>
      </c>
      <c r="I2158" s="6"/>
      <c r="J2158" s="6" t="s">
        <v>3626</v>
      </c>
      <c r="K2158" s="6"/>
      <c r="L2158" s="6" t="s">
        <v>3627</v>
      </c>
      <c r="M2158" s="6"/>
      <c r="N2158" s="6" t="s">
        <v>3628</v>
      </c>
      <c r="O2158" s="6" t="str">
        <f>HYPERLINK("https://ceds.ed.gov/cedselementdetails.aspx?termid=6005")</f>
        <v>https://ceds.ed.gov/cedselementdetails.aspx?termid=6005</v>
      </c>
      <c r="P2158" s="6" t="str">
        <f>HYPERLINK("https://ceds.ed.gov/elementComment.aspx?elementName=Learning Resource Educational Use &amp;elementID=6005", "Click here to submit comment")</f>
        <v>Click here to submit comment</v>
      </c>
    </row>
    <row r="2159" spans="1:16" ht="150">
      <c r="A2159" s="6" t="s">
        <v>6869</v>
      </c>
      <c r="B2159" s="6" t="s">
        <v>6866</v>
      </c>
      <c r="C2159" s="6"/>
      <c r="D2159" s="6" t="s">
        <v>3629</v>
      </c>
      <c r="E2159" s="6" t="s">
        <v>3630</v>
      </c>
      <c r="F2159" s="6" t="s">
        <v>6235</v>
      </c>
      <c r="G2159" s="6"/>
      <c r="H2159" s="6"/>
      <c r="I2159" s="6"/>
      <c r="J2159" s="6"/>
      <c r="K2159" s="6"/>
      <c r="L2159" s="6" t="s">
        <v>3631</v>
      </c>
      <c r="M2159" s="6"/>
      <c r="N2159" s="6" t="s">
        <v>3632</v>
      </c>
      <c r="O2159" s="6" t="str">
        <f>HYPERLINK("https://ceds.ed.gov/cedselementdetails.aspx?termid=5924")</f>
        <v>https://ceds.ed.gov/cedselementdetails.aspx?termid=5924</v>
      </c>
      <c r="P2159" s="6" t="str">
        <f>HYPERLINK("https://ceds.ed.gov/elementComment.aspx?elementName=Learning Resource Intended End User Role &amp;elementID=5924", "Click here to submit comment")</f>
        <v>Click here to submit comment</v>
      </c>
    </row>
    <row r="2160" spans="1:16" ht="60">
      <c r="A2160" s="6" t="s">
        <v>6869</v>
      </c>
      <c r="B2160" s="6" t="s">
        <v>6866</v>
      </c>
      <c r="C2160" s="6"/>
      <c r="D2160" s="6" t="s">
        <v>3633</v>
      </c>
      <c r="E2160" s="6" t="s">
        <v>3634</v>
      </c>
      <c r="F2160" s="6" t="s">
        <v>6236</v>
      </c>
      <c r="G2160" s="6"/>
      <c r="H2160" s="6"/>
      <c r="I2160" s="6"/>
      <c r="J2160" s="6"/>
      <c r="K2160" s="6"/>
      <c r="L2160" s="6" t="s">
        <v>3635</v>
      </c>
      <c r="M2160" s="6"/>
      <c r="N2160" s="6" t="s">
        <v>3636</v>
      </c>
      <c r="O2160" s="6" t="str">
        <f>HYPERLINK("https://ceds.ed.gov/cedselementdetails.aspx?termid=5928")</f>
        <v>https://ceds.ed.gov/cedselementdetails.aspx?termid=5928</v>
      </c>
      <c r="P2160" s="6" t="str">
        <f>HYPERLINK("https://ceds.ed.gov/elementComment.aspx?elementName=Learning Resource Interactivity Type &amp;elementID=5928", "Click here to submit comment")</f>
        <v>Click here to submit comment</v>
      </c>
    </row>
    <row r="2161" spans="1:16" ht="150">
      <c r="A2161" s="6" t="s">
        <v>6869</v>
      </c>
      <c r="B2161" s="6" t="s">
        <v>6866</v>
      </c>
      <c r="C2161" s="6"/>
      <c r="D2161" s="6" t="s">
        <v>3637</v>
      </c>
      <c r="E2161" s="6" t="s">
        <v>3638</v>
      </c>
      <c r="F2161" s="5" t="s">
        <v>939</v>
      </c>
      <c r="G2161" s="6"/>
      <c r="H2161" s="6" t="s">
        <v>66</v>
      </c>
      <c r="I2161" s="6"/>
      <c r="J2161" s="6" t="s">
        <v>3639</v>
      </c>
      <c r="K2161" s="6" t="s">
        <v>3640</v>
      </c>
      <c r="L2161" s="6" t="s">
        <v>3641</v>
      </c>
      <c r="M2161" s="6"/>
      <c r="N2161" s="6" t="s">
        <v>3642</v>
      </c>
      <c r="O2161" s="6" t="str">
        <f>HYPERLINK("https://ceds.ed.gov/cedselementdetails.aspx?termid=5920")</f>
        <v>https://ceds.ed.gov/cedselementdetails.aspx?termid=5920</v>
      </c>
      <c r="P2161" s="6" t="str">
        <f>HYPERLINK("https://ceds.ed.gov/elementComment.aspx?elementName=Learning Resource Language &amp;elementID=5920", "Click here to submit comment")</f>
        <v>Click here to submit comment</v>
      </c>
    </row>
    <row r="2162" spans="1:16" ht="315">
      <c r="A2162" s="6" t="s">
        <v>6869</v>
      </c>
      <c r="B2162" s="6" t="s">
        <v>6866</v>
      </c>
      <c r="C2162" s="6"/>
      <c r="D2162" s="6" t="s">
        <v>3643</v>
      </c>
      <c r="E2162" s="6" t="s">
        <v>3644</v>
      </c>
      <c r="F2162" s="6" t="s">
        <v>6237</v>
      </c>
      <c r="G2162" s="6"/>
      <c r="H2162" s="6" t="s">
        <v>54</v>
      </c>
      <c r="I2162" s="6"/>
      <c r="J2162" s="6"/>
      <c r="K2162" s="6" t="s">
        <v>3645</v>
      </c>
      <c r="L2162" s="6" t="s">
        <v>3646</v>
      </c>
      <c r="M2162" s="6"/>
      <c r="N2162" s="6" t="s">
        <v>3647</v>
      </c>
      <c r="O2162" s="6" t="str">
        <f>HYPERLINK("https://ceds.ed.gov/cedselementdetails.aspx?termid=6368")</f>
        <v>https://ceds.ed.gov/cedselementdetails.aspx?termid=6368</v>
      </c>
      <c r="P2162" s="6" t="str">
        <f>HYPERLINK("https://ceds.ed.gov/elementComment.aspx?elementName=Learning Resource Media Feature Type &amp;elementID=6368", "Click here to submit comment")</f>
        <v>Click here to submit comment</v>
      </c>
    </row>
    <row r="2163" spans="1:16" ht="60">
      <c r="A2163" s="6" t="s">
        <v>6869</v>
      </c>
      <c r="B2163" s="6" t="s">
        <v>6866</v>
      </c>
      <c r="C2163" s="6"/>
      <c r="D2163" s="6" t="s">
        <v>3653</v>
      </c>
      <c r="E2163" s="6" t="s">
        <v>3654</v>
      </c>
      <c r="F2163" s="6" t="s">
        <v>13</v>
      </c>
      <c r="G2163" s="6"/>
      <c r="H2163" s="6" t="s">
        <v>54</v>
      </c>
      <c r="I2163" s="6" t="s">
        <v>575</v>
      </c>
      <c r="J2163" s="6"/>
      <c r="K2163" s="6"/>
      <c r="L2163" s="6" t="s">
        <v>3655</v>
      </c>
      <c r="M2163" s="6"/>
      <c r="N2163" s="6" t="s">
        <v>3656</v>
      </c>
      <c r="O2163" s="6" t="str">
        <f>HYPERLINK("https://ceds.ed.gov/cedselementdetails.aspx?termid=6369")</f>
        <v>https://ceds.ed.gov/cedselementdetails.aspx?termid=6369</v>
      </c>
      <c r="P2163" s="6" t="str">
        <f>HYPERLINK("https://ceds.ed.gov/elementComment.aspx?elementName=Learning Resource Peer Rating Sample Size &amp;elementID=6369", "Click here to submit comment")</f>
        <v>Click here to submit comment</v>
      </c>
    </row>
    <row r="2164" spans="1:16" ht="90">
      <c r="A2164" s="6" t="s">
        <v>6869</v>
      </c>
      <c r="B2164" s="6" t="s">
        <v>6866</v>
      </c>
      <c r="C2164" s="6"/>
      <c r="D2164" s="6" t="s">
        <v>3657</v>
      </c>
      <c r="E2164" s="6" t="s">
        <v>3658</v>
      </c>
      <c r="F2164" s="6" t="s">
        <v>13</v>
      </c>
      <c r="G2164" s="6"/>
      <c r="H2164" s="6"/>
      <c r="I2164" s="6" t="s">
        <v>957</v>
      </c>
      <c r="J2164" s="6"/>
      <c r="K2164" s="6"/>
      <c r="L2164" s="6" t="s">
        <v>3659</v>
      </c>
      <c r="M2164" s="6"/>
      <c r="N2164" s="6" t="s">
        <v>3660</v>
      </c>
      <c r="O2164" s="6" t="str">
        <f>HYPERLINK("https://ceds.ed.gov/cedselementdetails.aspx?termid=6161")</f>
        <v>https://ceds.ed.gov/cedselementdetails.aspx?termid=6161</v>
      </c>
      <c r="P2164" s="6" t="str">
        <f>HYPERLINK("https://ceds.ed.gov/elementComment.aspx?elementName=Learning Resource Peer Rating Value &amp;elementID=6161", "Click here to submit comment")</f>
        <v>Click here to submit comment</v>
      </c>
    </row>
    <row r="2165" spans="1:16" ht="409.5">
      <c r="A2165" s="6" t="s">
        <v>6869</v>
      </c>
      <c r="B2165" s="6" t="s">
        <v>6866</v>
      </c>
      <c r="C2165" s="6"/>
      <c r="D2165" s="6" t="s">
        <v>3661</v>
      </c>
      <c r="E2165" s="6" t="s">
        <v>3662</v>
      </c>
      <c r="F2165" s="7" t="s">
        <v>6566</v>
      </c>
      <c r="G2165" s="6"/>
      <c r="H2165" s="6" t="s">
        <v>54</v>
      </c>
      <c r="I2165" s="6"/>
      <c r="J2165" s="6"/>
      <c r="K2165" s="6"/>
      <c r="L2165" s="6" t="s">
        <v>3663</v>
      </c>
      <c r="M2165" s="6"/>
      <c r="N2165" s="6" t="s">
        <v>3664</v>
      </c>
      <c r="O2165" s="6" t="str">
        <f>HYPERLINK("https://ceds.ed.gov/cedselementdetails.aspx?termid=6370")</f>
        <v>https://ceds.ed.gov/cedselementdetails.aspx?termid=6370</v>
      </c>
      <c r="P2165" s="6" t="str">
        <f>HYPERLINK("https://ceds.ed.gov/elementComment.aspx?elementName=Learning Resource Physical Media Type &amp;elementID=6370", "Click here to submit comment")</f>
        <v>Click here to submit comment</v>
      </c>
    </row>
    <row r="2166" spans="1:16" ht="30">
      <c r="A2166" s="6" t="s">
        <v>6869</v>
      </c>
      <c r="B2166" s="6" t="s">
        <v>6866</v>
      </c>
      <c r="C2166" s="6"/>
      <c r="D2166" s="6" t="s">
        <v>3669</v>
      </c>
      <c r="E2166" s="6" t="s">
        <v>3670</v>
      </c>
      <c r="F2166" s="6" t="s">
        <v>13</v>
      </c>
      <c r="G2166" s="6"/>
      <c r="H2166" s="6"/>
      <c r="I2166" s="6" t="s">
        <v>106</v>
      </c>
      <c r="J2166" s="6"/>
      <c r="K2166" s="6"/>
      <c r="L2166" s="6" t="s">
        <v>3671</v>
      </c>
      <c r="M2166" s="6"/>
      <c r="N2166" s="6" t="s">
        <v>3672</v>
      </c>
      <c r="O2166" s="6" t="str">
        <f>HYPERLINK("https://ceds.ed.gov/cedselementdetails.aspx?termid=5919")</f>
        <v>https://ceds.ed.gov/cedselementdetails.aspx?termid=5919</v>
      </c>
      <c r="P2166" s="6" t="str">
        <f>HYPERLINK("https://ceds.ed.gov/elementComment.aspx?elementName=Learning Resource Publisher Name &amp;elementID=5919", "Click here to submit comment")</f>
        <v>Click here to submit comment</v>
      </c>
    </row>
    <row r="2167" spans="1:16" ht="60">
      <c r="A2167" s="6" t="s">
        <v>6869</v>
      </c>
      <c r="B2167" s="6" t="s">
        <v>6866</v>
      </c>
      <c r="C2167" s="6"/>
      <c r="D2167" s="6" t="s">
        <v>3673</v>
      </c>
      <c r="E2167" s="6" t="s">
        <v>3674</v>
      </c>
      <c r="F2167" s="6" t="s">
        <v>13</v>
      </c>
      <c r="G2167" s="6"/>
      <c r="H2167" s="6"/>
      <c r="I2167" s="6" t="s">
        <v>100</v>
      </c>
      <c r="J2167" s="6"/>
      <c r="K2167" s="6" t="s">
        <v>3675</v>
      </c>
      <c r="L2167" s="6" t="s">
        <v>3676</v>
      </c>
      <c r="M2167" s="6"/>
      <c r="N2167" s="6" t="s">
        <v>3677</v>
      </c>
      <c r="O2167" s="6" t="str">
        <f>HYPERLINK("https://ceds.ed.gov/cedselementdetails.aspx?termid=5914")</f>
        <v>https://ceds.ed.gov/cedselementdetails.aspx?termid=5914</v>
      </c>
      <c r="P2167" s="6" t="str">
        <f>HYPERLINK("https://ceds.ed.gov/elementComment.aspx?elementName=Learning Resource Subject Code &amp;elementID=5914", "Click here to submit comment")</f>
        <v>Click here to submit comment</v>
      </c>
    </row>
    <row r="2168" spans="1:16" ht="60">
      <c r="A2168" s="6" t="s">
        <v>6869</v>
      </c>
      <c r="B2168" s="6" t="s">
        <v>6866</v>
      </c>
      <c r="C2168" s="6"/>
      <c r="D2168" s="6" t="s">
        <v>3678</v>
      </c>
      <c r="E2168" s="6" t="s">
        <v>3679</v>
      </c>
      <c r="F2168" s="6" t="s">
        <v>13</v>
      </c>
      <c r="G2168" s="6"/>
      <c r="H2168" s="6"/>
      <c r="I2168" s="6" t="s">
        <v>100</v>
      </c>
      <c r="J2168" s="6"/>
      <c r="K2168" s="6" t="s">
        <v>3680</v>
      </c>
      <c r="L2168" s="6" t="s">
        <v>3681</v>
      </c>
      <c r="M2168" s="6"/>
      <c r="N2168" s="6" t="s">
        <v>3682</v>
      </c>
      <c r="O2168" s="6" t="str">
        <f>HYPERLINK("https://ceds.ed.gov/cedselementdetails.aspx?termid=5915")</f>
        <v>https://ceds.ed.gov/cedselementdetails.aspx?termid=5915</v>
      </c>
      <c r="P2168" s="6" t="str">
        <f>HYPERLINK("https://ceds.ed.gov/elementComment.aspx?elementName=Learning Resource Subject Code System &amp;elementID=5915", "Click here to submit comment")</f>
        <v>Click here to submit comment</v>
      </c>
    </row>
    <row r="2169" spans="1:16" ht="30">
      <c r="A2169" s="6" t="s">
        <v>6869</v>
      </c>
      <c r="B2169" s="6" t="s">
        <v>6866</v>
      </c>
      <c r="C2169" s="6"/>
      <c r="D2169" s="6" t="s">
        <v>3683</v>
      </c>
      <c r="E2169" s="6" t="s">
        <v>3684</v>
      </c>
      <c r="F2169" s="6" t="s">
        <v>13</v>
      </c>
      <c r="G2169" s="6"/>
      <c r="H2169" s="6"/>
      <c r="I2169" s="6" t="s">
        <v>100</v>
      </c>
      <c r="J2169" s="6"/>
      <c r="K2169" s="6"/>
      <c r="L2169" s="6" t="s">
        <v>3685</v>
      </c>
      <c r="M2169" s="6"/>
      <c r="N2169" s="6" t="s">
        <v>3686</v>
      </c>
      <c r="O2169" s="6" t="str">
        <f>HYPERLINK("https://ceds.ed.gov/cedselementdetails.aspx?termid=5913")</f>
        <v>https://ceds.ed.gov/cedselementdetails.aspx?termid=5913</v>
      </c>
      <c r="P2169" s="6" t="str">
        <f>HYPERLINK("https://ceds.ed.gov/elementComment.aspx?elementName=Learning Resource Subject Name &amp;elementID=5913", "Click here to submit comment")</f>
        <v>Click here to submit comment</v>
      </c>
    </row>
    <row r="2170" spans="1:16" ht="45">
      <c r="A2170" s="6" t="s">
        <v>6869</v>
      </c>
      <c r="B2170" s="6" t="s">
        <v>6866</v>
      </c>
      <c r="C2170" s="6"/>
      <c r="D2170" s="6" t="s">
        <v>3687</v>
      </c>
      <c r="E2170" s="6" t="s">
        <v>3688</v>
      </c>
      <c r="F2170" s="6" t="s">
        <v>13</v>
      </c>
      <c r="G2170" s="6"/>
      <c r="H2170" s="6"/>
      <c r="I2170" s="6" t="s">
        <v>100</v>
      </c>
      <c r="J2170" s="6"/>
      <c r="K2170" s="6"/>
      <c r="L2170" s="6" t="s">
        <v>3689</v>
      </c>
      <c r="M2170" s="6"/>
      <c r="N2170" s="6" t="s">
        <v>3690</v>
      </c>
      <c r="O2170" s="6" t="str">
        <f>HYPERLINK("https://ceds.ed.gov/cedselementdetails.aspx?termid=5931")</f>
        <v>https://ceds.ed.gov/cedselementdetails.aspx?termid=5931</v>
      </c>
      <c r="P2170" s="6" t="str">
        <f>HYPERLINK("https://ceds.ed.gov/elementComment.aspx?elementName=Learning Resource Text Complexity System &amp;elementID=5931", "Click here to submit comment")</f>
        <v>Click here to submit comment</v>
      </c>
    </row>
    <row r="2171" spans="1:16" ht="45">
      <c r="A2171" s="6" t="s">
        <v>6869</v>
      </c>
      <c r="B2171" s="6" t="s">
        <v>6866</v>
      </c>
      <c r="C2171" s="6"/>
      <c r="D2171" s="6" t="s">
        <v>3691</v>
      </c>
      <c r="E2171" s="6" t="s">
        <v>3692</v>
      </c>
      <c r="F2171" s="6" t="s">
        <v>13</v>
      </c>
      <c r="G2171" s="6"/>
      <c r="H2171" s="6"/>
      <c r="I2171" s="6" t="s">
        <v>100</v>
      </c>
      <c r="J2171" s="6"/>
      <c r="K2171" s="6"/>
      <c r="L2171" s="6" t="s">
        <v>3693</v>
      </c>
      <c r="M2171" s="6"/>
      <c r="N2171" s="6" t="s">
        <v>3694</v>
      </c>
      <c r="O2171" s="6" t="str">
        <f>HYPERLINK("https://ceds.ed.gov/cedselementdetails.aspx?termid=5930")</f>
        <v>https://ceds.ed.gov/cedselementdetails.aspx?termid=5930</v>
      </c>
      <c r="P2171" s="6" t="str">
        <f>HYPERLINK("https://ceds.ed.gov/elementComment.aspx?elementName=Learning Resource Text Complexity Value &amp;elementID=5930", "Click here to submit comment")</f>
        <v>Click here to submit comment</v>
      </c>
    </row>
    <row r="2172" spans="1:16" ht="60">
      <c r="A2172" s="6" t="s">
        <v>6869</v>
      </c>
      <c r="B2172" s="6" t="s">
        <v>6866</v>
      </c>
      <c r="C2172" s="6"/>
      <c r="D2172" s="6" t="s">
        <v>3695</v>
      </c>
      <c r="E2172" s="6" t="s">
        <v>3696</v>
      </c>
      <c r="F2172" s="6" t="s">
        <v>13</v>
      </c>
      <c r="G2172" s="6"/>
      <c r="H2172" s="6" t="s">
        <v>66</v>
      </c>
      <c r="I2172" s="6" t="s">
        <v>3697</v>
      </c>
      <c r="J2172" s="6" t="s">
        <v>3698</v>
      </c>
      <c r="K2172" s="6"/>
      <c r="L2172" s="6" t="s">
        <v>3699</v>
      </c>
      <c r="M2172" s="6"/>
      <c r="N2172" s="6" t="s">
        <v>3700</v>
      </c>
      <c r="O2172" s="6" t="str">
        <f>HYPERLINK("https://ceds.ed.gov/cedselementdetails.aspx?termid=5925")</f>
        <v>https://ceds.ed.gov/cedselementdetails.aspx?termid=5925</v>
      </c>
      <c r="P2172" s="6" t="str">
        <f>HYPERLINK("https://ceds.ed.gov/elementComment.aspx?elementName=Learning Resource Time Required &amp;elementID=5925", "Click here to submit comment")</f>
        <v>Click here to submit comment</v>
      </c>
    </row>
    <row r="2173" spans="1:16" ht="30">
      <c r="A2173" s="6" t="s">
        <v>6869</v>
      </c>
      <c r="B2173" s="6" t="s">
        <v>6866</v>
      </c>
      <c r="C2173" s="6"/>
      <c r="D2173" s="6" t="s">
        <v>3701</v>
      </c>
      <c r="E2173" s="6" t="s">
        <v>3702</v>
      </c>
      <c r="F2173" s="6" t="s">
        <v>13</v>
      </c>
      <c r="G2173" s="6"/>
      <c r="H2173" s="6"/>
      <c r="I2173" s="6" t="s">
        <v>100</v>
      </c>
      <c r="J2173" s="6"/>
      <c r="K2173" s="6"/>
      <c r="L2173" s="6" t="s">
        <v>3703</v>
      </c>
      <c r="M2173" s="6"/>
      <c r="N2173" s="6" t="s">
        <v>3704</v>
      </c>
      <c r="O2173" s="6" t="str">
        <f>HYPERLINK("https://ceds.ed.gov/cedselementdetails.aspx?termid=5912")</f>
        <v>https://ceds.ed.gov/cedselementdetails.aspx?termid=5912</v>
      </c>
      <c r="P2173" s="6" t="str">
        <f>HYPERLINK("https://ceds.ed.gov/elementComment.aspx?elementName=Learning Resource Title &amp;elementID=5912", "Click here to submit comment")</f>
        <v>Click here to submit comment</v>
      </c>
    </row>
    <row r="2174" spans="1:16" ht="409.5">
      <c r="A2174" s="6" t="s">
        <v>6869</v>
      </c>
      <c r="B2174" s="6" t="s">
        <v>6866</v>
      </c>
      <c r="C2174" s="6"/>
      <c r="D2174" s="6" t="s">
        <v>3705</v>
      </c>
      <c r="E2174" s="6" t="s">
        <v>3706</v>
      </c>
      <c r="F2174" s="7" t="s">
        <v>6567</v>
      </c>
      <c r="G2174" s="6"/>
      <c r="H2174" s="6" t="s">
        <v>66</v>
      </c>
      <c r="I2174" s="6"/>
      <c r="J2174" s="6" t="s">
        <v>3621</v>
      </c>
      <c r="K2174" s="6" t="s">
        <v>3707</v>
      </c>
      <c r="L2174" s="6" t="s">
        <v>3708</v>
      </c>
      <c r="M2174" s="6"/>
      <c r="N2174" s="6" t="s">
        <v>3709</v>
      </c>
      <c r="O2174" s="6" t="str">
        <f>HYPERLINK("https://ceds.ed.gov/cedselementdetails.aspx?termid=5929")</f>
        <v>https://ceds.ed.gov/cedselementdetails.aspx?termid=5929</v>
      </c>
      <c r="P2174" s="6" t="str">
        <f>HYPERLINK("https://ceds.ed.gov/elementComment.aspx?elementName=Learning Resource Type &amp;elementID=5929", "Click here to submit comment")</f>
        <v>Click here to submit comment</v>
      </c>
    </row>
    <row r="2175" spans="1:16" ht="45">
      <c r="A2175" s="6" t="s">
        <v>6869</v>
      </c>
      <c r="B2175" s="6" t="s">
        <v>6866</v>
      </c>
      <c r="C2175" s="6"/>
      <c r="D2175" s="6" t="s">
        <v>3710</v>
      </c>
      <c r="E2175" s="6" t="s">
        <v>3711</v>
      </c>
      <c r="F2175" s="6" t="s">
        <v>13</v>
      </c>
      <c r="G2175" s="6"/>
      <c r="H2175" s="6"/>
      <c r="I2175" s="6" t="s">
        <v>308</v>
      </c>
      <c r="J2175" s="6"/>
      <c r="K2175" s="6"/>
      <c r="L2175" s="6" t="s">
        <v>3712</v>
      </c>
      <c r="M2175" s="6"/>
      <c r="N2175" s="6" t="s">
        <v>3713</v>
      </c>
      <c r="O2175" s="6" t="str">
        <f>HYPERLINK("https://ceds.ed.gov/cedselementdetails.aspx?termid=5927")</f>
        <v>https://ceds.ed.gov/cedselementdetails.aspx?termid=5927</v>
      </c>
      <c r="P2175" s="6" t="str">
        <f>HYPERLINK("https://ceds.ed.gov/elementComment.aspx?elementName=Learning Resource Typical Age Range Maximum &amp;elementID=5927", "Click here to submit comment")</f>
        <v>Click here to submit comment</v>
      </c>
    </row>
    <row r="2176" spans="1:16" ht="45">
      <c r="A2176" s="6" t="s">
        <v>6869</v>
      </c>
      <c r="B2176" s="6" t="s">
        <v>6866</v>
      </c>
      <c r="C2176" s="6"/>
      <c r="D2176" s="6" t="s">
        <v>3714</v>
      </c>
      <c r="E2176" s="6" t="s">
        <v>3715</v>
      </c>
      <c r="F2176" s="6" t="s">
        <v>13</v>
      </c>
      <c r="G2176" s="6"/>
      <c r="H2176" s="6"/>
      <c r="I2176" s="6" t="s">
        <v>308</v>
      </c>
      <c r="J2176" s="6"/>
      <c r="K2176" s="6"/>
      <c r="L2176" s="6" t="s">
        <v>3716</v>
      </c>
      <c r="M2176" s="6"/>
      <c r="N2176" s="6" t="s">
        <v>3717</v>
      </c>
      <c r="O2176" s="6" t="str">
        <f>HYPERLINK("https://ceds.ed.gov/cedselementdetails.aspx?termid=5926")</f>
        <v>https://ceds.ed.gov/cedselementdetails.aspx?termid=5926</v>
      </c>
      <c r="P2176" s="6" t="str">
        <f>HYPERLINK("https://ceds.ed.gov/elementComment.aspx?elementName=Learning Resource Typical Age Range Minimum &amp;elementID=5926", "Click here to submit comment")</f>
        <v>Click here to submit comment</v>
      </c>
    </row>
    <row r="2177" spans="1:16" ht="75">
      <c r="A2177" s="6" t="s">
        <v>6869</v>
      </c>
      <c r="B2177" s="6" t="s">
        <v>6866</v>
      </c>
      <c r="C2177" s="6"/>
      <c r="D2177" s="6" t="s">
        <v>3718</v>
      </c>
      <c r="E2177" s="6" t="s">
        <v>3719</v>
      </c>
      <c r="F2177" s="6" t="s">
        <v>13</v>
      </c>
      <c r="G2177" s="6"/>
      <c r="H2177" s="6"/>
      <c r="I2177" s="6" t="s">
        <v>93</v>
      </c>
      <c r="J2177" s="6"/>
      <c r="K2177" s="6"/>
      <c r="L2177" s="6" t="s">
        <v>3720</v>
      </c>
      <c r="M2177" s="6"/>
      <c r="N2177" s="6" t="s">
        <v>3721</v>
      </c>
      <c r="O2177" s="6" t="str">
        <f>HYPERLINK("https://ceds.ed.gov/cedselementdetails.aspx?termid=5911")</f>
        <v>https://ceds.ed.gov/cedselementdetails.aspx?termid=5911</v>
      </c>
      <c r="P2177" s="6" t="str">
        <f>HYPERLINK("https://ceds.ed.gov/elementComment.aspx?elementName=Learning Resource URL &amp;elementID=5911", "Click here to submit comment")</f>
        <v>Click here to submit comment</v>
      </c>
    </row>
    <row r="2178" spans="1:16" ht="45">
      <c r="A2178" s="6" t="s">
        <v>6869</v>
      </c>
      <c r="B2178" s="6" t="s">
        <v>6866</v>
      </c>
      <c r="C2178" s="6"/>
      <c r="D2178" s="6" t="s">
        <v>3722</v>
      </c>
      <c r="E2178" s="6" t="s">
        <v>3723</v>
      </c>
      <c r="F2178" s="6" t="s">
        <v>13</v>
      </c>
      <c r="G2178" s="6"/>
      <c r="H2178" s="6"/>
      <c r="I2178" s="6" t="s">
        <v>93</v>
      </c>
      <c r="J2178" s="6"/>
      <c r="K2178" s="6" t="s">
        <v>3724</v>
      </c>
      <c r="L2178" s="6" t="s">
        <v>3725</v>
      </c>
      <c r="M2178" s="6"/>
      <c r="N2178" s="6" t="s">
        <v>3726</v>
      </c>
      <c r="O2178" s="6" t="str">
        <f>HYPERLINK("https://ceds.ed.gov/cedselementdetails.aspx?termid=5922")</f>
        <v>https://ceds.ed.gov/cedselementdetails.aspx?termid=5922</v>
      </c>
      <c r="P2178" s="6" t="str">
        <f>HYPERLINK("https://ceds.ed.gov/elementComment.aspx?elementName=Learning Resource Use Rights URL &amp;elementID=5922", "Click here to submit comment")</f>
        <v>Click here to submit comment</v>
      </c>
    </row>
    <row r="2179" spans="1:16" ht="30">
      <c r="A2179" s="6" t="s">
        <v>6869</v>
      </c>
      <c r="B2179" s="6" t="s">
        <v>6866</v>
      </c>
      <c r="C2179" s="6"/>
      <c r="D2179" s="6" t="s">
        <v>3727</v>
      </c>
      <c r="E2179" s="6" t="s">
        <v>3728</v>
      </c>
      <c r="F2179" s="6" t="s">
        <v>13</v>
      </c>
      <c r="G2179" s="6"/>
      <c r="H2179" s="6" t="s">
        <v>66</v>
      </c>
      <c r="I2179" s="6" t="s">
        <v>100</v>
      </c>
      <c r="J2179" s="6" t="s">
        <v>1820</v>
      </c>
      <c r="K2179" s="6"/>
      <c r="L2179" s="6" t="s">
        <v>3729</v>
      </c>
      <c r="M2179" s="6"/>
      <c r="N2179" s="6" t="s">
        <v>3730</v>
      </c>
      <c r="O2179" s="6" t="str">
        <f>HYPERLINK("https://ceds.ed.gov/cedselementdetails.aspx?termid=6182")</f>
        <v>https://ceds.ed.gov/cedselementdetails.aspx?termid=6182</v>
      </c>
      <c r="P2179" s="6" t="str">
        <f>HYPERLINK("https://ceds.ed.gov/elementComment.aspx?elementName=Learning Resource Version &amp;elementID=6182", "Click here to submit comment")</f>
        <v>Click here to submit comment</v>
      </c>
    </row>
    <row r="2180" spans="1:16" ht="30">
      <c r="A2180" s="6" t="s">
        <v>6869</v>
      </c>
      <c r="B2180" s="6" t="s">
        <v>6866</v>
      </c>
      <c r="C2180" s="6" t="s">
        <v>6867</v>
      </c>
      <c r="D2180" s="6" t="s">
        <v>4435</v>
      </c>
      <c r="E2180" s="6" t="s">
        <v>4436</v>
      </c>
      <c r="F2180" s="6" t="s">
        <v>13</v>
      </c>
      <c r="G2180" s="6"/>
      <c r="H2180" s="6"/>
      <c r="I2180" s="6" t="s">
        <v>73</v>
      </c>
      <c r="J2180" s="6"/>
      <c r="K2180" s="6"/>
      <c r="L2180" s="6" t="s">
        <v>4437</v>
      </c>
      <c r="M2180" s="6"/>
      <c r="N2180" s="6" t="s">
        <v>4438</v>
      </c>
      <c r="O2180" s="6" t="str">
        <f>HYPERLINK("https://ceds.ed.gov/cedselementdetails.aspx?termid=6171")</f>
        <v>https://ceds.ed.gov/cedselementdetails.aspx?termid=6171</v>
      </c>
      <c r="P2180" s="6" t="str">
        <f>HYPERLINK("https://ceds.ed.gov/elementComment.aspx?elementName=Peer Rating Date &amp;elementID=6171", "Click here to submit comment")</f>
        <v>Click here to submit comment</v>
      </c>
    </row>
    <row r="2181" spans="1:16" ht="45">
      <c r="A2181" s="6" t="s">
        <v>6869</v>
      </c>
      <c r="B2181" s="6" t="s">
        <v>6866</v>
      </c>
      <c r="C2181" s="6" t="s">
        <v>6868</v>
      </c>
      <c r="D2181" s="6" t="s">
        <v>4439</v>
      </c>
      <c r="E2181" s="6" t="s">
        <v>4440</v>
      </c>
      <c r="F2181" s="6" t="s">
        <v>13</v>
      </c>
      <c r="G2181" s="6"/>
      <c r="H2181" s="6"/>
      <c r="I2181" s="6" t="s">
        <v>957</v>
      </c>
      <c r="J2181" s="6"/>
      <c r="K2181" s="6"/>
      <c r="L2181" s="6" t="s">
        <v>4441</v>
      </c>
      <c r="M2181" s="6"/>
      <c r="N2181" s="6" t="s">
        <v>4442</v>
      </c>
      <c r="O2181" s="6" t="str">
        <f>HYPERLINK("https://ceds.ed.gov/cedselementdetails.aspx?termid=6162")</f>
        <v>https://ceds.ed.gov/cedselementdetails.aspx?termid=6162</v>
      </c>
      <c r="P2181" s="6" t="str">
        <f>HYPERLINK("https://ceds.ed.gov/elementComment.aspx?elementName=Peer Rating System Maximum Value &amp;elementID=6162", "Click here to submit comment")</f>
        <v>Click here to submit comment</v>
      </c>
    </row>
    <row r="2182" spans="1:16" ht="45">
      <c r="A2182" s="6" t="s">
        <v>6869</v>
      </c>
      <c r="B2182" s="6" t="s">
        <v>6866</v>
      </c>
      <c r="C2182" s="6" t="s">
        <v>6868</v>
      </c>
      <c r="D2182" s="6" t="s">
        <v>4443</v>
      </c>
      <c r="E2182" s="6" t="s">
        <v>4444</v>
      </c>
      <c r="F2182" s="6" t="s">
        <v>13</v>
      </c>
      <c r="G2182" s="6"/>
      <c r="H2182" s="6"/>
      <c r="I2182" s="6" t="s">
        <v>957</v>
      </c>
      <c r="J2182" s="6"/>
      <c r="K2182" s="6"/>
      <c r="L2182" s="6" t="s">
        <v>4445</v>
      </c>
      <c r="M2182" s="6"/>
      <c r="N2182" s="6" t="s">
        <v>4446</v>
      </c>
      <c r="O2182" s="6" t="str">
        <f>HYPERLINK("https://ceds.ed.gov/cedselementdetails.aspx?termid=6163")</f>
        <v>https://ceds.ed.gov/cedselementdetails.aspx?termid=6163</v>
      </c>
      <c r="P2182" s="6" t="str">
        <f>HYPERLINK("https://ceds.ed.gov/elementComment.aspx?elementName=Peer Rating System Minimum Value &amp;elementID=6163", "Click here to submit comment")</f>
        <v>Click here to submit comment</v>
      </c>
    </row>
    <row r="2183" spans="1:16" ht="30">
      <c r="A2183" s="6" t="s">
        <v>6869</v>
      </c>
      <c r="B2183" s="6" t="s">
        <v>6866</v>
      </c>
      <c r="C2183" s="6" t="s">
        <v>6868</v>
      </c>
      <c r="D2183" s="6" t="s">
        <v>4447</v>
      </c>
      <c r="E2183" s="6" t="s">
        <v>4448</v>
      </c>
      <c r="F2183" s="6" t="s">
        <v>13</v>
      </c>
      <c r="G2183" s="6"/>
      <c r="H2183" s="6"/>
      <c r="I2183" s="6" t="s">
        <v>106</v>
      </c>
      <c r="J2183" s="6"/>
      <c r="K2183" s="6"/>
      <c r="L2183" s="6" t="s">
        <v>4449</v>
      </c>
      <c r="M2183" s="6"/>
      <c r="N2183" s="6" t="s">
        <v>4450</v>
      </c>
      <c r="O2183" s="6" t="str">
        <f>HYPERLINK("https://ceds.ed.gov/cedselementdetails.aspx?termid=6160")</f>
        <v>https://ceds.ed.gov/cedselementdetails.aspx?termid=6160</v>
      </c>
      <c r="P2183" s="6" t="str">
        <f>HYPERLINK("https://ceds.ed.gov/elementComment.aspx?elementName=Peer Rating System Name &amp;elementID=6160", "Click here to submit comment")</f>
        <v>Click here to submit comment</v>
      </c>
    </row>
    <row r="2184" spans="1:16" ht="75">
      <c r="A2184" s="6" t="s">
        <v>6869</v>
      </c>
      <c r="B2184" s="6" t="s">
        <v>6866</v>
      </c>
      <c r="C2184" s="6" t="s">
        <v>6868</v>
      </c>
      <c r="D2184" s="6" t="s">
        <v>4451</v>
      </c>
      <c r="E2184" s="6" t="s">
        <v>4452</v>
      </c>
      <c r="F2184" s="6" t="s">
        <v>13</v>
      </c>
      <c r="G2184" s="6"/>
      <c r="H2184" s="6"/>
      <c r="I2184" s="6" t="s">
        <v>957</v>
      </c>
      <c r="J2184" s="6"/>
      <c r="K2184" s="6"/>
      <c r="L2184" s="6" t="s">
        <v>4453</v>
      </c>
      <c r="M2184" s="6"/>
      <c r="N2184" s="6" t="s">
        <v>4454</v>
      </c>
      <c r="O2184" s="6" t="str">
        <f>HYPERLINK("https://ceds.ed.gov/cedselementdetails.aspx?termid=6164")</f>
        <v>https://ceds.ed.gov/cedselementdetails.aspx?termid=6164</v>
      </c>
      <c r="P2184" s="6" t="str">
        <f>HYPERLINK("https://ceds.ed.gov/elementComment.aspx?elementName=Peer Rating System Optimum Value &amp;elementID=6164", "Click here to submit comment")</f>
        <v>Click here to submit comment</v>
      </c>
    </row>
    <row r="2185" spans="1:16" ht="30">
      <c r="A2185" s="6" t="s">
        <v>6869</v>
      </c>
      <c r="B2185" s="6" t="s">
        <v>6855</v>
      </c>
      <c r="C2185" s="6"/>
      <c r="D2185" s="6" t="s">
        <v>3528</v>
      </c>
      <c r="E2185" s="6" t="s">
        <v>3529</v>
      </c>
      <c r="F2185" s="6" t="s">
        <v>13</v>
      </c>
      <c r="G2185" s="6"/>
      <c r="H2185" s="6"/>
      <c r="I2185" s="6" t="s">
        <v>73</v>
      </c>
      <c r="J2185" s="6"/>
      <c r="K2185" s="6"/>
      <c r="L2185" s="6" t="s">
        <v>3530</v>
      </c>
      <c r="M2185" s="6"/>
      <c r="N2185" s="6" t="s">
        <v>3531</v>
      </c>
      <c r="O2185" s="6" t="str">
        <f>HYPERLINK("https://ceds.ed.gov/cedselementdetails.aspx?termid=6170")</f>
        <v>https://ceds.ed.gov/cedselementdetails.aspx?termid=6170</v>
      </c>
      <c r="P2185" s="6" t="str">
        <f>HYPERLINK("https://ceds.ed.gov/elementComment.aspx?elementName=Learning Goal End Date &amp;elementID=6170", "Click here to submit comment")</f>
        <v>Click here to submit comment</v>
      </c>
    </row>
    <row r="2186" spans="1:16" ht="30">
      <c r="A2186" s="6" t="s">
        <v>6869</v>
      </c>
      <c r="B2186" s="6" t="s">
        <v>6855</v>
      </c>
      <c r="C2186" s="6"/>
      <c r="D2186" s="6" t="s">
        <v>3532</v>
      </c>
      <c r="E2186" s="6" t="s">
        <v>3533</v>
      </c>
      <c r="F2186" s="6" t="s">
        <v>13</v>
      </c>
      <c r="G2186" s="6"/>
      <c r="H2186" s="6"/>
      <c r="I2186" s="6" t="s">
        <v>73</v>
      </c>
      <c r="J2186" s="6"/>
      <c r="K2186" s="6"/>
      <c r="L2186" s="6" t="s">
        <v>3534</v>
      </c>
      <c r="M2186" s="6"/>
      <c r="N2186" s="6" t="s">
        <v>3535</v>
      </c>
      <c r="O2186" s="6" t="str">
        <f>HYPERLINK("https://ceds.ed.gov/cedselementdetails.aspx?termid=6169")</f>
        <v>https://ceds.ed.gov/cedselementdetails.aspx?termid=6169</v>
      </c>
      <c r="P2186" s="6" t="str">
        <f>HYPERLINK("https://ceds.ed.gov/elementComment.aspx?elementName=Learning Goal Start Date &amp;elementID=6169", "Click here to submit comment")</f>
        <v>Click here to submit comment</v>
      </c>
    </row>
    <row r="2187" spans="1:16" ht="195">
      <c r="A2187" s="6" t="s">
        <v>6884</v>
      </c>
      <c r="B2187" s="6" t="s">
        <v>6885</v>
      </c>
      <c r="C2187" s="6" t="s">
        <v>6717</v>
      </c>
      <c r="D2187" s="6" t="s">
        <v>2776</v>
      </c>
      <c r="E2187" s="6" t="s">
        <v>2777</v>
      </c>
      <c r="F2187" s="6" t="s">
        <v>13</v>
      </c>
      <c r="G2187" s="6" t="s">
        <v>6176</v>
      </c>
      <c r="H2187" s="6" t="s">
        <v>3</v>
      </c>
      <c r="I2187" s="6" t="s">
        <v>1368</v>
      </c>
      <c r="J2187" s="6"/>
      <c r="K2187" s="6" t="s">
        <v>2778</v>
      </c>
      <c r="L2187" s="6" t="s">
        <v>2779</v>
      </c>
      <c r="M2187" s="6"/>
      <c r="N2187" s="6" t="s">
        <v>2780</v>
      </c>
      <c r="O2187" s="6" t="str">
        <f>HYPERLINK("https://ceds.ed.gov/cedselementdetails.aspx?termid=5115")</f>
        <v>https://ceds.ed.gov/cedselementdetails.aspx?termid=5115</v>
      </c>
      <c r="P2187" s="6" t="str">
        <f>HYPERLINK("https://ceds.ed.gov/elementComment.aspx?elementName=First Name &amp;elementID=5115", "Click here to submit comment")</f>
        <v>Click here to submit comment</v>
      </c>
    </row>
    <row r="2188" spans="1:16" ht="195">
      <c r="A2188" s="6" t="s">
        <v>6884</v>
      </c>
      <c r="B2188" s="6" t="s">
        <v>6885</v>
      </c>
      <c r="C2188" s="6" t="s">
        <v>6717</v>
      </c>
      <c r="D2188" s="6" t="s">
        <v>4088</v>
      </c>
      <c r="E2188" s="6" t="s">
        <v>4089</v>
      </c>
      <c r="F2188" s="6" t="s">
        <v>13</v>
      </c>
      <c r="G2188" s="6" t="s">
        <v>6176</v>
      </c>
      <c r="H2188" s="6" t="s">
        <v>3</v>
      </c>
      <c r="I2188" s="6" t="s">
        <v>1368</v>
      </c>
      <c r="J2188" s="6"/>
      <c r="K2188" s="6" t="s">
        <v>2778</v>
      </c>
      <c r="L2188" s="6" t="s">
        <v>4090</v>
      </c>
      <c r="M2188" s="6"/>
      <c r="N2188" s="6" t="s">
        <v>4091</v>
      </c>
      <c r="O2188" s="6" t="str">
        <f>HYPERLINK("https://ceds.ed.gov/cedselementdetails.aspx?termid=5184")</f>
        <v>https://ceds.ed.gov/cedselementdetails.aspx?termid=5184</v>
      </c>
      <c r="P2188" s="6" t="str">
        <f>HYPERLINK("https://ceds.ed.gov/elementComment.aspx?elementName=Middle Name &amp;elementID=5184", "Click here to submit comment")</f>
        <v>Click here to submit comment</v>
      </c>
    </row>
    <row r="2189" spans="1:16" ht="195">
      <c r="A2189" s="6" t="s">
        <v>6884</v>
      </c>
      <c r="B2189" s="6" t="s">
        <v>6885</v>
      </c>
      <c r="C2189" s="6" t="s">
        <v>6717</v>
      </c>
      <c r="D2189" s="6" t="s">
        <v>3427</v>
      </c>
      <c r="E2189" s="6" t="s">
        <v>3428</v>
      </c>
      <c r="F2189" s="6" t="s">
        <v>13</v>
      </c>
      <c r="G2189" s="6" t="s">
        <v>6176</v>
      </c>
      <c r="H2189" s="6" t="s">
        <v>3</v>
      </c>
      <c r="I2189" s="6" t="s">
        <v>1368</v>
      </c>
      <c r="J2189" s="6"/>
      <c r="K2189" s="6" t="s">
        <v>2778</v>
      </c>
      <c r="L2189" s="6" t="s">
        <v>3429</v>
      </c>
      <c r="M2189" s="6" t="s">
        <v>3430</v>
      </c>
      <c r="N2189" s="6" t="s">
        <v>3431</v>
      </c>
      <c r="O2189" s="6" t="str">
        <f>HYPERLINK("https://ceds.ed.gov/cedselementdetails.aspx?termid=5172")</f>
        <v>https://ceds.ed.gov/cedselementdetails.aspx?termid=5172</v>
      </c>
      <c r="P2189" s="6" t="str">
        <f>HYPERLINK("https://ceds.ed.gov/elementComment.aspx?elementName=Last or Surname &amp;elementID=5172", "Click here to submit comment")</f>
        <v>Click here to submit comment</v>
      </c>
    </row>
    <row r="2190" spans="1:16" ht="150">
      <c r="A2190" s="6" t="s">
        <v>6884</v>
      </c>
      <c r="B2190" s="6" t="s">
        <v>6885</v>
      </c>
      <c r="C2190" s="6" t="s">
        <v>6717</v>
      </c>
      <c r="D2190" s="6" t="s">
        <v>2829</v>
      </c>
      <c r="E2190" s="6" t="s">
        <v>2830</v>
      </c>
      <c r="F2190" s="6" t="s">
        <v>13</v>
      </c>
      <c r="G2190" s="6" t="s">
        <v>6179</v>
      </c>
      <c r="H2190" s="6" t="s">
        <v>3</v>
      </c>
      <c r="I2190" s="6" t="s">
        <v>2031</v>
      </c>
      <c r="J2190" s="6"/>
      <c r="K2190" s="6" t="s">
        <v>2778</v>
      </c>
      <c r="L2190" s="6" t="s">
        <v>2831</v>
      </c>
      <c r="M2190" s="6"/>
      <c r="N2190" s="6" t="s">
        <v>2832</v>
      </c>
      <c r="O2190" s="6" t="str">
        <f>HYPERLINK("https://ceds.ed.gov/cedselementdetails.aspx?termid=5121")</f>
        <v>https://ceds.ed.gov/cedselementdetails.aspx?termid=5121</v>
      </c>
      <c r="P2190" s="6" t="str">
        <f>HYPERLINK("https://ceds.ed.gov/elementComment.aspx?elementName=Generation Code or Suffix &amp;elementID=5121", "Click here to submit comment")</f>
        <v>Click here to submit comment</v>
      </c>
    </row>
    <row r="2191" spans="1:16" ht="105">
      <c r="A2191" s="6" t="s">
        <v>6884</v>
      </c>
      <c r="B2191" s="6" t="s">
        <v>6885</v>
      </c>
      <c r="C2191" s="6" t="s">
        <v>6717</v>
      </c>
      <c r="D2191" s="6" t="s">
        <v>4498</v>
      </c>
      <c r="E2191" s="6" t="s">
        <v>4499</v>
      </c>
      <c r="F2191" s="6" t="s">
        <v>13</v>
      </c>
      <c r="G2191" s="6" t="s">
        <v>6280</v>
      </c>
      <c r="H2191" s="6" t="s">
        <v>3</v>
      </c>
      <c r="I2191" s="6" t="s">
        <v>100</v>
      </c>
      <c r="J2191" s="6"/>
      <c r="K2191" s="6"/>
      <c r="L2191" s="6" t="s">
        <v>4500</v>
      </c>
      <c r="M2191" s="6" t="s">
        <v>4501</v>
      </c>
      <c r="N2191" s="6" t="s">
        <v>4502</v>
      </c>
      <c r="O2191" s="6" t="str">
        <f>HYPERLINK("https://ceds.ed.gov/cedselementdetails.aspx?termid=5212")</f>
        <v>https://ceds.ed.gov/cedselementdetails.aspx?termid=5212</v>
      </c>
      <c r="P2191" s="6" t="str">
        <f>HYPERLINK("https://ceds.ed.gov/elementComment.aspx?elementName=Personal Title or Prefix &amp;elementID=5212", "Click here to submit comment")</f>
        <v>Click here to submit comment</v>
      </c>
    </row>
    <row r="2192" spans="1:16" ht="30">
      <c r="A2192" s="6" t="s">
        <v>6884</v>
      </c>
      <c r="B2192" s="6" t="s">
        <v>6885</v>
      </c>
      <c r="C2192" s="6" t="s">
        <v>6718</v>
      </c>
      <c r="D2192" s="6" t="s">
        <v>4375</v>
      </c>
      <c r="E2192" s="6" t="s">
        <v>4376</v>
      </c>
      <c r="F2192" s="6" t="s">
        <v>13</v>
      </c>
      <c r="G2192" s="6"/>
      <c r="H2192" s="6" t="s">
        <v>54</v>
      </c>
      <c r="I2192" s="6" t="s">
        <v>1368</v>
      </c>
      <c r="J2192" s="6"/>
      <c r="K2192" s="6" t="s">
        <v>4377</v>
      </c>
      <c r="L2192" s="6" t="s">
        <v>4378</v>
      </c>
      <c r="M2192" s="6"/>
      <c r="N2192" s="6" t="s">
        <v>4379</v>
      </c>
      <c r="O2192" s="6" t="str">
        <f>HYPERLINK("https://ceds.ed.gov/cedselementdetails.aspx?termid=6486")</f>
        <v>https://ceds.ed.gov/cedselementdetails.aspx?termid=6486</v>
      </c>
      <c r="P2192" s="6" t="str">
        <f>HYPERLINK("https://ceds.ed.gov/elementComment.aspx?elementName=Other First Name &amp;elementID=6486", "Click here to submit comment")</f>
        <v>Click here to submit comment</v>
      </c>
    </row>
    <row r="2193" spans="1:16" ht="30">
      <c r="A2193" s="6" t="s">
        <v>6884</v>
      </c>
      <c r="B2193" s="6" t="s">
        <v>6885</v>
      </c>
      <c r="C2193" s="6" t="s">
        <v>6718</v>
      </c>
      <c r="D2193" s="6" t="s">
        <v>4380</v>
      </c>
      <c r="E2193" s="6" t="s">
        <v>4381</v>
      </c>
      <c r="F2193" s="6" t="s">
        <v>13</v>
      </c>
      <c r="G2193" s="6"/>
      <c r="H2193" s="6" t="s">
        <v>54</v>
      </c>
      <c r="I2193" s="6" t="s">
        <v>1368</v>
      </c>
      <c r="J2193" s="6"/>
      <c r="K2193" s="6" t="s">
        <v>4382</v>
      </c>
      <c r="L2193" s="6" t="s">
        <v>4383</v>
      </c>
      <c r="M2193" s="6"/>
      <c r="N2193" s="6" t="s">
        <v>4384</v>
      </c>
      <c r="O2193" s="6" t="str">
        <f>HYPERLINK("https://ceds.ed.gov/cedselementdetails.aspx?termid=6485")</f>
        <v>https://ceds.ed.gov/cedselementdetails.aspx?termid=6485</v>
      </c>
      <c r="P2193" s="6" t="str">
        <f>HYPERLINK("https://ceds.ed.gov/elementComment.aspx?elementName=Other Last Name &amp;elementID=6485", "Click here to submit comment")</f>
        <v>Click here to submit comment</v>
      </c>
    </row>
    <row r="2194" spans="1:16" ht="30">
      <c r="A2194" s="6" t="s">
        <v>6884</v>
      </c>
      <c r="B2194" s="6" t="s">
        <v>6885</v>
      </c>
      <c r="C2194" s="6" t="s">
        <v>6718</v>
      </c>
      <c r="D2194" s="6" t="s">
        <v>4385</v>
      </c>
      <c r="E2194" s="6" t="s">
        <v>4386</v>
      </c>
      <c r="F2194" s="6" t="s">
        <v>13</v>
      </c>
      <c r="G2194" s="6"/>
      <c r="H2194" s="6" t="s">
        <v>54</v>
      </c>
      <c r="I2194" s="6" t="s">
        <v>1368</v>
      </c>
      <c r="J2194" s="6"/>
      <c r="K2194" s="6" t="s">
        <v>4387</v>
      </c>
      <c r="L2194" s="6" t="s">
        <v>4388</v>
      </c>
      <c r="M2194" s="6"/>
      <c r="N2194" s="6" t="s">
        <v>4389</v>
      </c>
      <c r="O2194" s="6" t="str">
        <f>HYPERLINK("https://ceds.ed.gov/cedselementdetails.aspx?termid=6487")</f>
        <v>https://ceds.ed.gov/cedselementdetails.aspx?termid=6487</v>
      </c>
      <c r="P2194" s="6" t="str">
        <f>HYPERLINK("https://ceds.ed.gov/elementComment.aspx?elementName=Other Middle Name &amp;elementID=6487", "Click here to submit comment")</f>
        <v>Click here to submit comment</v>
      </c>
    </row>
    <row r="2195" spans="1:16" ht="150">
      <c r="A2195" s="6" t="s">
        <v>6884</v>
      </c>
      <c r="B2195" s="6" t="s">
        <v>6885</v>
      </c>
      <c r="C2195" s="6" t="s">
        <v>6718</v>
      </c>
      <c r="D2195" s="6" t="s">
        <v>4390</v>
      </c>
      <c r="E2195" s="6" t="s">
        <v>4391</v>
      </c>
      <c r="F2195" s="6" t="s">
        <v>13</v>
      </c>
      <c r="G2195" s="6" t="s">
        <v>6179</v>
      </c>
      <c r="H2195" s="6" t="s">
        <v>3</v>
      </c>
      <c r="I2195" s="6" t="s">
        <v>149</v>
      </c>
      <c r="J2195" s="6"/>
      <c r="K2195" s="6"/>
      <c r="L2195" s="6" t="s">
        <v>4392</v>
      </c>
      <c r="M2195" s="6"/>
      <c r="N2195" s="6" t="s">
        <v>4393</v>
      </c>
      <c r="O2195" s="6" t="str">
        <f>HYPERLINK("https://ceds.ed.gov/cedselementdetails.aspx?termid=5206")</f>
        <v>https://ceds.ed.gov/cedselementdetails.aspx?termid=5206</v>
      </c>
      <c r="P2195" s="6" t="str">
        <f>HYPERLINK("https://ceds.ed.gov/elementComment.aspx?elementName=Other Name &amp;elementID=5206", "Click here to submit comment")</f>
        <v>Click here to submit comment</v>
      </c>
    </row>
    <row r="2196" spans="1:16" ht="90">
      <c r="A2196" s="6" t="s">
        <v>6884</v>
      </c>
      <c r="B2196" s="6" t="s">
        <v>6885</v>
      </c>
      <c r="C2196" s="6" t="s">
        <v>6718</v>
      </c>
      <c r="D2196" s="6" t="s">
        <v>4394</v>
      </c>
      <c r="E2196" s="6" t="s">
        <v>4395</v>
      </c>
      <c r="F2196" s="7" t="s">
        <v>6593</v>
      </c>
      <c r="G2196" s="6" t="s">
        <v>6273</v>
      </c>
      <c r="H2196" s="6" t="s">
        <v>3</v>
      </c>
      <c r="I2196" s="6" t="s">
        <v>100</v>
      </c>
      <c r="J2196" s="6"/>
      <c r="K2196" s="6"/>
      <c r="L2196" s="6" t="s">
        <v>4396</v>
      </c>
      <c r="M2196" s="6"/>
      <c r="N2196" s="6" t="s">
        <v>4397</v>
      </c>
      <c r="O2196" s="6" t="str">
        <f>HYPERLINK("https://ceds.ed.gov/cedselementdetails.aspx?termid=5627")</f>
        <v>https://ceds.ed.gov/cedselementdetails.aspx?termid=5627</v>
      </c>
      <c r="P2196" s="6" t="str">
        <f>HYPERLINK("https://ceds.ed.gov/elementComment.aspx?elementName=Other Name Type &amp;elementID=5627", "Click here to submit comment")</f>
        <v>Click here to submit comment</v>
      </c>
    </row>
    <row r="2197" spans="1:16" ht="135">
      <c r="A2197" s="6" t="s">
        <v>6884</v>
      </c>
      <c r="B2197" s="6" t="s">
        <v>6885</v>
      </c>
      <c r="C2197" s="6" t="s">
        <v>6719</v>
      </c>
      <c r="D2197" s="6" t="s">
        <v>5614</v>
      </c>
      <c r="E2197" s="6" t="s">
        <v>5615</v>
      </c>
      <c r="F2197" s="6" t="s">
        <v>13</v>
      </c>
      <c r="G2197" s="6" t="s">
        <v>6330</v>
      </c>
      <c r="H2197" s="6"/>
      <c r="I2197" s="6" t="s">
        <v>100</v>
      </c>
      <c r="J2197" s="6"/>
      <c r="K2197" s="6"/>
      <c r="L2197" s="6" t="s">
        <v>5616</v>
      </c>
      <c r="M2197" s="6"/>
      <c r="N2197" s="6" t="s">
        <v>5617</v>
      </c>
      <c r="O2197" s="6" t="str">
        <f>HYPERLINK("https://ceds.ed.gov/cedselementdetails.aspx?termid=5157")</f>
        <v>https://ceds.ed.gov/cedselementdetails.aspx?termid=5157</v>
      </c>
      <c r="P2197" s="6" t="str">
        <f>HYPERLINK("https://ceds.ed.gov/elementComment.aspx?elementName=Student Identifier &amp;elementID=5157", "Click here to submit comment")</f>
        <v>Click here to submit comment</v>
      </c>
    </row>
    <row r="2198" spans="1:16" ht="285">
      <c r="A2198" s="6" t="s">
        <v>6884</v>
      </c>
      <c r="B2198" s="6" t="s">
        <v>6885</v>
      </c>
      <c r="C2198" s="6" t="s">
        <v>6719</v>
      </c>
      <c r="D2198" s="6" t="s">
        <v>5610</v>
      </c>
      <c r="E2198" s="6" t="s">
        <v>5611</v>
      </c>
      <c r="F2198" s="7" t="s">
        <v>6665</v>
      </c>
      <c r="G2198" s="6" t="s">
        <v>6330</v>
      </c>
      <c r="H2198" s="6"/>
      <c r="I2198" s="6"/>
      <c r="J2198" s="6"/>
      <c r="K2198" s="6"/>
      <c r="L2198" s="6" t="s">
        <v>5612</v>
      </c>
      <c r="M2198" s="6"/>
      <c r="N2198" s="6" t="s">
        <v>5613</v>
      </c>
      <c r="O2198" s="6" t="str">
        <f>HYPERLINK("https://ceds.ed.gov/cedselementdetails.aspx?termid=5163")</f>
        <v>https://ceds.ed.gov/cedselementdetails.aspx?termid=5163</v>
      </c>
      <c r="P2198" s="6" t="str">
        <f>HYPERLINK("https://ceds.ed.gov/elementComment.aspx?elementName=Student Identification System &amp;elementID=5163", "Click here to submit comment")</f>
        <v>Click here to submit comment</v>
      </c>
    </row>
    <row r="2199" spans="1:16" ht="390">
      <c r="A2199" s="6" t="s">
        <v>6884</v>
      </c>
      <c r="B2199" s="6" t="s">
        <v>6885</v>
      </c>
      <c r="C2199" s="6" t="s">
        <v>6719</v>
      </c>
      <c r="D2199" s="6" t="s">
        <v>5383</v>
      </c>
      <c r="E2199" s="6" t="s">
        <v>5384</v>
      </c>
      <c r="F2199" s="6" t="s">
        <v>13</v>
      </c>
      <c r="G2199" s="6" t="s">
        <v>6315</v>
      </c>
      <c r="H2199" s="6" t="s">
        <v>3</v>
      </c>
      <c r="I2199" s="6" t="s">
        <v>5385</v>
      </c>
      <c r="J2199" s="6"/>
      <c r="K2199" s="6" t="s">
        <v>5386</v>
      </c>
      <c r="L2199" s="6" t="s">
        <v>5387</v>
      </c>
      <c r="M2199" s="6" t="s">
        <v>5388</v>
      </c>
      <c r="N2199" s="6" t="s">
        <v>5389</v>
      </c>
      <c r="O2199" s="6" t="str">
        <f>HYPERLINK("https://ceds.ed.gov/cedselementdetails.aspx?termid=5259")</f>
        <v>https://ceds.ed.gov/cedselementdetails.aspx?termid=5259</v>
      </c>
      <c r="P2199" s="6" t="str">
        <f>HYPERLINK("https://ceds.ed.gov/elementComment.aspx?elementName=Social Security Number &amp;elementID=5259", "Click here to submit comment")</f>
        <v>Click here to submit comment</v>
      </c>
    </row>
    <row r="2200" spans="1:16" ht="375">
      <c r="A2200" s="6" t="s">
        <v>6884</v>
      </c>
      <c r="B2200" s="6" t="s">
        <v>6885</v>
      </c>
      <c r="C2200" s="6" t="s">
        <v>6719</v>
      </c>
      <c r="D2200" s="6" t="s">
        <v>4494</v>
      </c>
      <c r="E2200" s="6" t="s">
        <v>4495</v>
      </c>
      <c r="F2200" s="7" t="s">
        <v>6599</v>
      </c>
      <c r="G2200" s="6"/>
      <c r="H2200" s="6" t="s">
        <v>3</v>
      </c>
      <c r="I2200" s="6"/>
      <c r="J2200" s="6"/>
      <c r="K2200" s="6"/>
      <c r="L2200" s="6" t="s">
        <v>4496</v>
      </c>
      <c r="M2200" s="6"/>
      <c r="N2200" s="6" t="s">
        <v>4497</v>
      </c>
      <c r="O2200" s="6" t="str">
        <f>HYPERLINK("https://ceds.ed.gov/cedselementdetails.aspx?termid=5611")</f>
        <v>https://ceds.ed.gov/cedselementdetails.aspx?termid=5611</v>
      </c>
      <c r="P2200" s="6" t="str">
        <f>HYPERLINK("https://ceds.ed.gov/elementComment.aspx?elementName=Personal Information Verification &amp;elementID=5611", "Click here to submit comment")</f>
        <v>Click here to submit comment</v>
      </c>
    </row>
    <row r="2201" spans="1:16" ht="285">
      <c r="A2201" s="6" t="s">
        <v>6884</v>
      </c>
      <c r="B2201" s="6" t="s">
        <v>6885</v>
      </c>
      <c r="C2201" s="6" t="s">
        <v>6720</v>
      </c>
      <c r="D2201" s="6" t="s">
        <v>191</v>
      </c>
      <c r="E2201" s="6" t="s">
        <v>192</v>
      </c>
      <c r="F2201" s="7" t="s">
        <v>6353</v>
      </c>
      <c r="G2201" s="6" t="s">
        <v>5976</v>
      </c>
      <c r="H2201" s="6" t="s">
        <v>66</v>
      </c>
      <c r="I2201" s="6" t="s">
        <v>100</v>
      </c>
      <c r="J2201" s="6" t="s">
        <v>193</v>
      </c>
      <c r="K2201" s="6"/>
      <c r="L2201" s="6" t="s">
        <v>194</v>
      </c>
      <c r="M2201" s="6"/>
      <c r="N2201" s="6" t="s">
        <v>195</v>
      </c>
      <c r="O2201" s="6" t="str">
        <f>HYPERLINK("https://ceds.ed.gov/cedselementdetails.aspx?termid=5358")</f>
        <v>https://ceds.ed.gov/cedselementdetails.aspx?termid=5358</v>
      </c>
      <c r="P2201" s="6" t="str">
        <f>HYPERLINK("https://ceds.ed.gov/elementComment.aspx?elementName=Address Type for Learner or Family &amp;elementID=5358", "Click here to submit comment")</f>
        <v>Click here to submit comment</v>
      </c>
    </row>
    <row r="2202" spans="1:16" ht="225">
      <c r="A2202" s="6" t="s">
        <v>6884</v>
      </c>
      <c r="B2202" s="6" t="s">
        <v>6885</v>
      </c>
      <c r="C2202" s="6" t="s">
        <v>6720</v>
      </c>
      <c r="D2202" s="6" t="s">
        <v>187</v>
      </c>
      <c r="E2202" s="6" t="s">
        <v>188</v>
      </c>
      <c r="F2202" s="6" t="s">
        <v>13</v>
      </c>
      <c r="G2202" s="6" t="s">
        <v>5973</v>
      </c>
      <c r="H2202" s="6" t="s">
        <v>3</v>
      </c>
      <c r="I2202" s="6" t="s">
        <v>149</v>
      </c>
      <c r="J2202" s="6"/>
      <c r="K2202" s="6"/>
      <c r="L2202" s="6" t="s">
        <v>189</v>
      </c>
      <c r="M2202" s="6"/>
      <c r="N2202" s="6" t="s">
        <v>190</v>
      </c>
      <c r="O2202" s="6" t="str">
        <f>HYPERLINK("https://ceds.ed.gov/cedselementdetails.aspx?termid=5269")</f>
        <v>https://ceds.ed.gov/cedselementdetails.aspx?termid=5269</v>
      </c>
      <c r="P2202" s="6" t="str">
        <f>HYPERLINK("https://ceds.ed.gov/elementComment.aspx?elementName=Address Street Number and Name &amp;elementID=5269", "Click here to submit comment")</f>
        <v>Click here to submit comment</v>
      </c>
    </row>
    <row r="2203" spans="1:16" ht="225">
      <c r="A2203" s="6" t="s">
        <v>6884</v>
      </c>
      <c r="B2203" s="6" t="s">
        <v>6885</v>
      </c>
      <c r="C2203" s="6" t="s">
        <v>6720</v>
      </c>
      <c r="D2203" s="6" t="s">
        <v>170</v>
      </c>
      <c r="E2203" s="6" t="s">
        <v>171</v>
      </c>
      <c r="F2203" s="6" t="s">
        <v>13</v>
      </c>
      <c r="G2203" s="6" t="s">
        <v>5973</v>
      </c>
      <c r="H2203" s="6" t="s">
        <v>3</v>
      </c>
      <c r="I2203" s="6" t="s">
        <v>100</v>
      </c>
      <c r="J2203" s="6"/>
      <c r="K2203" s="6"/>
      <c r="L2203" s="6" t="s">
        <v>172</v>
      </c>
      <c r="M2203" s="6"/>
      <c r="N2203" s="6" t="s">
        <v>173</v>
      </c>
      <c r="O2203" s="6" t="str">
        <f>HYPERLINK("https://ceds.ed.gov/cedselementdetails.aspx?termid=5019")</f>
        <v>https://ceds.ed.gov/cedselementdetails.aspx?termid=5019</v>
      </c>
      <c r="P2203" s="6" t="str">
        <f>HYPERLINK("https://ceds.ed.gov/elementComment.aspx?elementName=Address Apartment Room or Suite Number &amp;elementID=5019", "Click here to submit comment")</f>
        <v>Click here to submit comment</v>
      </c>
    </row>
    <row r="2204" spans="1:16" ht="225">
      <c r="A2204" s="6" t="s">
        <v>6884</v>
      </c>
      <c r="B2204" s="6" t="s">
        <v>6885</v>
      </c>
      <c r="C2204" s="6" t="s">
        <v>6720</v>
      </c>
      <c r="D2204" s="6" t="s">
        <v>174</v>
      </c>
      <c r="E2204" s="6" t="s">
        <v>175</v>
      </c>
      <c r="F2204" s="6" t="s">
        <v>13</v>
      </c>
      <c r="G2204" s="6" t="s">
        <v>5973</v>
      </c>
      <c r="H2204" s="6" t="s">
        <v>3</v>
      </c>
      <c r="I2204" s="6" t="s">
        <v>100</v>
      </c>
      <c r="J2204" s="6"/>
      <c r="K2204" s="6"/>
      <c r="L2204" s="6" t="s">
        <v>176</v>
      </c>
      <c r="M2204" s="6"/>
      <c r="N2204" s="6" t="s">
        <v>177</v>
      </c>
      <c r="O2204" s="6" t="str">
        <f>HYPERLINK("https://ceds.ed.gov/cedselementdetails.aspx?termid=5040")</f>
        <v>https://ceds.ed.gov/cedselementdetails.aspx?termid=5040</v>
      </c>
      <c r="P2204" s="6" t="str">
        <f>HYPERLINK("https://ceds.ed.gov/elementComment.aspx?elementName=Address City &amp;elementID=5040", "Click here to submit comment")</f>
        <v>Click here to submit comment</v>
      </c>
    </row>
    <row r="2205" spans="1:16" ht="409.5">
      <c r="A2205" s="6" t="s">
        <v>6884</v>
      </c>
      <c r="B2205" s="6" t="s">
        <v>6885</v>
      </c>
      <c r="C2205" s="6" t="s">
        <v>6720</v>
      </c>
      <c r="D2205" s="6" t="s">
        <v>5533</v>
      </c>
      <c r="E2205" s="6" t="s">
        <v>5534</v>
      </c>
      <c r="F2205" s="7" t="s">
        <v>6633</v>
      </c>
      <c r="G2205" s="6" t="s">
        <v>6324</v>
      </c>
      <c r="H2205" s="6" t="s">
        <v>3</v>
      </c>
      <c r="I2205" s="6"/>
      <c r="J2205" s="6"/>
      <c r="K2205" s="6"/>
      <c r="L2205" s="6" t="s">
        <v>5535</v>
      </c>
      <c r="M2205" s="6"/>
      <c r="N2205" s="6" t="s">
        <v>5536</v>
      </c>
      <c r="O2205" s="6" t="str">
        <f>HYPERLINK("https://ceds.ed.gov/cedselementdetails.aspx?termid=5267")</f>
        <v>https://ceds.ed.gov/cedselementdetails.aspx?termid=5267</v>
      </c>
      <c r="P2205" s="6" t="str">
        <f>HYPERLINK("https://ceds.ed.gov/elementComment.aspx?elementName=State Abbreviation &amp;elementID=5267", "Click here to submit comment")</f>
        <v>Click here to submit comment</v>
      </c>
    </row>
    <row r="2206" spans="1:16" ht="225">
      <c r="A2206" s="6" t="s">
        <v>6884</v>
      </c>
      <c r="B2206" s="6" t="s">
        <v>6885</v>
      </c>
      <c r="C2206" s="6" t="s">
        <v>6720</v>
      </c>
      <c r="D2206" s="6" t="s">
        <v>182</v>
      </c>
      <c r="E2206" s="6" t="s">
        <v>183</v>
      </c>
      <c r="F2206" s="6" t="s">
        <v>13</v>
      </c>
      <c r="G2206" s="6" t="s">
        <v>5973</v>
      </c>
      <c r="H2206" s="6" t="s">
        <v>3</v>
      </c>
      <c r="I2206" s="6" t="s">
        <v>184</v>
      </c>
      <c r="J2206" s="6"/>
      <c r="K2206" s="6"/>
      <c r="L2206" s="6" t="s">
        <v>185</v>
      </c>
      <c r="M2206" s="6"/>
      <c r="N2206" s="6" t="s">
        <v>186</v>
      </c>
      <c r="O2206" s="6" t="str">
        <f>HYPERLINK("https://ceds.ed.gov/cedselementdetails.aspx?termid=5214")</f>
        <v>https://ceds.ed.gov/cedselementdetails.aspx?termid=5214</v>
      </c>
      <c r="P2206" s="6" t="str">
        <f>HYPERLINK("https://ceds.ed.gov/elementComment.aspx?elementName=Address Postal Code &amp;elementID=5214", "Click here to submit comment")</f>
        <v>Click here to submit comment</v>
      </c>
    </row>
    <row r="2207" spans="1:16" ht="225">
      <c r="A2207" s="6" t="s">
        <v>6884</v>
      </c>
      <c r="B2207" s="6" t="s">
        <v>6885</v>
      </c>
      <c r="C2207" s="6" t="s">
        <v>6720</v>
      </c>
      <c r="D2207" s="6" t="s">
        <v>178</v>
      </c>
      <c r="E2207" s="6" t="s">
        <v>179</v>
      </c>
      <c r="F2207" s="6" t="s">
        <v>13</v>
      </c>
      <c r="G2207" s="6" t="s">
        <v>5973</v>
      </c>
      <c r="H2207" s="6" t="s">
        <v>3</v>
      </c>
      <c r="I2207" s="6" t="s">
        <v>100</v>
      </c>
      <c r="J2207" s="6"/>
      <c r="K2207" s="6"/>
      <c r="L2207" s="6" t="s">
        <v>180</v>
      </c>
      <c r="M2207" s="6"/>
      <c r="N2207" s="6" t="s">
        <v>181</v>
      </c>
      <c r="O2207" s="6" t="str">
        <f>HYPERLINK("https://ceds.ed.gov/cedselementdetails.aspx?termid=5190")</f>
        <v>https://ceds.ed.gov/cedselementdetails.aspx?termid=5190</v>
      </c>
      <c r="P2207" s="6" t="str">
        <f>HYPERLINK("https://ceds.ed.gov/elementComment.aspx?elementName=Address County Name &amp;elementID=5190", "Click here to submit comment")</f>
        <v>Click here to submit comment</v>
      </c>
    </row>
    <row r="2208" spans="1:16" ht="409.5">
      <c r="A2208" s="6" t="s">
        <v>6884</v>
      </c>
      <c r="B2208" s="6" t="s">
        <v>6885</v>
      </c>
      <c r="C2208" s="6" t="s">
        <v>6720</v>
      </c>
      <c r="D2208" s="6" t="s">
        <v>1809</v>
      </c>
      <c r="E2208" s="6" t="s">
        <v>1810</v>
      </c>
      <c r="F2208" s="7" t="s">
        <v>6433</v>
      </c>
      <c r="G2208" s="6" t="s">
        <v>6107</v>
      </c>
      <c r="H2208" s="6" t="s">
        <v>3</v>
      </c>
      <c r="I2208" s="6"/>
      <c r="J2208" s="6"/>
      <c r="K2208" s="6"/>
      <c r="L2208" s="6" t="s">
        <v>1811</v>
      </c>
      <c r="M2208" s="6"/>
      <c r="N2208" s="6" t="s">
        <v>1812</v>
      </c>
      <c r="O2208" s="6" t="str">
        <f>HYPERLINK("https://ceds.ed.gov/cedselementdetails.aspx?termid=5050")</f>
        <v>https://ceds.ed.gov/cedselementdetails.aspx?termid=5050</v>
      </c>
      <c r="P2208" s="6" t="str">
        <f>HYPERLINK("https://ceds.ed.gov/elementComment.aspx?elementName=Country Code &amp;elementID=5050", "Click here to submit comment")</f>
        <v>Click here to submit comment</v>
      </c>
    </row>
    <row r="2209" spans="1:16" ht="135">
      <c r="A2209" s="6" t="s">
        <v>6884</v>
      </c>
      <c r="B2209" s="6" t="s">
        <v>6885</v>
      </c>
      <c r="C2209" s="6" t="s">
        <v>6721</v>
      </c>
      <c r="D2209" s="6" t="s">
        <v>5732</v>
      </c>
      <c r="E2209" s="6" t="s">
        <v>5733</v>
      </c>
      <c r="F2209" s="7" t="s">
        <v>6675</v>
      </c>
      <c r="G2209" s="6" t="s">
        <v>5968</v>
      </c>
      <c r="H2209" s="6" t="s">
        <v>3</v>
      </c>
      <c r="I2209" s="6" t="s">
        <v>2844</v>
      </c>
      <c r="J2209" s="6"/>
      <c r="K2209" s="6"/>
      <c r="L2209" s="6" t="s">
        <v>5734</v>
      </c>
      <c r="M2209" s="6"/>
      <c r="N2209" s="6" t="s">
        <v>5735</v>
      </c>
      <c r="O2209" s="6" t="str">
        <f>HYPERLINK("https://ceds.ed.gov/cedselementdetails.aspx?termid=5280")</f>
        <v>https://ceds.ed.gov/cedselementdetails.aspx?termid=5280</v>
      </c>
      <c r="P2209" s="6" t="str">
        <f>HYPERLINK("https://ceds.ed.gov/elementComment.aspx?elementName=Telephone Number Type &amp;elementID=5280", "Click here to submit comment")</f>
        <v>Click here to submit comment</v>
      </c>
    </row>
    <row r="2210" spans="1:16" ht="90">
      <c r="A2210" s="6" t="s">
        <v>6884</v>
      </c>
      <c r="B2210" s="6" t="s">
        <v>6885</v>
      </c>
      <c r="C2210" s="6" t="s">
        <v>6721</v>
      </c>
      <c r="D2210" s="6" t="s">
        <v>4591</v>
      </c>
      <c r="E2210" s="6" t="s">
        <v>4592</v>
      </c>
      <c r="F2210" s="6" t="s">
        <v>5963</v>
      </c>
      <c r="G2210" s="6" t="s">
        <v>5968</v>
      </c>
      <c r="H2210" s="6" t="s">
        <v>3</v>
      </c>
      <c r="I2210" s="6"/>
      <c r="J2210" s="6"/>
      <c r="K2210" s="6"/>
      <c r="L2210" s="6" t="s">
        <v>4593</v>
      </c>
      <c r="M2210" s="6"/>
      <c r="N2210" s="6" t="s">
        <v>4594</v>
      </c>
      <c r="O2210" s="6" t="str">
        <f>HYPERLINK("https://ceds.ed.gov/cedselementdetails.aspx?termid=5219")</f>
        <v>https://ceds.ed.gov/cedselementdetails.aspx?termid=5219</v>
      </c>
      <c r="P2210" s="6" t="str">
        <f>HYPERLINK("https://ceds.ed.gov/elementComment.aspx?elementName=Primary Telephone Number Indicator &amp;elementID=5219", "Click here to submit comment")</f>
        <v>Click here to submit comment</v>
      </c>
    </row>
    <row r="2211" spans="1:16" ht="90">
      <c r="A2211" s="6" t="s">
        <v>6884</v>
      </c>
      <c r="B2211" s="6" t="s">
        <v>6885</v>
      </c>
      <c r="C2211" s="6" t="s">
        <v>6721</v>
      </c>
      <c r="D2211" s="6" t="s">
        <v>5727</v>
      </c>
      <c r="E2211" s="6" t="s">
        <v>5728</v>
      </c>
      <c r="F2211" s="6" t="s">
        <v>13</v>
      </c>
      <c r="G2211" s="6" t="s">
        <v>5968</v>
      </c>
      <c r="H2211" s="6" t="s">
        <v>3</v>
      </c>
      <c r="I2211" s="6" t="s">
        <v>5729</v>
      </c>
      <c r="J2211" s="6"/>
      <c r="K2211" s="6"/>
      <c r="L2211" s="6" t="s">
        <v>5730</v>
      </c>
      <c r="M2211" s="6"/>
      <c r="N2211" s="6" t="s">
        <v>5731</v>
      </c>
      <c r="O2211" s="6" t="str">
        <f>HYPERLINK("https://ceds.ed.gov/cedselementdetails.aspx?termid=5279")</f>
        <v>https://ceds.ed.gov/cedselementdetails.aspx?termid=5279</v>
      </c>
      <c r="P2211" s="6" t="str">
        <f>HYPERLINK("https://ceds.ed.gov/elementComment.aspx?elementName=Telephone Number &amp;elementID=5279", "Click here to submit comment")</f>
        <v>Click here to submit comment</v>
      </c>
    </row>
    <row r="2212" spans="1:16" ht="105">
      <c r="A2212" s="6" t="s">
        <v>6884</v>
      </c>
      <c r="B2212" s="6" t="s">
        <v>6885</v>
      </c>
      <c r="C2212" s="6" t="s">
        <v>6742</v>
      </c>
      <c r="D2212" s="6" t="s">
        <v>2457</v>
      </c>
      <c r="E2212" s="6" t="s">
        <v>2458</v>
      </c>
      <c r="F2212" s="7" t="s">
        <v>6489</v>
      </c>
      <c r="G2212" s="6" t="s">
        <v>5968</v>
      </c>
      <c r="H2212" s="6" t="s">
        <v>3</v>
      </c>
      <c r="I2212" s="6"/>
      <c r="J2212" s="6"/>
      <c r="K2212" s="6"/>
      <c r="L2212" s="6" t="s">
        <v>2459</v>
      </c>
      <c r="M2212" s="6" t="s">
        <v>2460</v>
      </c>
      <c r="N2212" s="6" t="s">
        <v>2461</v>
      </c>
      <c r="O2212" s="6" t="str">
        <f>HYPERLINK("https://ceds.ed.gov/cedselementdetails.aspx?termid=5089")</f>
        <v>https://ceds.ed.gov/cedselementdetails.aspx?termid=5089</v>
      </c>
      <c r="P2212" s="6" t="str">
        <f>HYPERLINK("https://ceds.ed.gov/elementComment.aspx?elementName=Electronic Mail Address Type &amp;elementID=5089", "Click here to submit comment")</f>
        <v>Click here to submit comment</v>
      </c>
    </row>
    <row r="2213" spans="1:16" ht="90">
      <c r="A2213" s="6" t="s">
        <v>6884</v>
      </c>
      <c r="B2213" s="6" t="s">
        <v>6885</v>
      </c>
      <c r="C2213" s="6" t="s">
        <v>6742</v>
      </c>
      <c r="D2213" s="6" t="s">
        <v>2451</v>
      </c>
      <c r="E2213" s="6" t="s">
        <v>2452</v>
      </c>
      <c r="F2213" s="6" t="s">
        <v>13</v>
      </c>
      <c r="G2213" s="6" t="s">
        <v>5968</v>
      </c>
      <c r="H2213" s="6" t="s">
        <v>3</v>
      </c>
      <c r="I2213" s="6" t="s">
        <v>2453</v>
      </c>
      <c r="J2213" s="6"/>
      <c r="K2213" s="6"/>
      <c r="L2213" s="6" t="s">
        <v>2454</v>
      </c>
      <c r="M2213" s="6" t="s">
        <v>2455</v>
      </c>
      <c r="N2213" s="6" t="s">
        <v>2456</v>
      </c>
      <c r="O2213" s="6" t="str">
        <f>HYPERLINK("https://ceds.ed.gov/cedselementdetails.aspx?termid=5088")</f>
        <v>https://ceds.ed.gov/cedselementdetails.aspx?termid=5088</v>
      </c>
      <c r="P2213" s="6" t="str">
        <f>HYPERLINK("https://ceds.ed.gov/elementComment.aspx?elementName=Electronic Mail Address &amp;elementID=5088", "Click here to submit comment")</f>
        <v>Click here to submit comment</v>
      </c>
    </row>
    <row r="2214" spans="1:16" ht="240">
      <c r="A2214" s="6" t="s">
        <v>6884</v>
      </c>
      <c r="B2214" s="6" t="s">
        <v>6885</v>
      </c>
      <c r="C2214" s="6" t="s">
        <v>6722</v>
      </c>
      <c r="D2214" s="6" t="s">
        <v>1474</v>
      </c>
      <c r="E2214" s="6" t="s">
        <v>1475</v>
      </c>
      <c r="F2214" s="6" t="s">
        <v>13</v>
      </c>
      <c r="G2214" s="6" t="s">
        <v>6080</v>
      </c>
      <c r="H2214" s="6" t="s">
        <v>3</v>
      </c>
      <c r="I2214" s="6" t="s">
        <v>73</v>
      </c>
      <c r="J2214" s="6"/>
      <c r="K2214" s="6"/>
      <c r="L2214" s="6" t="s">
        <v>1476</v>
      </c>
      <c r="M2214" s="6"/>
      <c r="N2214" s="6" t="s">
        <v>1474</v>
      </c>
      <c r="O2214" s="6" t="str">
        <f>HYPERLINK("https://ceds.ed.gov/cedselementdetails.aspx?termid=5033")</f>
        <v>https://ceds.ed.gov/cedselementdetails.aspx?termid=5033</v>
      </c>
      <c r="P2214" s="6" t="str">
        <f>HYPERLINK("https://ceds.ed.gov/elementComment.aspx?elementName=Birthdate &amp;elementID=5033", "Click here to submit comment")</f>
        <v>Click here to submit comment</v>
      </c>
    </row>
    <row r="2215" spans="1:16" ht="255">
      <c r="A2215" s="6" t="s">
        <v>6884</v>
      </c>
      <c r="B2215" s="6" t="s">
        <v>6885</v>
      </c>
      <c r="C2215" s="6" t="s">
        <v>6722</v>
      </c>
      <c r="D2215" s="6" t="s">
        <v>5353</v>
      </c>
      <c r="E2215" s="6" t="s">
        <v>5354</v>
      </c>
      <c r="F2215" s="7" t="s">
        <v>6656</v>
      </c>
      <c r="G2215" s="6" t="s">
        <v>6312</v>
      </c>
      <c r="H2215" s="6" t="s">
        <v>3</v>
      </c>
      <c r="I2215" s="6"/>
      <c r="J2215" s="6"/>
      <c r="K2215" s="6" t="s">
        <v>5355</v>
      </c>
      <c r="L2215" s="6" t="s">
        <v>5356</v>
      </c>
      <c r="M2215" s="6"/>
      <c r="N2215" s="6" t="s">
        <v>5353</v>
      </c>
      <c r="O2215" s="6" t="str">
        <f>HYPERLINK("https://ceds.ed.gov/cedselementdetails.aspx?termid=5255")</f>
        <v>https://ceds.ed.gov/cedselementdetails.aspx?termid=5255</v>
      </c>
      <c r="P2215" s="6" t="str">
        <f>HYPERLINK("https://ceds.ed.gov/elementComment.aspx?elementName=Sex &amp;elementID=5255", "Click here to submit comment")</f>
        <v>Click here to submit comment</v>
      </c>
    </row>
    <row r="2216" spans="1:16" ht="225">
      <c r="A2216" s="6" t="s">
        <v>6884</v>
      </c>
      <c r="B2216" s="6" t="s">
        <v>6885</v>
      </c>
      <c r="C2216" s="6" t="s">
        <v>6722</v>
      </c>
      <c r="D2216" s="6" t="s">
        <v>351</v>
      </c>
      <c r="E2216" s="6" t="s">
        <v>352</v>
      </c>
      <c r="F2216" s="7" t="s">
        <v>6373</v>
      </c>
      <c r="G2216" s="6" t="s">
        <v>5986</v>
      </c>
      <c r="H2216" s="6"/>
      <c r="I2216" s="6"/>
      <c r="J2216" s="6"/>
      <c r="K2216" s="6" t="s">
        <v>353</v>
      </c>
      <c r="L2216" s="6" t="s">
        <v>354</v>
      </c>
      <c r="M2216" s="6"/>
      <c r="N2216" s="6" t="s">
        <v>355</v>
      </c>
      <c r="O2216" s="6" t="str">
        <f>HYPERLINK("https://ceds.ed.gov/cedselementdetails.aspx?termid=5655")</f>
        <v>https://ceds.ed.gov/cedselementdetails.aspx?termid=5655</v>
      </c>
      <c r="P2216" s="6" t="str">
        <f>HYPERLINK("https://ceds.ed.gov/elementComment.aspx?elementName=American Indian or Alaska Native &amp;elementID=5655", "Click here to submit comment")</f>
        <v>Click here to submit comment</v>
      </c>
    </row>
    <row r="2217" spans="1:16" ht="225">
      <c r="A2217" s="6" t="s">
        <v>6884</v>
      </c>
      <c r="B2217" s="6" t="s">
        <v>6885</v>
      </c>
      <c r="C2217" s="6" t="s">
        <v>6722</v>
      </c>
      <c r="D2217" s="6" t="s">
        <v>392</v>
      </c>
      <c r="E2217" s="6" t="s">
        <v>393</v>
      </c>
      <c r="F2217" s="7" t="s">
        <v>6373</v>
      </c>
      <c r="G2217" s="6" t="s">
        <v>5986</v>
      </c>
      <c r="H2217" s="6"/>
      <c r="I2217" s="6"/>
      <c r="J2217" s="6"/>
      <c r="K2217" s="6" t="s">
        <v>353</v>
      </c>
      <c r="L2217" s="6" t="s">
        <v>394</v>
      </c>
      <c r="M2217" s="6"/>
      <c r="N2217" s="6" t="s">
        <v>392</v>
      </c>
      <c r="O2217" s="6" t="str">
        <f>HYPERLINK("https://ceds.ed.gov/cedselementdetails.aspx?termid=5656")</f>
        <v>https://ceds.ed.gov/cedselementdetails.aspx?termid=5656</v>
      </c>
      <c r="P2217" s="6" t="str">
        <f>HYPERLINK("https://ceds.ed.gov/elementComment.aspx?elementName=Asian &amp;elementID=5656", "Click here to submit comment")</f>
        <v>Click here to submit comment</v>
      </c>
    </row>
    <row r="2218" spans="1:16" ht="225">
      <c r="A2218" s="6" t="s">
        <v>6884</v>
      </c>
      <c r="B2218" s="6" t="s">
        <v>6885</v>
      </c>
      <c r="C2218" s="6" t="s">
        <v>6722</v>
      </c>
      <c r="D2218" s="6" t="s">
        <v>1483</v>
      </c>
      <c r="E2218" s="6" t="s">
        <v>1484</v>
      </c>
      <c r="F2218" s="7" t="s">
        <v>6373</v>
      </c>
      <c r="G2218" s="6" t="s">
        <v>5986</v>
      </c>
      <c r="H2218" s="6"/>
      <c r="I2218" s="6"/>
      <c r="J2218" s="6"/>
      <c r="K2218" s="6" t="s">
        <v>353</v>
      </c>
      <c r="L2218" s="6" t="s">
        <v>1485</v>
      </c>
      <c r="M2218" s="6"/>
      <c r="N2218" s="6" t="s">
        <v>1486</v>
      </c>
      <c r="O2218" s="6" t="str">
        <f>HYPERLINK("https://ceds.ed.gov/cedselementdetails.aspx?termid=5657")</f>
        <v>https://ceds.ed.gov/cedselementdetails.aspx?termid=5657</v>
      </c>
      <c r="P2218" s="6" t="str">
        <f>HYPERLINK("https://ceds.ed.gov/elementComment.aspx?elementName=Black or African American &amp;elementID=5657", "Click here to submit comment")</f>
        <v>Click here to submit comment</v>
      </c>
    </row>
    <row r="2219" spans="1:16" ht="225">
      <c r="A2219" s="6" t="s">
        <v>6884</v>
      </c>
      <c r="B2219" s="6" t="s">
        <v>6885</v>
      </c>
      <c r="C2219" s="6" t="s">
        <v>6722</v>
      </c>
      <c r="D2219" s="6" t="s">
        <v>4202</v>
      </c>
      <c r="E2219" s="6" t="s">
        <v>4203</v>
      </c>
      <c r="F2219" s="7" t="s">
        <v>6373</v>
      </c>
      <c r="G2219" s="6" t="s">
        <v>5986</v>
      </c>
      <c r="H2219" s="6"/>
      <c r="I2219" s="6"/>
      <c r="J2219" s="6"/>
      <c r="K2219" s="6" t="s">
        <v>353</v>
      </c>
      <c r="L2219" s="6" t="s">
        <v>4204</v>
      </c>
      <c r="M2219" s="6"/>
      <c r="N2219" s="6" t="s">
        <v>4205</v>
      </c>
      <c r="O2219" s="6" t="str">
        <f>HYPERLINK("https://ceds.ed.gov/cedselementdetails.aspx?termid=5658")</f>
        <v>https://ceds.ed.gov/cedselementdetails.aspx?termid=5658</v>
      </c>
      <c r="P2219" s="6" t="str">
        <f>HYPERLINK("https://ceds.ed.gov/elementComment.aspx?elementName=Native Hawaiian or Other Pacific Islander &amp;elementID=5658", "Click here to submit comment")</f>
        <v>Click here to submit comment</v>
      </c>
    </row>
    <row r="2220" spans="1:16" ht="225">
      <c r="A2220" s="6" t="s">
        <v>6884</v>
      </c>
      <c r="B2220" s="6" t="s">
        <v>6885</v>
      </c>
      <c r="C2220" s="6" t="s">
        <v>6722</v>
      </c>
      <c r="D2220" s="6" t="s">
        <v>5925</v>
      </c>
      <c r="E2220" s="6" t="s">
        <v>5926</v>
      </c>
      <c r="F2220" s="7" t="s">
        <v>6373</v>
      </c>
      <c r="G2220" s="6" t="s">
        <v>5986</v>
      </c>
      <c r="H2220" s="6"/>
      <c r="I2220" s="6"/>
      <c r="J2220" s="6"/>
      <c r="K2220" s="6" t="s">
        <v>353</v>
      </c>
      <c r="L2220" s="6" t="s">
        <v>5927</v>
      </c>
      <c r="M2220" s="6"/>
      <c r="N2220" s="6" t="s">
        <v>5925</v>
      </c>
      <c r="O2220" s="6" t="str">
        <f>HYPERLINK("https://ceds.ed.gov/cedselementdetails.aspx?termid=5659")</f>
        <v>https://ceds.ed.gov/cedselementdetails.aspx?termid=5659</v>
      </c>
      <c r="P2220" s="6" t="str">
        <f>HYPERLINK("https://ceds.ed.gov/elementComment.aspx?elementName=White &amp;elementID=5659", "Click here to submit comment")</f>
        <v>Click here to submit comment</v>
      </c>
    </row>
    <row r="2221" spans="1:16" ht="225">
      <c r="A2221" s="6" t="s">
        <v>6884</v>
      </c>
      <c r="B2221" s="6" t="s">
        <v>6885</v>
      </c>
      <c r="C2221" s="6" t="s">
        <v>6722</v>
      </c>
      <c r="D2221" s="6" t="s">
        <v>2985</v>
      </c>
      <c r="E2221" s="6" t="s">
        <v>2986</v>
      </c>
      <c r="F2221" s="7" t="s">
        <v>6373</v>
      </c>
      <c r="G2221" s="6" t="s">
        <v>5986</v>
      </c>
      <c r="H2221" s="6"/>
      <c r="I2221" s="6"/>
      <c r="J2221" s="6"/>
      <c r="K2221" s="6" t="s">
        <v>353</v>
      </c>
      <c r="L2221" s="6" t="s">
        <v>2987</v>
      </c>
      <c r="M2221" s="6"/>
      <c r="N2221" s="6" t="s">
        <v>2988</v>
      </c>
      <c r="O2221" s="6" t="str">
        <f>HYPERLINK("https://ceds.ed.gov/cedselementdetails.aspx?termid=5144")</f>
        <v>https://ceds.ed.gov/cedselementdetails.aspx?termid=5144</v>
      </c>
      <c r="P2221" s="6" t="str">
        <f>HYPERLINK("https://ceds.ed.gov/elementComment.aspx?elementName=Hispanic or Latino Ethnicity &amp;elementID=5144", "Click here to submit comment")</f>
        <v>Click here to submit comment</v>
      </c>
    </row>
    <row r="2222" spans="1:16" ht="105">
      <c r="A2222" s="6" t="s">
        <v>6884</v>
      </c>
      <c r="B2222" s="6" t="s">
        <v>6885</v>
      </c>
      <c r="C2222" s="6" t="s">
        <v>6806</v>
      </c>
      <c r="D2222" s="6" t="s">
        <v>1546</v>
      </c>
      <c r="E2222" s="6" t="s">
        <v>1547</v>
      </c>
      <c r="F2222" s="6" t="s">
        <v>5963</v>
      </c>
      <c r="G2222" s="6" t="s">
        <v>6084</v>
      </c>
      <c r="H2222" s="6"/>
      <c r="I2222" s="6"/>
      <c r="J2222" s="6"/>
      <c r="K2222" s="6"/>
      <c r="L2222" s="6" t="s">
        <v>1548</v>
      </c>
      <c r="M2222" s="6" t="s">
        <v>1549</v>
      </c>
      <c r="N2222" s="6" t="s">
        <v>1550</v>
      </c>
      <c r="O2222" s="6" t="str">
        <f>HYPERLINK("https://ceds.ed.gov/cedselementdetails.aspx?termid=5036")</f>
        <v>https://ceds.ed.gov/cedselementdetails.aspx?termid=5036</v>
      </c>
      <c r="P2222" s="6" t="str">
        <f>HYPERLINK("https://ceds.ed.gov/elementComment.aspx?elementName=Career and Technical Education Completer &amp;elementID=5036", "Click here to submit comment")</f>
        <v>Click here to submit comment</v>
      </c>
    </row>
    <row r="2223" spans="1:16" ht="90">
      <c r="A2223" s="6" t="s">
        <v>6884</v>
      </c>
      <c r="B2223" s="6" t="s">
        <v>6885</v>
      </c>
      <c r="C2223" s="6" t="s">
        <v>6806</v>
      </c>
      <c r="D2223" s="6" t="s">
        <v>1567</v>
      </c>
      <c r="E2223" s="6" t="s">
        <v>1568</v>
      </c>
      <c r="F2223" s="6" t="s">
        <v>5963</v>
      </c>
      <c r="G2223" s="6" t="s">
        <v>218</v>
      </c>
      <c r="H2223" s="6"/>
      <c r="I2223" s="6"/>
      <c r="J2223" s="6"/>
      <c r="K2223" s="6"/>
      <c r="L2223" s="6" t="s">
        <v>1569</v>
      </c>
      <c r="M2223" s="6" t="s">
        <v>1570</v>
      </c>
      <c r="N2223" s="6" t="s">
        <v>1571</v>
      </c>
      <c r="O2223" s="6" t="str">
        <f>HYPERLINK("https://ceds.ed.gov/cedselementdetails.aspx?termid=5586")</f>
        <v>https://ceds.ed.gov/cedselementdetails.aspx?termid=5586</v>
      </c>
      <c r="P2223" s="6" t="str">
        <f>HYPERLINK("https://ceds.ed.gov/elementComment.aspx?elementName=Career and Technical Education Nontraditional Completion &amp;elementID=5586", "Click here to submit comment")</f>
        <v>Click here to submit comment</v>
      </c>
    </row>
    <row r="2224" spans="1:16" ht="270">
      <c r="A2224" s="6" t="s">
        <v>6884</v>
      </c>
      <c r="B2224" s="6" t="s">
        <v>6885</v>
      </c>
      <c r="C2224" s="6" t="s">
        <v>6806</v>
      </c>
      <c r="D2224" s="6" t="s">
        <v>4763</v>
      </c>
      <c r="E2224" s="6" t="s">
        <v>4764</v>
      </c>
      <c r="F2224" s="7" t="s">
        <v>6620</v>
      </c>
      <c r="G2224" s="6"/>
      <c r="H2224" s="6" t="s">
        <v>66</v>
      </c>
      <c r="I2224" s="6"/>
      <c r="J2224" s="6" t="s">
        <v>848</v>
      </c>
      <c r="K2224" s="6"/>
      <c r="L2224" s="6" t="s">
        <v>4765</v>
      </c>
      <c r="M2224" s="6"/>
      <c r="N2224" s="6" t="s">
        <v>4766</v>
      </c>
      <c r="O2224" s="6" t="str">
        <f>HYPERLINK("https://ceds.ed.gov/cedselementdetails.aspx?termid=5780")</f>
        <v>https://ceds.ed.gov/cedselementdetails.aspx?termid=5780</v>
      </c>
      <c r="P2224" s="6" t="str">
        <f>HYPERLINK("https://ceds.ed.gov/elementComment.aspx?elementName=Professional or Technical Credential Conferred &amp;elementID=5780", "Click here to submit comment")</f>
        <v>Click here to submit comment</v>
      </c>
    </row>
    <row r="2225" spans="1:16" ht="409.5">
      <c r="A2225" s="6" t="s">
        <v>6884</v>
      </c>
      <c r="B2225" s="6" t="s">
        <v>6885</v>
      </c>
      <c r="C2225" s="6" t="s">
        <v>6806</v>
      </c>
      <c r="D2225" s="6" t="s">
        <v>2135</v>
      </c>
      <c r="E2225" s="6" t="s">
        <v>2136</v>
      </c>
      <c r="F2225" s="7" t="s">
        <v>6454</v>
      </c>
      <c r="G2225" s="6" t="s">
        <v>6131</v>
      </c>
      <c r="H2225" s="6"/>
      <c r="I2225" s="6"/>
      <c r="J2225" s="6"/>
      <c r="K2225" s="6"/>
      <c r="L2225" s="6" t="s">
        <v>2137</v>
      </c>
      <c r="M2225" s="6"/>
      <c r="N2225" s="6" t="s">
        <v>2138</v>
      </c>
      <c r="O2225" s="6" t="str">
        <f>HYPERLINK("https://ceds.ed.gov/cedselementdetails.aspx?termid=5342")</f>
        <v>https://ceds.ed.gov/cedselementdetails.aspx?termid=5342</v>
      </c>
      <c r="P2225" s="6" t="str">
        <f>HYPERLINK("https://ceds.ed.gov/elementComment.aspx?elementName=Degree or Certificate Type &amp;elementID=5342", "Click here to submit comment")</f>
        <v>Click here to submit comment</v>
      </c>
    </row>
    <row r="2226" spans="1:16" ht="60">
      <c r="A2226" s="6" t="s">
        <v>6884</v>
      </c>
      <c r="B2226" s="6" t="s">
        <v>6885</v>
      </c>
      <c r="C2226" s="6" t="s">
        <v>6806</v>
      </c>
      <c r="D2226" s="6" t="s">
        <v>2131</v>
      </c>
      <c r="E2226" s="6" t="s">
        <v>2132</v>
      </c>
      <c r="F2226" s="6" t="s">
        <v>13</v>
      </c>
      <c r="G2226" s="6" t="s">
        <v>6131</v>
      </c>
      <c r="H2226" s="6"/>
      <c r="I2226" s="6" t="s">
        <v>1249</v>
      </c>
      <c r="J2226" s="6"/>
      <c r="K2226" s="6"/>
      <c r="L2226" s="6" t="s">
        <v>2133</v>
      </c>
      <c r="M2226" s="6"/>
      <c r="N2226" s="6" t="s">
        <v>2134</v>
      </c>
      <c r="O2226" s="6" t="str">
        <f>HYPERLINK("https://ceds.ed.gov/cedselementdetails.aspx?termid=5341")</f>
        <v>https://ceds.ed.gov/cedselementdetails.aspx?termid=5341</v>
      </c>
      <c r="P2226" s="6" t="str">
        <f>HYPERLINK("https://ceds.ed.gov/elementComment.aspx?elementName=Degree or Certificate Title or Subject &amp;elementID=5341", "Click here to submit comment")</f>
        <v>Click here to submit comment</v>
      </c>
    </row>
    <row r="2227" spans="1:16" ht="60">
      <c r="A2227" s="6" t="s">
        <v>6884</v>
      </c>
      <c r="B2227" s="6" t="s">
        <v>6885</v>
      </c>
      <c r="C2227" s="6" t="s">
        <v>6806</v>
      </c>
      <c r="D2227" s="6" t="s">
        <v>2123</v>
      </c>
      <c r="E2227" s="6" t="s">
        <v>2124</v>
      </c>
      <c r="F2227" s="6" t="s">
        <v>13</v>
      </c>
      <c r="G2227" s="6" t="s">
        <v>6131</v>
      </c>
      <c r="H2227" s="6"/>
      <c r="I2227" s="6" t="s">
        <v>73</v>
      </c>
      <c r="J2227" s="6"/>
      <c r="K2227" s="6"/>
      <c r="L2227" s="6" t="s">
        <v>2125</v>
      </c>
      <c r="M2227" s="6"/>
      <c r="N2227" s="6" t="s">
        <v>2126</v>
      </c>
      <c r="O2227" s="6" t="str">
        <f>HYPERLINK("https://ceds.ed.gov/cedselementdetails.aspx?termid=5343")</f>
        <v>https://ceds.ed.gov/cedselementdetails.aspx?termid=5343</v>
      </c>
      <c r="P2227" s="6" t="str">
        <f>HYPERLINK("https://ceds.ed.gov/elementComment.aspx?elementName=Degree or Certificate Conferring Date &amp;elementID=5343", "Click here to submit comment")</f>
        <v>Click here to submit comment</v>
      </c>
    </row>
    <row r="2228" spans="1:16" ht="45">
      <c r="A2228" s="6" t="s">
        <v>6884</v>
      </c>
      <c r="B2228" s="6" t="s">
        <v>6885</v>
      </c>
      <c r="C2228" s="6" t="s">
        <v>6886</v>
      </c>
      <c r="D2228" s="6" t="s">
        <v>4821</v>
      </c>
      <c r="E2228" s="6" t="s">
        <v>4822</v>
      </c>
      <c r="F2228" s="6" t="s">
        <v>13</v>
      </c>
      <c r="G2228" s="6" t="s">
        <v>6051</v>
      </c>
      <c r="H2228" s="6"/>
      <c r="I2228" s="6" t="s">
        <v>73</v>
      </c>
      <c r="J2228" s="6"/>
      <c r="K2228" s="6"/>
      <c r="L2228" s="6" t="s">
        <v>4823</v>
      </c>
      <c r="M2228" s="6"/>
      <c r="N2228" s="6" t="s">
        <v>4824</v>
      </c>
      <c r="O2228" s="6" t="str">
        <f>HYPERLINK("https://ceds.ed.gov/cedselementdetails.aspx?termid=5583")</f>
        <v>https://ceds.ed.gov/cedselementdetails.aspx?termid=5583</v>
      </c>
      <c r="P2228" s="6" t="str">
        <f>HYPERLINK("https://ceds.ed.gov/elementComment.aspx?elementName=Program Participation Start Date &amp;elementID=5583", "Click here to submit comment")</f>
        <v>Click here to submit comment</v>
      </c>
    </row>
    <row r="2229" spans="1:16" ht="45">
      <c r="A2229" s="6" t="s">
        <v>6884</v>
      </c>
      <c r="B2229" s="6" t="s">
        <v>6885</v>
      </c>
      <c r="C2229" s="6" t="s">
        <v>6886</v>
      </c>
      <c r="D2229" s="6" t="s">
        <v>4817</v>
      </c>
      <c r="E2229" s="6" t="s">
        <v>4818</v>
      </c>
      <c r="F2229" s="6" t="s">
        <v>13</v>
      </c>
      <c r="G2229" s="6" t="s">
        <v>218</v>
      </c>
      <c r="H2229" s="6"/>
      <c r="I2229" s="6" t="s">
        <v>73</v>
      </c>
      <c r="J2229" s="6"/>
      <c r="K2229" s="6"/>
      <c r="L2229" s="6" t="s">
        <v>4819</v>
      </c>
      <c r="M2229" s="6"/>
      <c r="N2229" s="6" t="s">
        <v>4820</v>
      </c>
      <c r="O2229" s="6" t="str">
        <f>HYPERLINK("https://ceds.ed.gov/cedselementdetails.aspx?termid=5584")</f>
        <v>https://ceds.ed.gov/cedselementdetails.aspx?termid=5584</v>
      </c>
      <c r="P2229" s="6" t="str">
        <f>HYPERLINK("https://ceds.ed.gov/elementComment.aspx?elementName=Program Participation Exit Date &amp;elementID=5584", "Click here to submit comment")</f>
        <v>Click here to submit comment</v>
      </c>
    </row>
    <row r="2230" spans="1:16" ht="105">
      <c r="A2230" s="6" t="s">
        <v>6884</v>
      </c>
      <c r="B2230" s="6" t="s">
        <v>6885</v>
      </c>
      <c r="C2230" s="6" t="s">
        <v>6886</v>
      </c>
      <c r="D2230" s="6" t="s">
        <v>1551</v>
      </c>
      <c r="E2230" s="6" t="s">
        <v>1552</v>
      </c>
      <c r="F2230" s="6" t="s">
        <v>5963</v>
      </c>
      <c r="G2230" s="6" t="s">
        <v>6084</v>
      </c>
      <c r="H2230" s="6"/>
      <c r="I2230" s="6"/>
      <c r="J2230" s="6"/>
      <c r="K2230" s="6"/>
      <c r="L2230" s="6" t="s">
        <v>1553</v>
      </c>
      <c r="M2230" s="6" t="s">
        <v>1554</v>
      </c>
      <c r="N2230" s="6" t="s">
        <v>1555</v>
      </c>
      <c r="O2230" s="6" t="str">
        <f>HYPERLINK("https://ceds.ed.gov/cedselementdetails.aspx?termid=5037")</f>
        <v>https://ceds.ed.gov/cedselementdetails.aspx?termid=5037</v>
      </c>
      <c r="P2230" s="6" t="str">
        <f>HYPERLINK("https://ceds.ed.gov/elementComment.aspx?elementName=Career and Technical Education Concentrator &amp;elementID=5037", "Click here to submit comment")</f>
        <v>Click here to submit comment</v>
      </c>
    </row>
    <row r="2231" spans="1:16" ht="75">
      <c r="A2231" s="6" t="s">
        <v>6884</v>
      </c>
      <c r="B2231" s="6" t="s">
        <v>6885</v>
      </c>
      <c r="C2231" s="6" t="s">
        <v>6886</v>
      </c>
      <c r="D2231" s="6" t="s">
        <v>1572</v>
      </c>
      <c r="E2231" s="6" t="s">
        <v>1573</v>
      </c>
      <c r="F2231" s="6" t="s">
        <v>5963</v>
      </c>
      <c r="G2231" s="6" t="s">
        <v>218</v>
      </c>
      <c r="H2231" s="6"/>
      <c r="I2231" s="6"/>
      <c r="J2231" s="6"/>
      <c r="K2231" s="6"/>
      <c r="L2231" s="6" t="s">
        <v>1574</v>
      </c>
      <c r="M2231" s="6" t="s">
        <v>1575</v>
      </c>
      <c r="N2231" s="6" t="s">
        <v>1576</v>
      </c>
      <c r="O2231" s="6" t="str">
        <f>HYPERLINK("https://ceds.ed.gov/cedselementdetails.aspx?termid=5585")</f>
        <v>https://ceds.ed.gov/cedselementdetails.aspx?termid=5585</v>
      </c>
      <c r="P2231" s="6" t="str">
        <f>HYPERLINK("https://ceds.ed.gov/elementComment.aspx?elementName=Career and Technical Education Participant &amp;elementID=5585", "Click here to submit comment")</f>
        <v>Click here to submit comment</v>
      </c>
    </row>
    <row r="2232" spans="1:16" ht="270">
      <c r="A2232" s="6" t="s">
        <v>6884</v>
      </c>
      <c r="B2232" s="6" t="s">
        <v>6885</v>
      </c>
      <c r="C2232" s="6" t="s">
        <v>6886</v>
      </c>
      <c r="D2232" s="6" t="s">
        <v>1599</v>
      </c>
      <c r="E2232" s="6" t="s">
        <v>1600</v>
      </c>
      <c r="F2232" s="6" t="s">
        <v>5963</v>
      </c>
      <c r="G2232" s="6" t="s">
        <v>218</v>
      </c>
      <c r="H2232" s="6"/>
      <c r="I2232" s="6"/>
      <c r="J2232" s="6"/>
      <c r="K2232" s="6"/>
      <c r="L2232" s="6" t="s">
        <v>1601</v>
      </c>
      <c r="M2232" s="6" t="s">
        <v>1602</v>
      </c>
      <c r="N2232" s="6" t="s">
        <v>1603</v>
      </c>
      <c r="O2232" s="6" t="str">
        <f>HYPERLINK("https://ceds.ed.gov/cedselementdetails.aspx?termid=5084")</f>
        <v>https://ceds.ed.gov/cedselementdetails.aspx?termid=5084</v>
      </c>
      <c r="P2232" s="6" t="str">
        <f>HYPERLINK("https://ceds.ed.gov/elementComment.aspx?elementName=Career-Technical-Adult Education Displaced Homemaker Indicator &amp;elementID=5084", "Click here to submit comment")</f>
        <v>Click here to submit comment</v>
      </c>
    </row>
    <row r="2233" spans="1:16" ht="105">
      <c r="A2233" s="6" t="s">
        <v>6884</v>
      </c>
      <c r="B2233" s="6" t="s">
        <v>6885</v>
      </c>
      <c r="C2233" s="6" t="s">
        <v>6886</v>
      </c>
      <c r="D2233" s="6" t="s">
        <v>5370</v>
      </c>
      <c r="E2233" s="6" t="s">
        <v>5371</v>
      </c>
      <c r="F2233" s="6" t="s">
        <v>5963</v>
      </c>
      <c r="G2233" s="6" t="s">
        <v>6101</v>
      </c>
      <c r="H2233" s="6" t="s">
        <v>3</v>
      </c>
      <c r="I2233" s="6"/>
      <c r="J2233" s="6"/>
      <c r="K2233" s="6"/>
      <c r="L2233" s="6" t="s">
        <v>5372</v>
      </c>
      <c r="M2233" s="6"/>
      <c r="N2233" s="6" t="s">
        <v>5373</v>
      </c>
      <c r="O2233" s="6" t="str">
        <f>HYPERLINK("https://ceds.ed.gov/cedselementdetails.aspx?termid=5573")</f>
        <v>https://ceds.ed.gov/cedselementdetails.aspx?termid=5573</v>
      </c>
      <c r="P2233" s="6" t="str">
        <f>HYPERLINK("https://ceds.ed.gov/elementComment.aspx?elementName=Single Parent Or Single Pregnant Woman Status &amp;elementID=5573", "Click here to submit comment")</f>
        <v>Click here to submit comment</v>
      </c>
    </row>
    <row r="2234" spans="1:16" ht="409.5">
      <c r="A2234" s="6" t="s">
        <v>6884</v>
      </c>
      <c r="B2234" s="6" t="s">
        <v>6885</v>
      </c>
      <c r="C2234" s="6" t="s">
        <v>6886</v>
      </c>
      <c r="D2234" s="6" t="s">
        <v>1577</v>
      </c>
      <c r="E2234" s="6" t="s">
        <v>1578</v>
      </c>
      <c r="F2234" s="7" t="s">
        <v>6415</v>
      </c>
      <c r="G2234" s="6"/>
      <c r="H2234" s="6" t="s">
        <v>54</v>
      </c>
      <c r="I2234" s="6"/>
      <c r="J2234" s="6"/>
      <c r="K2234" s="6" t="s">
        <v>1579</v>
      </c>
      <c r="L2234" s="6" t="s">
        <v>1580</v>
      </c>
      <c r="M2234" s="6"/>
      <c r="N2234" s="6" t="s">
        <v>1581</v>
      </c>
      <c r="O2234" s="6" t="str">
        <f>HYPERLINK("https://ceds.ed.gov/cedselementdetails.aspx?termid=6254")</f>
        <v>https://ceds.ed.gov/cedselementdetails.aspx?termid=6254</v>
      </c>
      <c r="P2234" s="6" t="str">
        <f>HYPERLINK("https://ceds.ed.gov/elementComment.aspx?elementName=Career Cluster &amp;elementID=6254", "Click here to submit comment")</f>
        <v>Click here to submit comment</v>
      </c>
    </row>
    <row r="2235" spans="1:16" ht="75">
      <c r="A2235" s="6" t="s">
        <v>6884</v>
      </c>
      <c r="B2235" s="6" t="s">
        <v>6885</v>
      </c>
      <c r="C2235" s="6" t="s">
        <v>6886</v>
      </c>
      <c r="D2235" s="6" t="s">
        <v>1700</v>
      </c>
      <c r="E2235" s="6" t="s">
        <v>1701</v>
      </c>
      <c r="F2235" s="5" t="s">
        <v>1702</v>
      </c>
      <c r="G2235" s="6" t="s">
        <v>5967</v>
      </c>
      <c r="H2235" s="6" t="s">
        <v>3</v>
      </c>
      <c r="I2235" s="6"/>
      <c r="J2235" s="6"/>
      <c r="K2235" s="6"/>
      <c r="L2235" s="6" t="s">
        <v>1703</v>
      </c>
      <c r="M2235" s="6" t="s">
        <v>1704</v>
      </c>
      <c r="N2235" s="6" t="s">
        <v>1705</v>
      </c>
      <c r="O2235" s="6" t="str">
        <f>HYPERLINK("https://ceds.ed.gov/cedselementdetails.aspx?termid=5043")</f>
        <v>https://ceds.ed.gov/cedselementdetails.aspx?termid=5043</v>
      </c>
      <c r="P2235" s="6" t="str">
        <f>HYPERLINK("https://ceds.ed.gov/elementComment.aspx?elementName=Classification of Instructional Program Code &amp;elementID=5043", "Click here to submit comment")</f>
        <v>Click here to submit comment</v>
      </c>
    </row>
    <row r="2236" spans="1:16" ht="345">
      <c r="A2236" s="6" t="s">
        <v>6884</v>
      </c>
      <c r="B2236" s="6" t="s">
        <v>6885</v>
      </c>
      <c r="C2236" s="6" t="s">
        <v>6886</v>
      </c>
      <c r="D2236" s="6" t="s">
        <v>5928</v>
      </c>
      <c r="E2236" s="6" t="s">
        <v>5929</v>
      </c>
      <c r="F2236" s="7" t="s">
        <v>6695</v>
      </c>
      <c r="G2236" s="6"/>
      <c r="H2236" s="6" t="s">
        <v>54</v>
      </c>
      <c r="I2236" s="6"/>
      <c r="J2236" s="6"/>
      <c r="K2236" s="6"/>
      <c r="L2236" s="6" t="s">
        <v>5930</v>
      </c>
      <c r="M2236" s="6"/>
      <c r="N2236" s="6" t="s">
        <v>5931</v>
      </c>
      <c r="O2236" s="6" t="str">
        <f>HYPERLINK("https://ceds.ed.gov/cedselementdetails.aspx?termid=6471")</f>
        <v>https://ceds.ed.gov/cedselementdetails.aspx?termid=6471</v>
      </c>
      <c r="P2236" s="6" t="str">
        <f>HYPERLINK("https://ceds.ed.gov/elementComment.aspx?elementName=Work-based Learning Opportunity Type &amp;elementID=6471", "Click here to submit comment")</f>
        <v>Click here to submit comment</v>
      </c>
    </row>
    <row r="2237" spans="1:16" ht="30">
      <c r="A2237" s="6" t="s">
        <v>6884</v>
      </c>
      <c r="B2237" s="6" t="s">
        <v>6885</v>
      </c>
      <c r="C2237" s="6" t="s">
        <v>6887</v>
      </c>
      <c r="D2237" s="6" t="s">
        <v>1582</v>
      </c>
      <c r="E2237" s="6" t="s">
        <v>1583</v>
      </c>
      <c r="F2237" s="6" t="s">
        <v>13</v>
      </c>
      <c r="G2237" s="6"/>
      <c r="H2237" s="6" t="s">
        <v>54</v>
      </c>
      <c r="I2237" s="6" t="s">
        <v>73</v>
      </c>
      <c r="J2237" s="6"/>
      <c r="K2237" s="6"/>
      <c r="L2237" s="6" t="s">
        <v>1584</v>
      </c>
      <c r="M2237" s="6"/>
      <c r="N2237" s="6" t="s">
        <v>1585</v>
      </c>
      <c r="O2237" s="6" t="str">
        <f>HYPERLINK("https://ceds.ed.gov/cedselementdetails.aspx?termid=6255")</f>
        <v>https://ceds.ed.gov/cedselementdetails.aspx?termid=6255</v>
      </c>
      <c r="P2237" s="6" t="str">
        <f>HYPERLINK("https://ceds.ed.gov/elementComment.aspx?elementName=Career Education Plan Date &amp;elementID=6255", "Click here to submit comment")</f>
        <v>Click here to submit comment</v>
      </c>
    </row>
    <row r="2238" spans="1:16" ht="105">
      <c r="A2238" s="6" t="s">
        <v>6884</v>
      </c>
      <c r="B2238" s="6" t="s">
        <v>6885</v>
      </c>
      <c r="C2238" s="6" t="s">
        <v>6887</v>
      </c>
      <c r="D2238" s="6" t="s">
        <v>1586</v>
      </c>
      <c r="E2238" s="6" t="s">
        <v>1587</v>
      </c>
      <c r="F2238" s="7" t="s">
        <v>6416</v>
      </c>
      <c r="G2238" s="6"/>
      <c r="H2238" s="6" t="s">
        <v>54</v>
      </c>
      <c r="I2238" s="6"/>
      <c r="J2238" s="6"/>
      <c r="K2238" s="6"/>
      <c r="L2238" s="6" t="s">
        <v>1588</v>
      </c>
      <c r="M2238" s="6"/>
      <c r="N2238" s="6" t="s">
        <v>1589</v>
      </c>
      <c r="O2238" s="6" t="str">
        <f>HYPERLINK("https://ceds.ed.gov/cedselementdetails.aspx?termid=6256")</f>
        <v>https://ceds.ed.gov/cedselementdetails.aspx?termid=6256</v>
      </c>
      <c r="P2238" s="6" t="str">
        <f>HYPERLINK("https://ceds.ed.gov/elementComment.aspx?elementName=Career Education Plan Type &amp;elementID=6256", "Click here to submit comment")</f>
        <v>Click here to submit comment</v>
      </c>
    </row>
    <row r="2239" spans="1:16" ht="409.5">
      <c r="A2239" s="6" t="s">
        <v>6884</v>
      </c>
      <c r="B2239" s="6" t="s">
        <v>6817</v>
      </c>
      <c r="C2239" s="6"/>
      <c r="D2239" s="6" t="s">
        <v>4856</v>
      </c>
      <c r="E2239" s="6" t="s">
        <v>4857</v>
      </c>
      <c r="F2239" s="7" t="s">
        <v>6626</v>
      </c>
      <c r="G2239" s="6" t="s">
        <v>5968</v>
      </c>
      <c r="H2239" s="6" t="s">
        <v>66</v>
      </c>
      <c r="I2239" s="6"/>
      <c r="J2239" s="6" t="s">
        <v>4858</v>
      </c>
      <c r="K2239" s="6"/>
      <c r="L2239" s="6" t="s">
        <v>4859</v>
      </c>
      <c r="M2239" s="6"/>
      <c r="N2239" s="6" t="s">
        <v>4860</v>
      </c>
      <c r="O2239" s="6" t="str">
        <f>HYPERLINK("https://ceds.ed.gov/cedselementdetails.aspx?termid=5225")</f>
        <v>https://ceds.ed.gov/cedselementdetails.aspx?termid=5225</v>
      </c>
      <c r="P2239" s="6" t="str">
        <f>HYPERLINK("https://ceds.ed.gov/elementComment.aspx?elementName=Program Type &amp;elementID=5225", "Click here to submit comment")</f>
        <v>Click here to submit comment</v>
      </c>
    </row>
    <row r="2240" spans="1:16" ht="60">
      <c r="A2240" s="6" t="s">
        <v>6884</v>
      </c>
      <c r="B2240" s="6" t="s">
        <v>6817</v>
      </c>
      <c r="C2240" s="6"/>
      <c r="D2240" s="6" t="s">
        <v>4813</v>
      </c>
      <c r="E2240" s="6" t="s">
        <v>4814</v>
      </c>
      <c r="F2240" s="6" t="s">
        <v>13</v>
      </c>
      <c r="G2240" s="6"/>
      <c r="H2240" s="6" t="s">
        <v>3</v>
      </c>
      <c r="I2240" s="6" t="s">
        <v>106</v>
      </c>
      <c r="J2240" s="6"/>
      <c r="K2240" s="6"/>
      <c r="L2240" s="6" t="s">
        <v>4815</v>
      </c>
      <c r="M2240" s="6"/>
      <c r="N2240" s="6" t="s">
        <v>4816</v>
      </c>
      <c r="O2240" s="6" t="str">
        <f>HYPERLINK("https://ceds.ed.gov/cedselementdetails.aspx?termid=5619")</f>
        <v>https://ceds.ed.gov/cedselementdetails.aspx?termid=5619</v>
      </c>
      <c r="P2240" s="6" t="str">
        <f>HYPERLINK("https://ceds.ed.gov/elementComment.aspx?elementName=Program Name &amp;elementID=5619", "Click here to submit comment")</f>
        <v>Click here to submit comment</v>
      </c>
    </row>
    <row r="2241" spans="1:16" ht="409.5">
      <c r="A2241" s="6" t="s">
        <v>6884</v>
      </c>
      <c r="B2241" s="6" t="s">
        <v>6817</v>
      </c>
      <c r="C2241" s="6"/>
      <c r="D2241" s="6" t="s">
        <v>1577</v>
      </c>
      <c r="E2241" s="6" t="s">
        <v>1578</v>
      </c>
      <c r="F2241" s="7" t="s">
        <v>6415</v>
      </c>
      <c r="G2241" s="6"/>
      <c r="H2241" s="6" t="s">
        <v>54</v>
      </c>
      <c r="I2241" s="6"/>
      <c r="J2241" s="6"/>
      <c r="K2241" s="6" t="s">
        <v>1579</v>
      </c>
      <c r="L2241" s="6" t="s">
        <v>1580</v>
      </c>
      <c r="M2241" s="6"/>
      <c r="N2241" s="6" t="s">
        <v>1581</v>
      </c>
      <c r="O2241" s="6" t="str">
        <f>HYPERLINK("https://ceds.ed.gov/cedselementdetails.aspx?termid=6254")</f>
        <v>https://ceds.ed.gov/cedselementdetails.aspx?termid=6254</v>
      </c>
      <c r="P2241" s="6" t="str">
        <f>HYPERLINK("https://ceds.ed.gov/elementComment.aspx?elementName=Career Cluster &amp;elementID=6254", "Click here to submit comment")</f>
        <v>Click here to submit comment</v>
      </c>
    </row>
    <row r="2242" spans="1:16" ht="390">
      <c r="A2242" s="6" t="s">
        <v>6884</v>
      </c>
      <c r="B2242" s="6" t="s">
        <v>6817</v>
      </c>
      <c r="C2242" s="6"/>
      <c r="D2242" s="6" t="s">
        <v>4847</v>
      </c>
      <c r="E2242" s="6" t="s">
        <v>4848</v>
      </c>
      <c r="F2242" s="7" t="s">
        <v>6625</v>
      </c>
      <c r="G2242" s="6"/>
      <c r="H2242" s="6" t="s">
        <v>66</v>
      </c>
      <c r="I2242" s="6"/>
      <c r="J2242" s="6" t="s">
        <v>4849</v>
      </c>
      <c r="K2242" s="6"/>
      <c r="L2242" s="6" t="s">
        <v>4850</v>
      </c>
      <c r="M2242" s="6"/>
      <c r="N2242" s="6" t="s">
        <v>4851</v>
      </c>
      <c r="O2242" s="6" t="str">
        <f>HYPERLINK("https://ceds.ed.gov/cedselementdetails.aspx?termid=5692")</f>
        <v>https://ceds.ed.gov/cedselementdetails.aspx?termid=5692</v>
      </c>
      <c r="P2242" s="6" t="str">
        <f>HYPERLINK("https://ceds.ed.gov/elementComment.aspx?elementName=Program Sponsor Type &amp;elementID=5692", "Click here to submit comment")</f>
        <v>Click here to submit comment</v>
      </c>
    </row>
    <row r="2243" spans="1:16" ht="225">
      <c r="A2243" s="6" t="s">
        <v>6884</v>
      </c>
      <c r="B2243" s="6" t="s">
        <v>6825</v>
      </c>
      <c r="C2243" s="6"/>
      <c r="D2243" s="6" t="s">
        <v>2034</v>
      </c>
      <c r="E2243" s="6" t="s">
        <v>2035</v>
      </c>
      <c r="F2243" s="6" t="s">
        <v>13</v>
      </c>
      <c r="G2243" s="6" t="s">
        <v>6078</v>
      </c>
      <c r="H2243" s="6"/>
      <c r="I2243" s="6" t="s">
        <v>106</v>
      </c>
      <c r="J2243" s="6"/>
      <c r="K2243" s="6"/>
      <c r="L2243" s="6" t="s">
        <v>2036</v>
      </c>
      <c r="M2243" s="6"/>
      <c r="N2243" s="6" t="s">
        <v>2037</v>
      </c>
      <c r="O2243" s="6" t="str">
        <f>HYPERLINK("https://ceds.ed.gov/cedselementdetails.aspx?termid=5067")</f>
        <v>https://ceds.ed.gov/cedselementdetails.aspx?termid=5067</v>
      </c>
      <c r="P2243" s="6" t="str">
        <f>HYPERLINK("https://ceds.ed.gov/elementComment.aspx?elementName=Course Title &amp;elementID=5067", "Click here to submit comment")</f>
        <v>Click here to submit comment</v>
      </c>
    </row>
    <row r="2244" spans="1:16" ht="135">
      <c r="A2244" s="6" t="s">
        <v>6884</v>
      </c>
      <c r="B2244" s="6" t="s">
        <v>6825</v>
      </c>
      <c r="C2244" s="6"/>
      <c r="D2244" s="6" t="s">
        <v>1915</v>
      </c>
      <c r="E2244" s="6" t="s">
        <v>1916</v>
      </c>
      <c r="F2244" s="6" t="s">
        <v>13</v>
      </c>
      <c r="G2244" s="6" t="s">
        <v>6116</v>
      </c>
      <c r="H2244" s="6" t="s">
        <v>66</v>
      </c>
      <c r="I2244" s="6" t="s">
        <v>1917</v>
      </c>
      <c r="J2244" s="6" t="s">
        <v>1918</v>
      </c>
      <c r="K2244" s="6"/>
      <c r="L2244" s="6" t="s">
        <v>1919</v>
      </c>
      <c r="M2244" s="6"/>
      <c r="N2244" s="6" t="s">
        <v>1920</v>
      </c>
      <c r="O2244" s="6" t="str">
        <f>HYPERLINK("https://ceds.ed.gov/cedselementdetails.aspx?termid=5055")</f>
        <v>https://ceds.ed.gov/cedselementdetails.aspx?termid=5055</v>
      </c>
      <c r="P2244" s="6" t="str">
        <f>HYPERLINK("https://ceds.ed.gov/elementComment.aspx?elementName=Course Identifier &amp;elementID=5055", "Click here to submit comment")</f>
        <v>Click here to submit comment</v>
      </c>
    </row>
    <row r="2245" spans="1:16" ht="285">
      <c r="A2245" s="6" t="s">
        <v>6884</v>
      </c>
      <c r="B2245" s="6" t="s">
        <v>6825</v>
      </c>
      <c r="C2245" s="6"/>
      <c r="D2245" s="6" t="s">
        <v>1868</v>
      </c>
      <c r="E2245" s="6" t="s">
        <v>1869</v>
      </c>
      <c r="F2245" s="7" t="s">
        <v>6435</v>
      </c>
      <c r="G2245" s="6" t="s">
        <v>6078</v>
      </c>
      <c r="H2245" s="6"/>
      <c r="I2245" s="6"/>
      <c r="J2245" s="6"/>
      <c r="K2245" s="6"/>
      <c r="L2245" s="6" t="s">
        <v>1870</v>
      </c>
      <c r="M2245" s="6"/>
      <c r="N2245" s="6" t="s">
        <v>1871</v>
      </c>
      <c r="O2245" s="6" t="str">
        <f>HYPERLINK("https://ceds.ed.gov/cedselementdetails.aspx?termid=5056")</f>
        <v>https://ceds.ed.gov/cedselementdetails.aspx?termid=5056</v>
      </c>
      <c r="P2245" s="6" t="str">
        <f>HYPERLINK("https://ceds.ed.gov/elementComment.aspx?elementName=Course Code System &amp;elementID=5056", "Click here to submit comment")</f>
        <v>Click here to submit comment</v>
      </c>
    </row>
    <row r="2246" spans="1:16" ht="45">
      <c r="A2246" s="6" t="s">
        <v>6884</v>
      </c>
      <c r="B2246" s="6" t="s">
        <v>6825</v>
      </c>
      <c r="C2246" s="6"/>
      <c r="D2246" s="6" t="s">
        <v>1889</v>
      </c>
      <c r="E2246" s="6" t="s">
        <v>1890</v>
      </c>
      <c r="F2246" s="6" t="s">
        <v>13</v>
      </c>
      <c r="G2246" s="6"/>
      <c r="H2246" s="6" t="s">
        <v>66</v>
      </c>
      <c r="I2246" s="6" t="s">
        <v>106</v>
      </c>
      <c r="J2246" s="6" t="s">
        <v>1820</v>
      </c>
      <c r="K2246" s="6"/>
      <c r="L2246" s="6" t="s">
        <v>1891</v>
      </c>
      <c r="M2246" s="6"/>
      <c r="N2246" s="6" t="s">
        <v>1892</v>
      </c>
      <c r="O2246" s="6" t="str">
        <f>HYPERLINK("https://ceds.ed.gov/cedselementdetails.aspx?termid=5508")</f>
        <v>https://ceds.ed.gov/cedselementdetails.aspx?termid=5508</v>
      </c>
      <c r="P2246" s="6" t="str">
        <f>HYPERLINK("https://ceds.ed.gov/elementComment.aspx?elementName=Course Description &amp;elementID=5508", "Click here to submit comment")</f>
        <v>Click here to submit comment</v>
      </c>
    </row>
    <row r="2247" spans="1:16" ht="120">
      <c r="A2247" s="6" t="s">
        <v>6884</v>
      </c>
      <c r="B2247" s="6" t="s">
        <v>6825</v>
      </c>
      <c r="C2247" s="6"/>
      <c r="D2247" s="6" t="s">
        <v>5214</v>
      </c>
      <c r="E2247" s="6" t="s">
        <v>5215</v>
      </c>
      <c r="F2247" s="6" t="s">
        <v>13</v>
      </c>
      <c r="G2247" s="6" t="s">
        <v>6078</v>
      </c>
      <c r="H2247" s="6" t="s">
        <v>66</v>
      </c>
      <c r="I2247" s="6" t="s">
        <v>2031</v>
      </c>
      <c r="J2247" s="6" t="s">
        <v>5216</v>
      </c>
      <c r="K2247" s="6" t="s">
        <v>5217</v>
      </c>
      <c r="L2247" s="6" t="s">
        <v>5218</v>
      </c>
      <c r="M2247" s="6" t="s">
        <v>5219</v>
      </c>
      <c r="N2247" s="6" t="s">
        <v>5220</v>
      </c>
      <c r="O2247" s="6" t="str">
        <f>HYPERLINK("https://ceds.ed.gov/cedselementdetails.aspx?termid=5250")</f>
        <v>https://ceds.ed.gov/cedselementdetails.aspx?termid=5250</v>
      </c>
      <c r="P2247" s="6" t="str">
        <f>HYPERLINK("https://ceds.ed.gov/elementComment.aspx?elementName=School Codes for the Exchange of Data Sequence of Course &amp;elementID=5250", "Click here to submit comment")</f>
        <v>Click here to submit comment</v>
      </c>
    </row>
    <row r="2248" spans="1:16" ht="195">
      <c r="A2248" s="6" t="s">
        <v>6884</v>
      </c>
      <c r="B2248" s="6" t="s">
        <v>6825</v>
      </c>
      <c r="C2248" s="6"/>
      <c r="D2248" s="6" t="s">
        <v>1880</v>
      </c>
      <c r="E2248" s="6" t="s">
        <v>1881</v>
      </c>
      <c r="F2248" s="7" t="s">
        <v>6438</v>
      </c>
      <c r="G2248" s="6" t="s">
        <v>24</v>
      </c>
      <c r="H2248" s="6"/>
      <c r="I2248" s="6"/>
      <c r="J2248" s="6"/>
      <c r="K2248" s="6"/>
      <c r="L2248" s="6" t="s">
        <v>1882</v>
      </c>
      <c r="M2248" s="6"/>
      <c r="N2248" s="6" t="s">
        <v>1883</v>
      </c>
      <c r="O2248" s="6" t="str">
        <f>HYPERLINK("https://ceds.ed.gov/cedselementdetails.aspx?termid=5057")</f>
        <v>https://ceds.ed.gov/cedselementdetails.aspx?termid=5057</v>
      </c>
      <c r="P2248" s="6" t="str">
        <f>HYPERLINK("https://ceds.ed.gov/elementComment.aspx?elementName=Course Credit Units &amp;elementID=5057", "Click here to submit comment")</f>
        <v>Click here to submit comment</v>
      </c>
    </row>
    <row r="2249" spans="1:16" ht="409.5">
      <c r="A2249" s="6" t="s">
        <v>6884</v>
      </c>
      <c r="B2249" s="6" t="s">
        <v>6825</v>
      </c>
      <c r="C2249" s="6"/>
      <c r="D2249" s="6" t="s">
        <v>2058</v>
      </c>
      <c r="E2249" s="6" t="s">
        <v>2059</v>
      </c>
      <c r="F2249" s="7" t="s">
        <v>6451</v>
      </c>
      <c r="G2249" s="6" t="s">
        <v>5968</v>
      </c>
      <c r="H2249" s="6"/>
      <c r="I2249" s="6"/>
      <c r="J2249" s="6"/>
      <c r="K2249" s="6"/>
      <c r="L2249" s="6" t="s">
        <v>2060</v>
      </c>
      <c r="M2249" s="6"/>
      <c r="N2249" s="6" t="s">
        <v>2061</v>
      </c>
      <c r="O2249" s="6" t="str">
        <f>HYPERLINK("https://ceds.ed.gov/cedselementdetails.aspx?termid=5072")</f>
        <v>https://ceds.ed.gov/cedselementdetails.aspx?termid=5072</v>
      </c>
      <c r="P2249" s="6" t="str">
        <f>HYPERLINK("https://ceds.ed.gov/elementComment.aspx?elementName=Credit Type Earned &amp;elementID=5072", "Click here to submit comment")</f>
        <v>Click here to submit comment</v>
      </c>
    </row>
    <row r="2250" spans="1:16" ht="105">
      <c r="A2250" s="6" t="s">
        <v>6884</v>
      </c>
      <c r="B2250" s="6" t="s">
        <v>6825</v>
      </c>
      <c r="C2250" s="6"/>
      <c r="D2250" s="6" t="s">
        <v>1884</v>
      </c>
      <c r="E2250" s="6" t="s">
        <v>1885</v>
      </c>
      <c r="F2250" s="6" t="s">
        <v>13</v>
      </c>
      <c r="G2250" s="6" t="s">
        <v>24</v>
      </c>
      <c r="H2250" s="6"/>
      <c r="I2250" s="6" t="s">
        <v>1461</v>
      </c>
      <c r="J2250" s="6"/>
      <c r="K2250" s="6" t="s">
        <v>1886</v>
      </c>
      <c r="L2250" s="6" t="s">
        <v>1887</v>
      </c>
      <c r="M2250" s="6"/>
      <c r="N2250" s="6" t="s">
        <v>1888</v>
      </c>
      <c r="O2250" s="6" t="str">
        <f>HYPERLINK("https://ceds.ed.gov/cedselementdetails.aspx?termid=5058")</f>
        <v>https://ceds.ed.gov/cedselementdetails.aspx?termid=5058</v>
      </c>
      <c r="P2250" s="6" t="str">
        <f>HYPERLINK("https://ceds.ed.gov/elementComment.aspx?elementName=Course Credit Value &amp;elementID=5058", "Click here to submit comment")</f>
        <v>Click here to submit comment</v>
      </c>
    </row>
    <row r="2251" spans="1:16" ht="330">
      <c r="A2251" s="6" t="s">
        <v>6884</v>
      </c>
      <c r="B2251" s="6" t="s">
        <v>6825</v>
      </c>
      <c r="C2251" s="6"/>
      <c r="D2251" s="6" t="s">
        <v>165</v>
      </c>
      <c r="E2251" s="6" t="s">
        <v>166</v>
      </c>
      <c r="F2251" s="7" t="s">
        <v>6352</v>
      </c>
      <c r="G2251" s="6"/>
      <c r="H2251" s="6" t="s">
        <v>66</v>
      </c>
      <c r="I2251" s="6"/>
      <c r="J2251" s="6" t="s">
        <v>167</v>
      </c>
      <c r="K2251" s="6"/>
      <c r="L2251" s="6" t="s">
        <v>168</v>
      </c>
      <c r="M2251" s="6"/>
      <c r="N2251" s="6" t="s">
        <v>169</v>
      </c>
      <c r="O2251" s="6" t="str">
        <f>HYPERLINK("https://ceds.ed.gov/cedselementdetails.aspx?termid=5589")</f>
        <v>https://ceds.ed.gov/cedselementdetails.aspx?termid=5589</v>
      </c>
      <c r="P2251" s="6" t="str">
        <f>HYPERLINK("https://ceds.ed.gov/elementComment.aspx?elementName=Additional Credit Type &amp;elementID=5589", "Click here to submit comment")</f>
        <v>Click here to submit comment</v>
      </c>
    </row>
    <row r="2252" spans="1:16" ht="150">
      <c r="A2252" s="6" t="s">
        <v>6884</v>
      </c>
      <c r="B2252" s="6" t="s">
        <v>6825</v>
      </c>
      <c r="C2252" s="6"/>
      <c r="D2252" s="6" t="s">
        <v>1459</v>
      </c>
      <c r="E2252" s="6" t="s">
        <v>1460</v>
      </c>
      <c r="F2252" s="6" t="s">
        <v>13</v>
      </c>
      <c r="G2252" s="6" t="s">
        <v>6078</v>
      </c>
      <c r="H2252" s="6"/>
      <c r="I2252" s="6" t="s">
        <v>1461</v>
      </c>
      <c r="J2252" s="6"/>
      <c r="K2252" s="6"/>
      <c r="L2252" s="6" t="s">
        <v>1462</v>
      </c>
      <c r="M2252" s="6"/>
      <c r="N2252" s="6" t="s">
        <v>1463</v>
      </c>
      <c r="O2252" s="6" t="str">
        <f>HYPERLINK("https://ceds.ed.gov/cedselementdetails.aspx?termid=5030")</f>
        <v>https://ceds.ed.gov/cedselementdetails.aspx?termid=5030</v>
      </c>
      <c r="P2252" s="6" t="str">
        <f>HYPERLINK("https://ceds.ed.gov/elementComment.aspx?elementName=Available Carnegie Unit Credit &amp;elementID=5030", "Click here to submit comment")</f>
        <v>Click here to submit comment</v>
      </c>
    </row>
    <row r="2253" spans="1:16" ht="120">
      <c r="A2253" s="6" t="s">
        <v>6884</v>
      </c>
      <c r="B2253" s="6" t="s">
        <v>6825</v>
      </c>
      <c r="C2253" s="6"/>
      <c r="D2253" s="6" t="s">
        <v>1906</v>
      </c>
      <c r="E2253" s="6" t="s">
        <v>1907</v>
      </c>
      <c r="F2253" s="7" t="s">
        <v>6439</v>
      </c>
      <c r="G2253" s="6" t="s">
        <v>6078</v>
      </c>
      <c r="H2253" s="6" t="s">
        <v>66</v>
      </c>
      <c r="I2253" s="6"/>
      <c r="J2253" s="6" t="s">
        <v>1820</v>
      </c>
      <c r="K2253" s="6"/>
      <c r="L2253" s="6" t="s">
        <v>1908</v>
      </c>
      <c r="M2253" s="6" t="s">
        <v>1909</v>
      </c>
      <c r="N2253" s="6" t="s">
        <v>1910</v>
      </c>
      <c r="O2253" s="6" t="str">
        <f>HYPERLINK("https://ceds.ed.gov/cedselementdetails.aspx?termid=5060")</f>
        <v>https://ceds.ed.gov/cedselementdetails.aspx?termid=5060</v>
      </c>
      <c r="P2253" s="6" t="str">
        <f>HYPERLINK("https://ceds.ed.gov/elementComment.aspx?elementName=Course Grade Point Average Applicability &amp;elementID=5060", "Click here to submit comment")</f>
        <v>Click here to submit comment</v>
      </c>
    </row>
    <row r="2254" spans="1:16" ht="409.5">
      <c r="A2254" s="6" t="s">
        <v>6884</v>
      </c>
      <c r="B2254" s="6" t="s">
        <v>6825</v>
      </c>
      <c r="C2254" s="6"/>
      <c r="D2254" s="6" t="s">
        <v>1938</v>
      </c>
      <c r="E2254" s="6" t="s">
        <v>1939</v>
      </c>
      <c r="F2254" s="7" t="s">
        <v>6443</v>
      </c>
      <c r="G2254" s="6" t="s">
        <v>6116</v>
      </c>
      <c r="H2254" s="6"/>
      <c r="I2254" s="6"/>
      <c r="J2254" s="6"/>
      <c r="K2254" s="6"/>
      <c r="L2254" s="6" t="s">
        <v>1940</v>
      </c>
      <c r="M2254" s="6"/>
      <c r="N2254" s="6" t="s">
        <v>1941</v>
      </c>
      <c r="O2254" s="6" t="str">
        <f>HYPERLINK("https://ceds.ed.gov/cedselementdetails.aspx?termid=5061")</f>
        <v>https://ceds.ed.gov/cedselementdetails.aspx?termid=5061</v>
      </c>
      <c r="P2254" s="6" t="str">
        <f>HYPERLINK("https://ceds.ed.gov/elementComment.aspx?elementName=Course Level Characteristic &amp;elementID=5061", "Click here to submit comment")</f>
        <v>Click here to submit comment</v>
      </c>
    </row>
    <row r="2255" spans="1:16" ht="120">
      <c r="A2255" s="6" t="s">
        <v>6884</v>
      </c>
      <c r="B2255" s="6" t="s">
        <v>6825</v>
      </c>
      <c r="C2255" s="6"/>
      <c r="D2255" s="6" t="s">
        <v>2941</v>
      </c>
      <c r="E2255" s="6" t="s">
        <v>2942</v>
      </c>
      <c r="F2255" s="6" t="s">
        <v>5963</v>
      </c>
      <c r="G2255" s="6" t="s">
        <v>6078</v>
      </c>
      <c r="H2255" s="6"/>
      <c r="I2255" s="6"/>
      <c r="J2255" s="6"/>
      <c r="K2255" s="6"/>
      <c r="L2255" s="6" t="s">
        <v>2943</v>
      </c>
      <c r="M2255" s="6"/>
      <c r="N2255" s="6" t="s">
        <v>2944</v>
      </c>
      <c r="O2255" s="6" t="str">
        <f>HYPERLINK("https://ceds.ed.gov/cedselementdetails.aspx?termid=5137")</f>
        <v>https://ceds.ed.gov/cedselementdetails.aspx?termid=5137</v>
      </c>
      <c r="P2255" s="6" t="str">
        <f>HYPERLINK("https://ceds.ed.gov/elementComment.aspx?elementName=High School Course Requirement &amp;elementID=5137", "Click here to submit comment")</f>
        <v>Click here to submit comment</v>
      </c>
    </row>
    <row r="2256" spans="1:16" ht="45">
      <c r="A2256" s="6" t="s">
        <v>6884</v>
      </c>
      <c r="B2256" s="6" t="s">
        <v>6825</v>
      </c>
      <c r="C2256" s="6"/>
      <c r="D2256" s="6" t="s">
        <v>3302</v>
      </c>
      <c r="E2256" s="6" t="s">
        <v>3303</v>
      </c>
      <c r="F2256" s="5" t="s">
        <v>939</v>
      </c>
      <c r="G2256" s="6" t="s">
        <v>207</v>
      </c>
      <c r="H2256" s="6"/>
      <c r="I2256" s="6"/>
      <c r="J2256" s="6"/>
      <c r="K2256" s="6"/>
      <c r="L2256" s="6" t="s">
        <v>3304</v>
      </c>
      <c r="M2256" s="6"/>
      <c r="N2256" s="6" t="s">
        <v>3305</v>
      </c>
      <c r="O2256" s="6" t="str">
        <f>HYPERLINK("https://ceds.ed.gov/cedselementdetails.aspx?termid=5438")</f>
        <v>https://ceds.ed.gov/cedselementdetails.aspx?termid=5438</v>
      </c>
      <c r="P2256" s="6" t="str">
        <f>HYPERLINK("https://ceds.ed.gov/elementComment.aspx?elementName=Instruction Language &amp;elementID=5438", "Click here to submit comment")</f>
        <v>Click here to submit comment</v>
      </c>
    </row>
    <row r="2257" spans="1:16" ht="45">
      <c r="A2257" s="6" t="s">
        <v>6884</v>
      </c>
      <c r="B2257" s="6" t="s">
        <v>6825</v>
      </c>
      <c r="C2257" s="6"/>
      <c r="D2257" s="6" t="s">
        <v>1792</v>
      </c>
      <c r="E2257" s="6" t="s">
        <v>1793</v>
      </c>
      <c r="F2257" s="6" t="s">
        <v>5963</v>
      </c>
      <c r="G2257" s="6"/>
      <c r="H2257" s="6"/>
      <c r="I2257" s="6"/>
      <c r="J2257" s="6"/>
      <c r="K2257" s="6"/>
      <c r="L2257" s="6" t="s">
        <v>1794</v>
      </c>
      <c r="M2257" s="6"/>
      <c r="N2257" s="6" t="s">
        <v>1795</v>
      </c>
      <c r="O2257" s="6" t="str">
        <f>HYPERLINK("https://ceds.ed.gov/cedselementdetails.aspx?termid=5509")</f>
        <v>https://ceds.ed.gov/cedselementdetails.aspx?termid=5509</v>
      </c>
      <c r="P2257" s="6" t="str">
        <f>HYPERLINK("https://ceds.ed.gov/elementComment.aspx?elementName=Core Academic Course &amp;elementID=5509", "Click here to submit comment")</f>
        <v>Click here to submit comment</v>
      </c>
    </row>
    <row r="2258" spans="1:16" ht="225">
      <c r="A2258" s="6" t="s">
        <v>6884</v>
      </c>
      <c r="B2258" s="6" t="s">
        <v>6825</v>
      </c>
      <c r="C2258" s="6"/>
      <c r="D2258" s="6" t="s">
        <v>2092</v>
      </c>
      <c r="E2258" s="6" t="s">
        <v>2093</v>
      </c>
      <c r="F2258" s="7" t="s">
        <v>6452</v>
      </c>
      <c r="G2258" s="6"/>
      <c r="H2258" s="6"/>
      <c r="I2258" s="6"/>
      <c r="J2258" s="6"/>
      <c r="K2258" s="6"/>
      <c r="L2258" s="6" t="s">
        <v>2094</v>
      </c>
      <c r="M2258" s="6"/>
      <c r="N2258" s="6" t="s">
        <v>2095</v>
      </c>
      <c r="O2258" s="6" t="str">
        <f>HYPERLINK("https://ceds.ed.gov/cedselementdetails.aspx?termid=5688")</f>
        <v>https://ceds.ed.gov/cedselementdetails.aspx?termid=5688</v>
      </c>
      <c r="P2258" s="6" t="str">
        <f>HYPERLINK("https://ceds.ed.gov/elementComment.aspx?elementName=Curriculum Framework Type &amp;elementID=5688", "Click here to submit comment")</f>
        <v>Click here to submit comment</v>
      </c>
    </row>
    <row r="2259" spans="1:16" ht="45">
      <c r="A2259" s="6" t="s">
        <v>6884</v>
      </c>
      <c r="B2259" s="6" t="s">
        <v>6825</v>
      </c>
      <c r="C2259" s="6"/>
      <c r="D2259" s="6" t="s">
        <v>1845</v>
      </c>
      <c r="E2259" s="6" t="s">
        <v>1846</v>
      </c>
      <c r="F2259" s="6" t="s">
        <v>5963</v>
      </c>
      <c r="G2259" s="6"/>
      <c r="H2259" s="6" t="s">
        <v>66</v>
      </c>
      <c r="I2259" s="6"/>
      <c r="J2259" s="6" t="s">
        <v>1847</v>
      </c>
      <c r="K2259" s="6"/>
      <c r="L2259" s="6" t="s">
        <v>1848</v>
      </c>
      <c r="M2259" s="6"/>
      <c r="N2259" s="6" t="s">
        <v>1849</v>
      </c>
      <c r="O2259" s="6" t="str">
        <f>HYPERLINK("https://ceds.ed.gov/cedselementdetails.aspx?termid=5013")</f>
        <v>https://ceds.ed.gov/cedselementdetails.aspx?termid=5013</v>
      </c>
      <c r="P2259" s="6" t="str">
        <f>HYPERLINK("https://ceds.ed.gov/elementComment.aspx?elementName=Course Aligned with Standards &amp;elementID=5013", "Click here to submit comment")</f>
        <v>Click here to submit comment</v>
      </c>
    </row>
    <row r="2260" spans="1:16" ht="120">
      <c r="A2260" s="6" t="s">
        <v>6884</v>
      </c>
      <c r="B2260" s="6" t="s">
        <v>6825</v>
      </c>
      <c r="C2260" s="6"/>
      <c r="D2260" s="6" t="s">
        <v>5186</v>
      </c>
      <c r="E2260" s="6" t="s">
        <v>5187</v>
      </c>
      <c r="F2260" s="5" t="s">
        <v>5188</v>
      </c>
      <c r="G2260" s="6"/>
      <c r="H2260" s="6" t="s">
        <v>54</v>
      </c>
      <c r="I2260" s="6" t="s">
        <v>5189</v>
      </c>
      <c r="J2260" s="6"/>
      <c r="K2260" s="6" t="s">
        <v>5190</v>
      </c>
      <c r="L2260" s="6" t="s">
        <v>5191</v>
      </c>
      <c r="M2260" s="6" t="s">
        <v>5192</v>
      </c>
      <c r="N2260" s="6" t="s">
        <v>5193</v>
      </c>
      <c r="O2260" s="6" t="str">
        <f>HYPERLINK("https://ceds.ed.gov/cedselementdetails.aspx?termid=6490")</f>
        <v>https://ceds.ed.gov/cedselementdetails.aspx?termid=6490</v>
      </c>
      <c r="P2260" s="6" t="str">
        <f>HYPERLINK("https://ceds.ed.gov/elementComment.aspx?elementName=School Codes for the Exchange of Data Course Code &amp;elementID=6490", "Click here to submit comment")</f>
        <v>Click here to submit comment</v>
      </c>
    </row>
    <row r="2261" spans="1:16" ht="120">
      <c r="A2261" s="6" t="s">
        <v>6884</v>
      </c>
      <c r="B2261" s="6" t="s">
        <v>6825</v>
      </c>
      <c r="C2261" s="6"/>
      <c r="D2261" s="6" t="s">
        <v>5194</v>
      </c>
      <c r="E2261" s="6" t="s">
        <v>5195</v>
      </c>
      <c r="F2261" s="7" t="s">
        <v>6643</v>
      </c>
      <c r="G2261" s="6"/>
      <c r="H2261" s="6" t="s">
        <v>54</v>
      </c>
      <c r="I2261" s="6" t="s">
        <v>5196</v>
      </c>
      <c r="J2261" s="6"/>
      <c r="K2261" s="6"/>
      <c r="L2261" s="6" t="s">
        <v>5197</v>
      </c>
      <c r="M2261" s="6" t="s">
        <v>5198</v>
      </c>
      <c r="N2261" s="6" t="s">
        <v>5199</v>
      </c>
      <c r="O2261" s="6" t="str">
        <f>HYPERLINK("https://ceds.ed.gov/cedselementdetails.aspx?termid=6488")</f>
        <v>https://ceds.ed.gov/cedselementdetails.aspx?termid=6488</v>
      </c>
      <c r="P2261" s="6" t="str">
        <f>HYPERLINK("https://ceds.ed.gov/elementComment.aspx?elementName=School Codes for the Exchange of Data Course Level &amp;elementID=6488", "Click here to submit comment")</f>
        <v>Click here to submit comment</v>
      </c>
    </row>
    <row r="2262" spans="1:16" ht="409.5">
      <c r="A2262" s="6" t="s">
        <v>6884</v>
      </c>
      <c r="B2262" s="6" t="s">
        <v>6825</v>
      </c>
      <c r="C2262" s="6"/>
      <c r="D2262" s="6" t="s">
        <v>5200</v>
      </c>
      <c r="E2262" s="6" t="s">
        <v>5201</v>
      </c>
      <c r="F2262" s="7" t="s">
        <v>6644</v>
      </c>
      <c r="G2262" s="6"/>
      <c r="H2262" s="6" t="s">
        <v>54</v>
      </c>
      <c r="I2262" s="6" t="s">
        <v>5202</v>
      </c>
      <c r="J2262" s="6"/>
      <c r="K2262" s="6" t="s">
        <v>5203</v>
      </c>
      <c r="L2262" s="6" t="s">
        <v>5204</v>
      </c>
      <c r="M2262" s="6" t="s">
        <v>5205</v>
      </c>
      <c r="N2262" s="6" t="s">
        <v>5206</v>
      </c>
      <c r="O2262" s="6" t="str">
        <f>HYPERLINK("https://ceds.ed.gov/cedselementdetails.aspx?termid=6491")</f>
        <v>https://ceds.ed.gov/cedselementdetails.aspx?termid=6491</v>
      </c>
      <c r="P2262" s="6" t="str">
        <f>HYPERLINK("https://ceds.ed.gov/elementComment.aspx?elementName=School Codes for the Exchange of Data Course Subject Area &amp;elementID=6491", "Click here to submit comment")</f>
        <v>Click here to submit comment</v>
      </c>
    </row>
    <row r="2263" spans="1:16" ht="75">
      <c r="A2263" s="6" t="s">
        <v>6884</v>
      </c>
      <c r="B2263" s="6" t="s">
        <v>6824</v>
      </c>
      <c r="C2263" s="6"/>
      <c r="D2263" s="6" t="s">
        <v>2004</v>
      </c>
      <c r="E2263" s="6" t="s">
        <v>2005</v>
      </c>
      <c r="F2263" s="6" t="s">
        <v>13</v>
      </c>
      <c r="G2263" s="6"/>
      <c r="H2263" s="6" t="s">
        <v>66</v>
      </c>
      <c r="I2263" s="6" t="s">
        <v>100</v>
      </c>
      <c r="J2263" s="6" t="s">
        <v>2006</v>
      </c>
      <c r="K2263" s="6"/>
      <c r="L2263" s="6" t="s">
        <v>2007</v>
      </c>
      <c r="M2263" s="6"/>
      <c r="N2263" s="6" t="s">
        <v>2008</v>
      </c>
      <c r="O2263" s="6" t="str">
        <f>HYPERLINK("https://ceds.ed.gov/cedselementdetails.aspx?termid=5979")</f>
        <v>https://ceds.ed.gov/cedselementdetails.aspx?termid=5979</v>
      </c>
      <c r="P2263" s="6" t="str">
        <f>HYPERLINK("https://ceds.ed.gov/elementComment.aspx?elementName=Course Section Identifier &amp;elementID=5979", "Click here to submit comment")</f>
        <v>Click here to submit comment</v>
      </c>
    </row>
    <row r="2264" spans="1:16" ht="60">
      <c r="A2264" s="6" t="s">
        <v>6884</v>
      </c>
      <c r="B2264" s="6" t="s">
        <v>6824</v>
      </c>
      <c r="C2264" s="6"/>
      <c r="D2264" s="6" t="s">
        <v>1717</v>
      </c>
      <c r="E2264" s="6" t="s">
        <v>1718</v>
      </c>
      <c r="F2264" s="6" t="s">
        <v>13</v>
      </c>
      <c r="G2264" s="6"/>
      <c r="H2264" s="6"/>
      <c r="I2264" s="6" t="s">
        <v>100</v>
      </c>
      <c r="J2264" s="6"/>
      <c r="K2264" s="6"/>
      <c r="L2264" s="6" t="s">
        <v>1719</v>
      </c>
      <c r="M2264" s="6"/>
      <c r="N2264" s="6" t="s">
        <v>1720</v>
      </c>
      <c r="O2264" s="6" t="str">
        <f>HYPERLINK("https://ceds.ed.gov/cedselementdetails.aspx?termid=5507")</f>
        <v>https://ceds.ed.gov/cedselementdetails.aspx?termid=5507</v>
      </c>
      <c r="P2264" s="6" t="str">
        <f>HYPERLINK("https://ceds.ed.gov/elementComment.aspx?elementName=Classroom Identifier &amp;elementID=5507", "Click here to submit comment")</f>
        <v>Click here to submit comment</v>
      </c>
    </row>
    <row r="2265" spans="1:16" ht="120">
      <c r="A2265" s="6" t="s">
        <v>6884</v>
      </c>
      <c r="B2265" s="6" t="s">
        <v>6824</v>
      </c>
      <c r="C2265" s="6"/>
      <c r="D2265" s="6" t="s">
        <v>5313</v>
      </c>
      <c r="E2265" s="6" t="s">
        <v>5314</v>
      </c>
      <c r="F2265" s="6" t="s">
        <v>13</v>
      </c>
      <c r="G2265" s="6" t="s">
        <v>6078</v>
      </c>
      <c r="H2265" s="6"/>
      <c r="I2265" s="6" t="s">
        <v>73</v>
      </c>
      <c r="J2265" s="6"/>
      <c r="K2265" s="6"/>
      <c r="L2265" s="6" t="s">
        <v>5315</v>
      </c>
      <c r="M2265" s="6"/>
      <c r="N2265" s="6" t="s">
        <v>5316</v>
      </c>
      <c r="O2265" s="6" t="str">
        <f>HYPERLINK("https://ceds.ed.gov/cedselementdetails.aspx?termid=5251")</f>
        <v>https://ceds.ed.gov/cedselementdetails.aspx?termid=5251</v>
      </c>
      <c r="P2265" s="6" t="str">
        <f>HYPERLINK("https://ceds.ed.gov/elementComment.aspx?elementName=Session Begin Date &amp;elementID=5251", "Click here to submit comment")</f>
        <v>Click here to submit comment</v>
      </c>
    </row>
    <row r="2266" spans="1:16" ht="120">
      <c r="A2266" s="6" t="s">
        <v>6884</v>
      </c>
      <c r="B2266" s="6" t="s">
        <v>6824</v>
      </c>
      <c r="C2266" s="6"/>
      <c r="D2266" s="6" t="s">
        <v>5329</v>
      </c>
      <c r="E2266" s="6" t="s">
        <v>5330</v>
      </c>
      <c r="F2266" s="6" t="s">
        <v>13</v>
      </c>
      <c r="G2266" s="6" t="s">
        <v>6078</v>
      </c>
      <c r="H2266" s="6"/>
      <c r="I2266" s="6" t="s">
        <v>73</v>
      </c>
      <c r="J2266" s="6"/>
      <c r="K2266" s="6"/>
      <c r="L2266" s="6" t="s">
        <v>5331</v>
      </c>
      <c r="M2266" s="6"/>
      <c r="N2266" s="6" t="s">
        <v>5332</v>
      </c>
      <c r="O2266" s="6" t="str">
        <f>HYPERLINK("https://ceds.ed.gov/cedselementdetails.aspx?termid=5253")</f>
        <v>https://ceds.ed.gov/cedselementdetails.aspx?termid=5253</v>
      </c>
      <c r="P2266" s="6" t="str">
        <f>HYPERLINK("https://ceds.ed.gov/elementComment.aspx?elementName=Session End Date &amp;elementID=5253", "Click here to submit comment")</f>
        <v>Click here to submit comment</v>
      </c>
    </row>
    <row r="2267" spans="1:16" ht="30">
      <c r="A2267" s="6" t="s">
        <v>6884</v>
      </c>
      <c r="B2267" s="6" t="s">
        <v>6824</v>
      </c>
      <c r="C2267" s="6"/>
      <c r="D2267" s="6" t="s">
        <v>5325</v>
      </c>
      <c r="E2267" s="6" t="s">
        <v>5326</v>
      </c>
      <c r="F2267" s="6" t="s">
        <v>13</v>
      </c>
      <c r="G2267" s="6" t="s">
        <v>6093</v>
      </c>
      <c r="H2267" s="6"/>
      <c r="I2267" s="6" t="s">
        <v>2191</v>
      </c>
      <c r="J2267" s="6"/>
      <c r="K2267" s="6"/>
      <c r="L2267" s="6" t="s">
        <v>5327</v>
      </c>
      <c r="M2267" s="6"/>
      <c r="N2267" s="6" t="s">
        <v>5328</v>
      </c>
      <c r="O2267" s="6" t="str">
        <f>HYPERLINK("https://ceds.ed.gov/cedselementdetails.aspx?termid=5252")</f>
        <v>https://ceds.ed.gov/cedselementdetails.aspx?termid=5252</v>
      </c>
      <c r="P2267" s="6" t="str">
        <f>HYPERLINK("https://ceds.ed.gov/elementComment.aspx?elementName=Session Designator &amp;elementID=5252", "Click here to submit comment")</f>
        <v>Click here to submit comment</v>
      </c>
    </row>
    <row r="2268" spans="1:16" ht="255">
      <c r="A2268" s="6" t="s">
        <v>6884</v>
      </c>
      <c r="B2268" s="6" t="s">
        <v>6824</v>
      </c>
      <c r="C2268" s="6"/>
      <c r="D2268" s="6" t="s">
        <v>5349</v>
      </c>
      <c r="E2268" s="6" t="s">
        <v>5350</v>
      </c>
      <c r="F2268" s="7" t="s">
        <v>6655</v>
      </c>
      <c r="G2268" s="6" t="s">
        <v>6078</v>
      </c>
      <c r="H2268" s="6"/>
      <c r="I2268" s="6"/>
      <c r="J2268" s="6"/>
      <c r="K2268" s="6"/>
      <c r="L2268" s="6" t="s">
        <v>5351</v>
      </c>
      <c r="M2268" s="6"/>
      <c r="N2268" s="6" t="s">
        <v>5352</v>
      </c>
      <c r="O2268" s="6" t="str">
        <f>HYPERLINK("https://ceds.ed.gov/cedselementdetails.aspx?termid=5254")</f>
        <v>https://ceds.ed.gov/cedselementdetails.aspx?termid=5254</v>
      </c>
      <c r="P2268" s="6" t="str">
        <f>HYPERLINK("https://ceds.ed.gov/elementComment.aspx?elementName=Session Type &amp;elementID=5254", "Click here to submit comment")</f>
        <v>Click here to submit comment</v>
      </c>
    </row>
    <row r="2269" spans="1:16" ht="30">
      <c r="A2269" s="6" t="s">
        <v>6884</v>
      </c>
      <c r="B2269" s="6" t="s">
        <v>6824</v>
      </c>
      <c r="C2269" s="6"/>
      <c r="D2269" s="6" t="s">
        <v>1678</v>
      </c>
      <c r="E2269" s="6" t="s">
        <v>1679</v>
      </c>
      <c r="F2269" s="6" t="s">
        <v>13</v>
      </c>
      <c r="G2269" s="6" t="s">
        <v>6097</v>
      </c>
      <c r="H2269" s="6"/>
      <c r="I2269" s="6" t="s">
        <v>426</v>
      </c>
      <c r="J2269" s="6"/>
      <c r="K2269" s="6"/>
      <c r="L2269" s="6" t="s">
        <v>1680</v>
      </c>
      <c r="M2269" s="6"/>
      <c r="N2269" s="6" t="s">
        <v>1681</v>
      </c>
      <c r="O2269" s="6" t="str">
        <f>HYPERLINK("https://ceds.ed.gov/cedselementdetails.aspx?termid=5510")</f>
        <v>https://ceds.ed.gov/cedselementdetails.aspx?termid=5510</v>
      </c>
      <c r="P2269" s="6" t="str">
        <f>HYPERLINK("https://ceds.ed.gov/elementComment.aspx?elementName=Class Beginning Time &amp;elementID=5510", "Click here to submit comment")</f>
        <v>Click here to submit comment</v>
      </c>
    </row>
    <row r="2270" spans="1:16" ht="30">
      <c r="A2270" s="6" t="s">
        <v>6884</v>
      </c>
      <c r="B2270" s="6" t="s">
        <v>6824</v>
      </c>
      <c r="C2270" s="6"/>
      <c r="D2270" s="6" t="s">
        <v>1682</v>
      </c>
      <c r="E2270" s="6" t="s">
        <v>1683</v>
      </c>
      <c r="F2270" s="6" t="s">
        <v>13</v>
      </c>
      <c r="G2270" s="6" t="s">
        <v>6097</v>
      </c>
      <c r="H2270" s="6"/>
      <c r="I2270" s="6" t="s">
        <v>1684</v>
      </c>
      <c r="J2270" s="6"/>
      <c r="K2270" s="6"/>
      <c r="L2270" s="6" t="s">
        <v>1685</v>
      </c>
      <c r="M2270" s="6"/>
      <c r="N2270" s="6" t="s">
        <v>1686</v>
      </c>
      <c r="O2270" s="6" t="str">
        <f>HYPERLINK("https://ceds.ed.gov/cedselementdetails.aspx?termid=5511")</f>
        <v>https://ceds.ed.gov/cedselementdetails.aspx?termid=5511</v>
      </c>
      <c r="P2270" s="6" t="str">
        <f>HYPERLINK("https://ceds.ed.gov/elementComment.aspx?elementName=Class Ending Time &amp;elementID=5511", "Click here to submit comment")</f>
        <v>Click here to submit comment</v>
      </c>
    </row>
    <row r="2271" spans="1:16" ht="60">
      <c r="A2271" s="6" t="s">
        <v>6884</v>
      </c>
      <c r="B2271" s="6" t="s">
        <v>6824</v>
      </c>
      <c r="C2271" s="6"/>
      <c r="D2271" s="6" t="s">
        <v>1687</v>
      </c>
      <c r="E2271" s="6" t="s">
        <v>1688</v>
      </c>
      <c r="F2271" s="6" t="s">
        <v>13</v>
      </c>
      <c r="G2271" s="6"/>
      <c r="H2271" s="6"/>
      <c r="I2271" s="6" t="s">
        <v>106</v>
      </c>
      <c r="J2271" s="6"/>
      <c r="K2271" s="6"/>
      <c r="L2271" s="6" t="s">
        <v>1689</v>
      </c>
      <c r="M2271" s="6"/>
      <c r="N2271" s="6" t="s">
        <v>1690</v>
      </c>
      <c r="O2271" s="6" t="str">
        <f>HYPERLINK("https://ceds.ed.gov/cedselementdetails.aspx?termid=5512")</f>
        <v>https://ceds.ed.gov/cedselementdetails.aspx?termid=5512</v>
      </c>
      <c r="P2271" s="6" t="str">
        <f>HYPERLINK("https://ceds.ed.gov/elementComment.aspx?elementName=Class Meeting Days &amp;elementID=5512", "Click here to submit comment")</f>
        <v>Click here to submit comment</v>
      </c>
    </row>
    <row r="2272" spans="1:16" ht="75">
      <c r="A2272" s="6" t="s">
        <v>6884</v>
      </c>
      <c r="B2272" s="6" t="s">
        <v>6824</v>
      </c>
      <c r="C2272" s="6"/>
      <c r="D2272" s="6" t="s">
        <v>1691</v>
      </c>
      <c r="E2272" s="6" t="s">
        <v>1692</v>
      </c>
      <c r="F2272" s="6" t="s">
        <v>13</v>
      </c>
      <c r="G2272" s="6"/>
      <c r="H2272" s="6"/>
      <c r="I2272" s="6" t="s">
        <v>100</v>
      </c>
      <c r="J2272" s="6"/>
      <c r="K2272" s="6"/>
      <c r="L2272" s="6" t="s">
        <v>1693</v>
      </c>
      <c r="M2272" s="6"/>
      <c r="N2272" s="6" t="s">
        <v>1694</v>
      </c>
      <c r="O2272" s="6" t="str">
        <f>HYPERLINK("https://ceds.ed.gov/cedselementdetails.aspx?termid=5513")</f>
        <v>https://ceds.ed.gov/cedselementdetails.aspx?termid=5513</v>
      </c>
      <c r="P2272" s="6" t="str">
        <f>HYPERLINK("https://ceds.ed.gov/elementComment.aspx?elementName=Class Period &amp;elementID=5513", "Click here to submit comment")</f>
        <v>Click here to submit comment</v>
      </c>
    </row>
    <row r="2273" spans="1:16" ht="75">
      <c r="A2273" s="6" t="s">
        <v>6884</v>
      </c>
      <c r="B2273" s="6" t="s">
        <v>6824</v>
      </c>
      <c r="C2273" s="6"/>
      <c r="D2273" s="6" t="s">
        <v>5748</v>
      </c>
      <c r="E2273" s="6" t="s">
        <v>5749</v>
      </c>
      <c r="F2273" s="6" t="s">
        <v>13</v>
      </c>
      <c r="G2273" s="6"/>
      <c r="H2273" s="6"/>
      <c r="I2273" s="6" t="s">
        <v>100</v>
      </c>
      <c r="J2273" s="6"/>
      <c r="K2273" s="6"/>
      <c r="L2273" s="6" t="s">
        <v>5750</v>
      </c>
      <c r="M2273" s="6"/>
      <c r="N2273" s="6" t="s">
        <v>5751</v>
      </c>
      <c r="O2273" s="6" t="str">
        <f>HYPERLINK("https://ceds.ed.gov/cedselementdetails.aspx?termid=5514")</f>
        <v>https://ceds.ed.gov/cedselementdetails.aspx?termid=5514</v>
      </c>
      <c r="P2273" s="6" t="str">
        <f>HYPERLINK("https://ceds.ed.gov/elementComment.aspx?elementName=Timetable Day Identifier &amp;elementID=5514", "Click here to submit comment")</f>
        <v>Click here to submit comment</v>
      </c>
    </row>
    <row r="2274" spans="1:16" ht="165">
      <c r="A2274" s="6" t="s">
        <v>6884</v>
      </c>
      <c r="B2274" s="6" t="s">
        <v>6824</v>
      </c>
      <c r="C2274" s="6"/>
      <c r="D2274" s="6" t="s">
        <v>2023</v>
      </c>
      <c r="E2274" s="6" t="s">
        <v>2024</v>
      </c>
      <c r="F2274" s="6" t="s">
        <v>13</v>
      </c>
      <c r="G2274" s="6" t="s">
        <v>2025</v>
      </c>
      <c r="H2274" s="6" t="s">
        <v>66</v>
      </c>
      <c r="I2274" s="6" t="s">
        <v>308</v>
      </c>
      <c r="J2274" s="6" t="s">
        <v>2026</v>
      </c>
      <c r="K2274" s="6"/>
      <c r="L2274" s="6" t="s">
        <v>2027</v>
      </c>
      <c r="M2274" s="6"/>
      <c r="N2274" s="6" t="s">
        <v>2028</v>
      </c>
      <c r="O2274" s="6" t="str">
        <f>HYPERLINK("https://ceds.ed.gov/cedselementdetails.aspx?termid=5101")</f>
        <v>https://ceds.ed.gov/cedselementdetails.aspx?termid=5101</v>
      </c>
      <c r="P2274" s="6" t="str">
        <f>HYPERLINK("https://ceds.ed.gov/elementComment.aspx?elementName=Course Section Time Required For Completion &amp;elementID=5101", "Click here to submit comment")</f>
        <v>Click here to submit comment</v>
      </c>
    </row>
    <row r="2275" spans="1:16" ht="45">
      <c r="A2275" s="6" t="s">
        <v>6884</v>
      </c>
      <c r="B2275" s="6" t="s">
        <v>6824</v>
      </c>
      <c r="C2275" s="6"/>
      <c r="D2275" s="6" t="s">
        <v>3302</v>
      </c>
      <c r="E2275" s="6" t="s">
        <v>3303</v>
      </c>
      <c r="F2275" s="5" t="s">
        <v>939</v>
      </c>
      <c r="G2275" s="6" t="s">
        <v>207</v>
      </c>
      <c r="H2275" s="6"/>
      <c r="I2275" s="6"/>
      <c r="J2275" s="6"/>
      <c r="K2275" s="6"/>
      <c r="L2275" s="6" t="s">
        <v>3304</v>
      </c>
      <c r="M2275" s="6"/>
      <c r="N2275" s="6" t="s">
        <v>3305</v>
      </c>
      <c r="O2275" s="6" t="str">
        <f>HYPERLINK("https://ceds.ed.gov/cedselementdetails.aspx?termid=5438")</f>
        <v>https://ceds.ed.gov/cedselementdetails.aspx?termid=5438</v>
      </c>
      <c r="P2275" s="6" t="str">
        <f>HYPERLINK("https://ceds.ed.gov/elementComment.aspx?elementName=Instruction Language &amp;elementID=5438", "Click here to submit comment")</f>
        <v>Click here to submit comment</v>
      </c>
    </row>
    <row r="2276" spans="1:16" ht="90">
      <c r="A2276" s="6" t="s">
        <v>6884</v>
      </c>
      <c r="B2276" s="6" t="s">
        <v>6824</v>
      </c>
      <c r="C2276" s="6"/>
      <c r="D2276" s="6" t="s">
        <v>2018</v>
      </c>
      <c r="E2276" s="6" t="s">
        <v>2019</v>
      </c>
      <c r="F2276" s="7" t="s">
        <v>6449</v>
      </c>
      <c r="G2276" s="6" t="s">
        <v>6123</v>
      </c>
      <c r="H2276" s="6" t="s">
        <v>66</v>
      </c>
      <c r="I2276" s="6"/>
      <c r="J2276" s="6" t="s">
        <v>2020</v>
      </c>
      <c r="K2276" s="6"/>
      <c r="L2276" s="6" t="s">
        <v>2021</v>
      </c>
      <c r="M2276" s="6"/>
      <c r="N2276" s="6" t="s">
        <v>2022</v>
      </c>
      <c r="O2276" s="6" t="str">
        <f>HYPERLINK("https://ceds.ed.gov/cedselementdetails.aspx?termid=5258")</f>
        <v>https://ceds.ed.gov/cedselementdetails.aspx?termid=5258</v>
      </c>
      <c r="P2276" s="6" t="str">
        <f>HYPERLINK("https://ceds.ed.gov/elementComment.aspx?elementName=Course Section Single Sex Class Status &amp;elementID=5258", "Click here to submit comment")</f>
        <v>Click here to submit comment</v>
      </c>
    </row>
    <row r="2277" spans="1:16" ht="225">
      <c r="A2277" s="6" t="s">
        <v>6884</v>
      </c>
      <c r="B2277" s="6" t="s">
        <v>6824</v>
      </c>
      <c r="C2277" s="6"/>
      <c r="D2277" s="6" t="s">
        <v>4979</v>
      </c>
      <c r="E2277" s="6" t="s">
        <v>4980</v>
      </c>
      <c r="F2277" s="7" t="s">
        <v>6637</v>
      </c>
      <c r="G2277" s="6"/>
      <c r="H2277" s="6"/>
      <c r="I2277" s="6"/>
      <c r="J2277" s="6"/>
      <c r="K2277" s="6"/>
      <c r="L2277" s="6" t="s">
        <v>4981</v>
      </c>
      <c r="M2277" s="6"/>
      <c r="N2277" s="6" t="s">
        <v>4982</v>
      </c>
      <c r="O2277" s="6" t="str">
        <f>HYPERLINK("https://ceds.ed.gov/cedselementdetails.aspx?termid=5515")</f>
        <v>https://ceds.ed.gov/cedselementdetails.aspx?termid=5515</v>
      </c>
      <c r="P2277" s="6" t="str">
        <f>HYPERLINK("https://ceds.ed.gov/elementComment.aspx?elementName=Receiving Location of Instruction &amp;elementID=5515", "Click here to submit comment")</f>
        <v>Click here to submit comment</v>
      </c>
    </row>
    <row r="2278" spans="1:16" ht="210">
      <c r="A2278" s="6" t="s">
        <v>6884</v>
      </c>
      <c r="B2278" s="6" t="s">
        <v>6824</v>
      </c>
      <c r="C2278" s="6"/>
      <c r="D2278" s="6" t="s">
        <v>2009</v>
      </c>
      <c r="E2278" s="6" t="s">
        <v>2010</v>
      </c>
      <c r="F2278" s="7" t="s">
        <v>6448</v>
      </c>
      <c r="G2278" s="6"/>
      <c r="H2278" s="6" t="s">
        <v>66</v>
      </c>
      <c r="I2278" s="6"/>
      <c r="J2278" s="6" t="s">
        <v>2011</v>
      </c>
      <c r="K2278" s="6"/>
      <c r="L2278" s="6" t="s">
        <v>2012</v>
      </c>
      <c r="M2278" s="6"/>
      <c r="N2278" s="6" t="s">
        <v>2013</v>
      </c>
      <c r="O2278" s="6" t="str">
        <f>HYPERLINK("https://ceds.ed.gov/cedselementdetails.aspx?termid=6168")</f>
        <v>https://ceds.ed.gov/cedselementdetails.aspx?termid=6168</v>
      </c>
      <c r="P2278" s="6" t="str">
        <f>HYPERLINK("https://ceds.ed.gov/elementComment.aspx?elementName=Course Section Instructional Delivery Mode &amp;elementID=6168", "Click here to submit comment")</f>
        <v>Click here to submit comment</v>
      </c>
    </row>
    <row r="2279" spans="1:16" ht="105">
      <c r="A2279" s="6" t="s">
        <v>6884</v>
      </c>
      <c r="B2279" s="6" t="s">
        <v>6824</v>
      </c>
      <c r="C2279" s="6"/>
      <c r="D2279" s="6" t="s">
        <v>5875</v>
      </c>
      <c r="E2279" s="6" t="s">
        <v>5876</v>
      </c>
      <c r="F2279" s="6" t="s">
        <v>5963</v>
      </c>
      <c r="G2279" s="6"/>
      <c r="H2279" s="6"/>
      <c r="I2279" s="6"/>
      <c r="J2279" s="6"/>
      <c r="K2279" s="6"/>
      <c r="L2279" s="6" t="s">
        <v>5877</v>
      </c>
      <c r="M2279" s="6"/>
      <c r="N2279" s="6" t="s">
        <v>5878</v>
      </c>
      <c r="O2279" s="6" t="str">
        <f>HYPERLINK("https://ceds.ed.gov/cedselementdetails.aspx?termid=6167")</f>
        <v>https://ceds.ed.gov/cedselementdetails.aspx?termid=6167</v>
      </c>
      <c r="P2279" s="6" t="str">
        <f>HYPERLINK("https://ceds.ed.gov/elementComment.aspx?elementName=Virtual Indicator &amp;elementID=6167", "Click here to submit comment")</f>
        <v>Click here to submit comment</v>
      </c>
    </row>
    <row r="2280" spans="1:16" ht="135">
      <c r="A2280" s="6" t="s">
        <v>6884</v>
      </c>
      <c r="B2280" s="6" t="s">
        <v>6824</v>
      </c>
      <c r="C2280" s="6"/>
      <c r="D2280" s="6" t="s">
        <v>1915</v>
      </c>
      <c r="E2280" s="6" t="s">
        <v>1916</v>
      </c>
      <c r="F2280" s="6" t="s">
        <v>13</v>
      </c>
      <c r="G2280" s="6" t="s">
        <v>6116</v>
      </c>
      <c r="H2280" s="6" t="s">
        <v>66</v>
      </c>
      <c r="I2280" s="6" t="s">
        <v>1917</v>
      </c>
      <c r="J2280" s="6" t="s">
        <v>1918</v>
      </c>
      <c r="K2280" s="6"/>
      <c r="L2280" s="6" t="s">
        <v>1919</v>
      </c>
      <c r="M2280" s="6"/>
      <c r="N2280" s="6" t="s">
        <v>1920</v>
      </c>
      <c r="O2280" s="6" t="str">
        <f>HYPERLINK("https://ceds.ed.gov/cedselementdetails.aspx?termid=5055")</f>
        <v>https://ceds.ed.gov/cedselementdetails.aspx?termid=5055</v>
      </c>
      <c r="P2280" s="6" t="str">
        <f>HYPERLINK("https://ceds.ed.gov/elementComment.aspx?elementName=Course Identifier &amp;elementID=5055", "Click here to submit comment")</f>
        <v>Click here to submit comment</v>
      </c>
    </row>
    <row r="2281" spans="1:16" ht="285">
      <c r="A2281" s="6" t="s">
        <v>6884</v>
      </c>
      <c r="B2281" s="6" t="s">
        <v>6824</v>
      </c>
      <c r="C2281" s="6"/>
      <c r="D2281" s="6" t="s">
        <v>1868</v>
      </c>
      <c r="E2281" s="6" t="s">
        <v>1869</v>
      </c>
      <c r="F2281" s="7" t="s">
        <v>6435</v>
      </c>
      <c r="G2281" s="6" t="s">
        <v>6078</v>
      </c>
      <c r="H2281" s="6"/>
      <c r="I2281" s="6"/>
      <c r="J2281" s="6"/>
      <c r="K2281" s="6"/>
      <c r="L2281" s="6" t="s">
        <v>1870</v>
      </c>
      <c r="M2281" s="6"/>
      <c r="N2281" s="6" t="s">
        <v>1871</v>
      </c>
      <c r="O2281" s="6" t="str">
        <f>HYPERLINK("https://ceds.ed.gov/cedselementdetails.aspx?termid=5056")</f>
        <v>https://ceds.ed.gov/cedselementdetails.aspx?termid=5056</v>
      </c>
      <c r="P2281" s="6" t="str">
        <f>HYPERLINK("https://ceds.ed.gov/elementComment.aspx?elementName=Course Code System &amp;elementID=5056", "Click here to submit comment")</f>
        <v>Click here to submit comment</v>
      </c>
    </row>
    <row r="2282" spans="1:16" ht="225">
      <c r="A2282" s="6" t="s">
        <v>6884</v>
      </c>
      <c r="B2282" s="6" t="s">
        <v>6824</v>
      </c>
      <c r="C2282" s="6"/>
      <c r="D2282" s="6" t="s">
        <v>2034</v>
      </c>
      <c r="E2282" s="6" t="s">
        <v>2035</v>
      </c>
      <c r="F2282" s="6" t="s">
        <v>13</v>
      </c>
      <c r="G2282" s="6" t="s">
        <v>6078</v>
      </c>
      <c r="H2282" s="6"/>
      <c r="I2282" s="6" t="s">
        <v>106</v>
      </c>
      <c r="J2282" s="6"/>
      <c r="K2282" s="6"/>
      <c r="L2282" s="6" t="s">
        <v>2036</v>
      </c>
      <c r="M2282" s="6"/>
      <c r="N2282" s="6" t="s">
        <v>2037</v>
      </c>
      <c r="O2282" s="6" t="str">
        <f>HYPERLINK("https://ceds.ed.gov/cedselementdetails.aspx?termid=5067")</f>
        <v>https://ceds.ed.gov/cedselementdetails.aspx?termid=5067</v>
      </c>
      <c r="P2282" s="6" t="str">
        <f>HYPERLINK("https://ceds.ed.gov/elementComment.aspx?elementName=Course Title &amp;elementID=5067", "Click here to submit comment")</f>
        <v>Click here to submit comment</v>
      </c>
    </row>
    <row r="2283" spans="1:16" ht="120">
      <c r="A2283" s="6" t="s">
        <v>6884</v>
      </c>
      <c r="B2283" s="6" t="s">
        <v>6824</v>
      </c>
      <c r="C2283" s="6"/>
      <c r="D2283" s="6" t="s">
        <v>5214</v>
      </c>
      <c r="E2283" s="6" t="s">
        <v>5215</v>
      </c>
      <c r="F2283" s="6" t="s">
        <v>13</v>
      </c>
      <c r="G2283" s="6" t="s">
        <v>6078</v>
      </c>
      <c r="H2283" s="6" t="s">
        <v>66</v>
      </c>
      <c r="I2283" s="6" t="s">
        <v>2031</v>
      </c>
      <c r="J2283" s="6" t="s">
        <v>5216</v>
      </c>
      <c r="K2283" s="6" t="s">
        <v>5217</v>
      </c>
      <c r="L2283" s="6" t="s">
        <v>5218</v>
      </c>
      <c r="M2283" s="6" t="s">
        <v>5219</v>
      </c>
      <c r="N2283" s="6" t="s">
        <v>5220</v>
      </c>
      <c r="O2283" s="6" t="str">
        <f>HYPERLINK("https://ceds.ed.gov/cedselementdetails.aspx?termid=5250")</f>
        <v>https://ceds.ed.gov/cedselementdetails.aspx?termid=5250</v>
      </c>
      <c r="P2283" s="6" t="str">
        <f>HYPERLINK("https://ceds.ed.gov/elementComment.aspx?elementName=School Codes for the Exchange of Data Sequence of Course &amp;elementID=5250", "Click here to submit comment")</f>
        <v>Click here to submit comment</v>
      </c>
    </row>
    <row r="2284" spans="1:16" ht="409.5">
      <c r="A2284" s="6" t="s">
        <v>6884</v>
      </c>
      <c r="B2284" s="6" t="s">
        <v>6824</v>
      </c>
      <c r="C2284" s="6"/>
      <c r="D2284" s="6" t="s">
        <v>1938</v>
      </c>
      <c r="E2284" s="6" t="s">
        <v>1939</v>
      </c>
      <c r="F2284" s="7" t="s">
        <v>6443</v>
      </c>
      <c r="G2284" s="6" t="s">
        <v>6116</v>
      </c>
      <c r="H2284" s="6"/>
      <c r="I2284" s="6"/>
      <c r="J2284" s="6"/>
      <c r="K2284" s="6"/>
      <c r="L2284" s="6" t="s">
        <v>1940</v>
      </c>
      <c r="M2284" s="6"/>
      <c r="N2284" s="6" t="s">
        <v>1941</v>
      </c>
      <c r="O2284" s="6" t="str">
        <f>HYPERLINK("https://ceds.ed.gov/cedselementdetails.aspx?termid=5061")</f>
        <v>https://ceds.ed.gov/cedselementdetails.aspx?termid=5061</v>
      </c>
      <c r="P2284" s="6" t="str">
        <f>HYPERLINK("https://ceds.ed.gov/elementComment.aspx?elementName=Course Level Characteristic &amp;elementID=5061", "Click here to submit comment")</f>
        <v>Click here to submit comment</v>
      </c>
    </row>
    <row r="2285" spans="1:16" ht="409.5">
      <c r="A2285" s="6" t="s">
        <v>6884</v>
      </c>
      <c r="B2285" s="6" t="s">
        <v>6824</v>
      </c>
      <c r="C2285" s="6"/>
      <c r="D2285" s="6" t="s">
        <v>2058</v>
      </c>
      <c r="E2285" s="6" t="s">
        <v>2059</v>
      </c>
      <c r="F2285" s="7" t="s">
        <v>6451</v>
      </c>
      <c r="G2285" s="6" t="s">
        <v>5968</v>
      </c>
      <c r="H2285" s="6"/>
      <c r="I2285" s="6"/>
      <c r="J2285" s="6"/>
      <c r="K2285" s="6"/>
      <c r="L2285" s="6" t="s">
        <v>2060</v>
      </c>
      <c r="M2285" s="6"/>
      <c r="N2285" s="6" t="s">
        <v>2061</v>
      </c>
      <c r="O2285" s="6" t="str">
        <f>HYPERLINK("https://ceds.ed.gov/cedselementdetails.aspx?termid=5072")</f>
        <v>https://ceds.ed.gov/cedselementdetails.aspx?termid=5072</v>
      </c>
      <c r="P2285" s="6" t="str">
        <f>HYPERLINK("https://ceds.ed.gov/elementComment.aspx?elementName=Credit Type Earned &amp;elementID=5072", "Click here to submit comment")</f>
        <v>Click here to submit comment</v>
      </c>
    </row>
    <row r="2286" spans="1:16" ht="120">
      <c r="A2286" s="6" t="s">
        <v>6884</v>
      </c>
      <c r="B2286" s="6" t="s">
        <v>6824</v>
      </c>
      <c r="C2286" s="6"/>
      <c r="D2286" s="6" t="s">
        <v>2941</v>
      </c>
      <c r="E2286" s="6" t="s">
        <v>2942</v>
      </c>
      <c r="F2286" s="6" t="s">
        <v>5963</v>
      </c>
      <c r="G2286" s="6" t="s">
        <v>6078</v>
      </c>
      <c r="H2286" s="6"/>
      <c r="I2286" s="6"/>
      <c r="J2286" s="6"/>
      <c r="K2286" s="6"/>
      <c r="L2286" s="6" t="s">
        <v>2943</v>
      </c>
      <c r="M2286" s="6"/>
      <c r="N2286" s="6" t="s">
        <v>2944</v>
      </c>
      <c r="O2286" s="6" t="str">
        <f>HYPERLINK("https://ceds.ed.gov/cedselementdetails.aspx?termid=5137")</f>
        <v>https://ceds.ed.gov/cedselementdetails.aspx?termid=5137</v>
      </c>
      <c r="P2286" s="6" t="str">
        <f>HYPERLINK("https://ceds.ed.gov/elementComment.aspx?elementName=High School Course Requirement &amp;elementID=5137", "Click here to submit comment")</f>
        <v>Click here to submit comment</v>
      </c>
    </row>
    <row r="2287" spans="1:16" ht="150">
      <c r="A2287" s="6" t="s">
        <v>6884</v>
      </c>
      <c r="B2287" s="6" t="s">
        <v>6824</v>
      </c>
      <c r="C2287" s="6"/>
      <c r="D2287" s="6" t="s">
        <v>1459</v>
      </c>
      <c r="E2287" s="6" t="s">
        <v>1460</v>
      </c>
      <c r="F2287" s="6" t="s">
        <v>13</v>
      </c>
      <c r="G2287" s="6" t="s">
        <v>6078</v>
      </c>
      <c r="H2287" s="6"/>
      <c r="I2287" s="6" t="s">
        <v>1461</v>
      </c>
      <c r="J2287" s="6"/>
      <c r="K2287" s="6"/>
      <c r="L2287" s="6" t="s">
        <v>1462</v>
      </c>
      <c r="M2287" s="6"/>
      <c r="N2287" s="6" t="s">
        <v>1463</v>
      </c>
      <c r="O2287" s="6" t="str">
        <f>HYPERLINK("https://ceds.ed.gov/cedselementdetails.aspx?termid=5030")</f>
        <v>https://ceds.ed.gov/cedselementdetails.aspx?termid=5030</v>
      </c>
      <c r="P2287" s="6" t="str">
        <f>HYPERLINK("https://ceds.ed.gov/elementComment.aspx?elementName=Available Carnegie Unit Credit &amp;elementID=5030", "Click here to submit comment")</f>
        <v>Click here to submit comment</v>
      </c>
    </row>
    <row r="2288" spans="1:16" ht="120">
      <c r="A2288" s="6" t="s">
        <v>6884</v>
      </c>
      <c r="B2288" s="6" t="s">
        <v>6824</v>
      </c>
      <c r="C2288" s="6"/>
      <c r="D2288" s="6" t="s">
        <v>1906</v>
      </c>
      <c r="E2288" s="6" t="s">
        <v>1907</v>
      </c>
      <c r="F2288" s="7" t="s">
        <v>6439</v>
      </c>
      <c r="G2288" s="6" t="s">
        <v>6078</v>
      </c>
      <c r="H2288" s="6" t="s">
        <v>66</v>
      </c>
      <c r="I2288" s="6"/>
      <c r="J2288" s="6" t="s">
        <v>1820</v>
      </c>
      <c r="K2288" s="6"/>
      <c r="L2288" s="6" t="s">
        <v>1908</v>
      </c>
      <c r="M2288" s="6" t="s">
        <v>1909</v>
      </c>
      <c r="N2288" s="6" t="s">
        <v>1910</v>
      </c>
      <c r="O2288" s="6" t="str">
        <f>HYPERLINK("https://ceds.ed.gov/cedselementdetails.aspx?termid=5060")</f>
        <v>https://ceds.ed.gov/cedselementdetails.aspx?termid=5060</v>
      </c>
      <c r="P2288" s="6" t="str">
        <f>HYPERLINK("https://ceds.ed.gov/elementComment.aspx?elementName=Course Grade Point Average Applicability &amp;elementID=5060", "Click here to submit comment")</f>
        <v>Click here to submit comment</v>
      </c>
    </row>
    <row r="2289" spans="1:16" ht="45">
      <c r="A2289" s="6" t="s">
        <v>6884</v>
      </c>
      <c r="B2289" s="6" t="s">
        <v>6824</v>
      </c>
      <c r="C2289" s="6"/>
      <c r="D2289" s="6" t="s">
        <v>1845</v>
      </c>
      <c r="E2289" s="6" t="s">
        <v>1846</v>
      </c>
      <c r="F2289" s="6" t="s">
        <v>5963</v>
      </c>
      <c r="G2289" s="6"/>
      <c r="H2289" s="6" t="s">
        <v>66</v>
      </c>
      <c r="I2289" s="6"/>
      <c r="J2289" s="6" t="s">
        <v>1847</v>
      </c>
      <c r="K2289" s="6"/>
      <c r="L2289" s="6" t="s">
        <v>1848</v>
      </c>
      <c r="M2289" s="6"/>
      <c r="N2289" s="6" t="s">
        <v>1849</v>
      </c>
      <c r="O2289" s="6" t="str">
        <f>HYPERLINK("https://ceds.ed.gov/cedselementdetails.aspx?termid=5013")</f>
        <v>https://ceds.ed.gov/cedselementdetails.aspx?termid=5013</v>
      </c>
      <c r="P2289" s="6" t="str">
        <f>HYPERLINK("https://ceds.ed.gov/elementComment.aspx?elementName=Course Aligned with Standards &amp;elementID=5013", "Click here to submit comment")</f>
        <v>Click here to submit comment</v>
      </c>
    </row>
    <row r="2290" spans="1:16" ht="45">
      <c r="A2290" s="6" t="s">
        <v>6884</v>
      </c>
      <c r="B2290" s="6" t="s">
        <v>6824</v>
      </c>
      <c r="C2290" s="6"/>
      <c r="D2290" s="6" t="s">
        <v>5021</v>
      </c>
      <c r="E2290" s="6" t="s">
        <v>5022</v>
      </c>
      <c r="F2290" s="6" t="s">
        <v>13</v>
      </c>
      <c r="G2290" s="6"/>
      <c r="H2290" s="6"/>
      <c r="I2290" s="6" t="s">
        <v>106</v>
      </c>
      <c r="J2290" s="6"/>
      <c r="K2290" s="6"/>
      <c r="L2290" s="6" t="s">
        <v>5023</v>
      </c>
      <c r="M2290" s="6"/>
      <c r="N2290" s="6" t="s">
        <v>5024</v>
      </c>
      <c r="O2290" s="6" t="str">
        <f>HYPERLINK("https://ceds.ed.gov/cedselementdetails.aspx?termid=5231")</f>
        <v>https://ceds.ed.gov/cedselementdetails.aspx?termid=5231</v>
      </c>
      <c r="P2290" s="6" t="str">
        <f>HYPERLINK("https://ceds.ed.gov/elementComment.aspx?elementName=Related Learning Standards &amp;elementID=5231", "Click here to submit comment")</f>
        <v>Click here to submit comment</v>
      </c>
    </row>
    <row r="2291" spans="1:16" ht="409.5">
      <c r="A2291" s="6" t="s">
        <v>6884</v>
      </c>
      <c r="B2291" s="6" t="s">
        <v>6824</v>
      </c>
      <c r="C2291" s="6"/>
      <c r="D2291" s="6" t="s">
        <v>1966</v>
      </c>
      <c r="E2291" s="6" t="s">
        <v>1967</v>
      </c>
      <c r="F2291" s="7" t="s">
        <v>6398</v>
      </c>
      <c r="G2291" s="6" t="s">
        <v>6121</v>
      </c>
      <c r="H2291" s="6" t="s">
        <v>66</v>
      </c>
      <c r="I2291" s="6"/>
      <c r="J2291" s="6" t="s">
        <v>1968</v>
      </c>
      <c r="K2291" s="6"/>
      <c r="L2291" s="6" t="s">
        <v>1969</v>
      </c>
      <c r="M2291" s="6"/>
      <c r="N2291" s="6" t="s">
        <v>1970</v>
      </c>
      <c r="O2291" s="6" t="str">
        <f>HYPERLINK("https://ceds.ed.gov/cedselementdetails.aspx?termid=5027")</f>
        <v>https://ceds.ed.gov/cedselementdetails.aspx?termid=5027</v>
      </c>
      <c r="P2291" s="6" t="str">
        <f>HYPERLINK("https://ceds.ed.gov/elementComment.aspx?elementName=Course Section Assessment Reporting Method &amp;elementID=5027", "Click here to submit comment")</f>
        <v>Click here to submit comment</v>
      </c>
    </row>
    <row r="2292" spans="1:16" ht="195">
      <c r="A2292" s="6" t="s">
        <v>6884</v>
      </c>
      <c r="B2292" s="6" t="s">
        <v>6888</v>
      </c>
      <c r="C2292" s="6" t="s">
        <v>6717</v>
      </c>
      <c r="D2292" s="6" t="s">
        <v>2776</v>
      </c>
      <c r="E2292" s="6" t="s">
        <v>2777</v>
      </c>
      <c r="F2292" s="6" t="s">
        <v>13</v>
      </c>
      <c r="G2292" s="6" t="s">
        <v>6176</v>
      </c>
      <c r="H2292" s="6" t="s">
        <v>3</v>
      </c>
      <c r="I2292" s="6" t="s">
        <v>1368</v>
      </c>
      <c r="J2292" s="6"/>
      <c r="K2292" s="6" t="s">
        <v>2778</v>
      </c>
      <c r="L2292" s="6" t="s">
        <v>2779</v>
      </c>
      <c r="M2292" s="6"/>
      <c r="N2292" s="6" t="s">
        <v>2780</v>
      </c>
      <c r="O2292" s="6" t="str">
        <f>HYPERLINK("https://ceds.ed.gov/cedselementdetails.aspx?termid=5115")</f>
        <v>https://ceds.ed.gov/cedselementdetails.aspx?termid=5115</v>
      </c>
      <c r="P2292" s="6" t="str">
        <f>HYPERLINK("https://ceds.ed.gov/elementComment.aspx?elementName=First Name &amp;elementID=5115", "Click here to submit comment")</f>
        <v>Click here to submit comment</v>
      </c>
    </row>
    <row r="2293" spans="1:16" ht="195">
      <c r="A2293" s="6" t="s">
        <v>6884</v>
      </c>
      <c r="B2293" s="6" t="s">
        <v>6888</v>
      </c>
      <c r="C2293" s="6" t="s">
        <v>6717</v>
      </c>
      <c r="D2293" s="6" t="s">
        <v>4088</v>
      </c>
      <c r="E2293" s="6" t="s">
        <v>4089</v>
      </c>
      <c r="F2293" s="6" t="s">
        <v>13</v>
      </c>
      <c r="G2293" s="6" t="s">
        <v>6176</v>
      </c>
      <c r="H2293" s="6" t="s">
        <v>3</v>
      </c>
      <c r="I2293" s="6" t="s">
        <v>1368</v>
      </c>
      <c r="J2293" s="6"/>
      <c r="K2293" s="6" t="s">
        <v>2778</v>
      </c>
      <c r="L2293" s="6" t="s">
        <v>4090</v>
      </c>
      <c r="M2293" s="6"/>
      <c r="N2293" s="6" t="s">
        <v>4091</v>
      </c>
      <c r="O2293" s="6" t="str">
        <f>HYPERLINK("https://ceds.ed.gov/cedselementdetails.aspx?termid=5184")</f>
        <v>https://ceds.ed.gov/cedselementdetails.aspx?termid=5184</v>
      </c>
      <c r="P2293" s="6" t="str">
        <f>HYPERLINK("https://ceds.ed.gov/elementComment.aspx?elementName=Middle Name &amp;elementID=5184", "Click here to submit comment")</f>
        <v>Click here to submit comment</v>
      </c>
    </row>
    <row r="2294" spans="1:16" ht="195">
      <c r="A2294" s="6" t="s">
        <v>6884</v>
      </c>
      <c r="B2294" s="6" t="s">
        <v>6888</v>
      </c>
      <c r="C2294" s="6" t="s">
        <v>6717</v>
      </c>
      <c r="D2294" s="6" t="s">
        <v>3427</v>
      </c>
      <c r="E2294" s="6" t="s">
        <v>3428</v>
      </c>
      <c r="F2294" s="6" t="s">
        <v>13</v>
      </c>
      <c r="G2294" s="6" t="s">
        <v>6176</v>
      </c>
      <c r="H2294" s="6" t="s">
        <v>3</v>
      </c>
      <c r="I2294" s="6" t="s">
        <v>1368</v>
      </c>
      <c r="J2294" s="6"/>
      <c r="K2294" s="6" t="s">
        <v>2778</v>
      </c>
      <c r="L2294" s="6" t="s">
        <v>3429</v>
      </c>
      <c r="M2294" s="6" t="s">
        <v>3430</v>
      </c>
      <c r="N2294" s="6" t="s">
        <v>3431</v>
      </c>
      <c r="O2294" s="6" t="str">
        <f>HYPERLINK("https://ceds.ed.gov/cedselementdetails.aspx?termid=5172")</f>
        <v>https://ceds.ed.gov/cedselementdetails.aspx?termid=5172</v>
      </c>
      <c r="P2294" s="6" t="str">
        <f>HYPERLINK("https://ceds.ed.gov/elementComment.aspx?elementName=Last or Surname &amp;elementID=5172", "Click here to submit comment")</f>
        <v>Click here to submit comment</v>
      </c>
    </row>
    <row r="2295" spans="1:16" ht="150">
      <c r="A2295" s="6" t="s">
        <v>6884</v>
      </c>
      <c r="B2295" s="6" t="s">
        <v>6888</v>
      </c>
      <c r="C2295" s="6" t="s">
        <v>6717</v>
      </c>
      <c r="D2295" s="6" t="s">
        <v>2829</v>
      </c>
      <c r="E2295" s="6" t="s">
        <v>2830</v>
      </c>
      <c r="F2295" s="6" t="s">
        <v>13</v>
      </c>
      <c r="G2295" s="6" t="s">
        <v>6179</v>
      </c>
      <c r="H2295" s="6" t="s">
        <v>3</v>
      </c>
      <c r="I2295" s="6" t="s">
        <v>2031</v>
      </c>
      <c r="J2295" s="6"/>
      <c r="K2295" s="6" t="s">
        <v>2778</v>
      </c>
      <c r="L2295" s="6" t="s">
        <v>2831</v>
      </c>
      <c r="M2295" s="6"/>
      <c r="N2295" s="6" t="s">
        <v>2832</v>
      </c>
      <c r="O2295" s="6" t="str">
        <f>HYPERLINK("https://ceds.ed.gov/cedselementdetails.aspx?termid=5121")</f>
        <v>https://ceds.ed.gov/cedselementdetails.aspx?termid=5121</v>
      </c>
      <c r="P2295" s="6" t="str">
        <f>HYPERLINK("https://ceds.ed.gov/elementComment.aspx?elementName=Generation Code or Suffix &amp;elementID=5121", "Click here to submit comment")</f>
        <v>Click here to submit comment</v>
      </c>
    </row>
    <row r="2296" spans="1:16" ht="105">
      <c r="A2296" s="6" t="s">
        <v>6884</v>
      </c>
      <c r="B2296" s="6" t="s">
        <v>6888</v>
      </c>
      <c r="C2296" s="6" t="s">
        <v>6717</v>
      </c>
      <c r="D2296" s="6" t="s">
        <v>4498</v>
      </c>
      <c r="E2296" s="6" t="s">
        <v>4499</v>
      </c>
      <c r="F2296" s="6" t="s">
        <v>13</v>
      </c>
      <c r="G2296" s="6" t="s">
        <v>6280</v>
      </c>
      <c r="H2296" s="6" t="s">
        <v>3</v>
      </c>
      <c r="I2296" s="6" t="s">
        <v>100</v>
      </c>
      <c r="J2296" s="6"/>
      <c r="K2296" s="6"/>
      <c r="L2296" s="6" t="s">
        <v>4500</v>
      </c>
      <c r="M2296" s="6" t="s">
        <v>4501</v>
      </c>
      <c r="N2296" s="6" t="s">
        <v>4502</v>
      </c>
      <c r="O2296" s="6" t="str">
        <f>HYPERLINK("https://ceds.ed.gov/cedselementdetails.aspx?termid=5212")</f>
        <v>https://ceds.ed.gov/cedselementdetails.aspx?termid=5212</v>
      </c>
      <c r="P2296" s="6" t="str">
        <f>HYPERLINK("https://ceds.ed.gov/elementComment.aspx?elementName=Personal Title or Prefix &amp;elementID=5212", "Click here to submit comment")</f>
        <v>Click here to submit comment</v>
      </c>
    </row>
    <row r="2297" spans="1:16" ht="30">
      <c r="A2297" s="6" t="s">
        <v>6884</v>
      </c>
      <c r="B2297" s="6" t="s">
        <v>6888</v>
      </c>
      <c r="C2297" s="6" t="s">
        <v>6718</v>
      </c>
      <c r="D2297" s="6" t="s">
        <v>4375</v>
      </c>
      <c r="E2297" s="6" t="s">
        <v>4376</v>
      </c>
      <c r="F2297" s="6" t="s">
        <v>13</v>
      </c>
      <c r="G2297" s="6"/>
      <c r="H2297" s="6" t="s">
        <v>54</v>
      </c>
      <c r="I2297" s="6" t="s">
        <v>1368</v>
      </c>
      <c r="J2297" s="6"/>
      <c r="K2297" s="6" t="s">
        <v>4377</v>
      </c>
      <c r="L2297" s="6" t="s">
        <v>4378</v>
      </c>
      <c r="M2297" s="6"/>
      <c r="N2297" s="6" t="s">
        <v>4379</v>
      </c>
      <c r="O2297" s="6" t="str">
        <f>HYPERLINK("https://ceds.ed.gov/cedselementdetails.aspx?termid=6486")</f>
        <v>https://ceds.ed.gov/cedselementdetails.aspx?termid=6486</v>
      </c>
      <c r="P2297" s="6" t="str">
        <f>HYPERLINK("https://ceds.ed.gov/elementComment.aspx?elementName=Other First Name &amp;elementID=6486", "Click here to submit comment")</f>
        <v>Click here to submit comment</v>
      </c>
    </row>
    <row r="2298" spans="1:16" ht="30">
      <c r="A2298" s="6" t="s">
        <v>6884</v>
      </c>
      <c r="B2298" s="6" t="s">
        <v>6888</v>
      </c>
      <c r="C2298" s="6" t="s">
        <v>6718</v>
      </c>
      <c r="D2298" s="6" t="s">
        <v>4380</v>
      </c>
      <c r="E2298" s="6" t="s">
        <v>4381</v>
      </c>
      <c r="F2298" s="6" t="s">
        <v>13</v>
      </c>
      <c r="G2298" s="6"/>
      <c r="H2298" s="6" t="s">
        <v>54</v>
      </c>
      <c r="I2298" s="6" t="s">
        <v>1368</v>
      </c>
      <c r="J2298" s="6"/>
      <c r="K2298" s="6" t="s">
        <v>4382</v>
      </c>
      <c r="L2298" s="6" t="s">
        <v>4383</v>
      </c>
      <c r="M2298" s="6"/>
      <c r="N2298" s="6" t="s">
        <v>4384</v>
      </c>
      <c r="O2298" s="6" t="str">
        <f>HYPERLINK("https://ceds.ed.gov/cedselementdetails.aspx?termid=6485")</f>
        <v>https://ceds.ed.gov/cedselementdetails.aspx?termid=6485</v>
      </c>
      <c r="P2298" s="6" t="str">
        <f>HYPERLINK("https://ceds.ed.gov/elementComment.aspx?elementName=Other Last Name &amp;elementID=6485", "Click here to submit comment")</f>
        <v>Click here to submit comment</v>
      </c>
    </row>
    <row r="2299" spans="1:16" ht="30">
      <c r="A2299" s="6" t="s">
        <v>6884</v>
      </c>
      <c r="B2299" s="6" t="s">
        <v>6888</v>
      </c>
      <c r="C2299" s="6" t="s">
        <v>6718</v>
      </c>
      <c r="D2299" s="6" t="s">
        <v>4385</v>
      </c>
      <c r="E2299" s="6" t="s">
        <v>4386</v>
      </c>
      <c r="F2299" s="6" t="s">
        <v>13</v>
      </c>
      <c r="G2299" s="6"/>
      <c r="H2299" s="6" t="s">
        <v>54</v>
      </c>
      <c r="I2299" s="6" t="s">
        <v>1368</v>
      </c>
      <c r="J2299" s="6"/>
      <c r="K2299" s="6" t="s">
        <v>4387</v>
      </c>
      <c r="L2299" s="6" t="s">
        <v>4388</v>
      </c>
      <c r="M2299" s="6"/>
      <c r="N2299" s="6" t="s">
        <v>4389</v>
      </c>
      <c r="O2299" s="6" t="str">
        <f>HYPERLINK("https://ceds.ed.gov/cedselementdetails.aspx?termid=6487")</f>
        <v>https://ceds.ed.gov/cedselementdetails.aspx?termid=6487</v>
      </c>
      <c r="P2299" s="6" t="str">
        <f>HYPERLINK("https://ceds.ed.gov/elementComment.aspx?elementName=Other Middle Name &amp;elementID=6487", "Click here to submit comment")</f>
        <v>Click here to submit comment</v>
      </c>
    </row>
    <row r="2300" spans="1:16" ht="150">
      <c r="A2300" s="6" t="s">
        <v>6884</v>
      </c>
      <c r="B2300" s="6" t="s">
        <v>6888</v>
      </c>
      <c r="C2300" s="6" t="s">
        <v>6718</v>
      </c>
      <c r="D2300" s="6" t="s">
        <v>4390</v>
      </c>
      <c r="E2300" s="6" t="s">
        <v>4391</v>
      </c>
      <c r="F2300" s="6" t="s">
        <v>13</v>
      </c>
      <c r="G2300" s="6" t="s">
        <v>6179</v>
      </c>
      <c r="H2300" s="6" t="s">
        <v>3</v>
      </c>
      <c r="I2300" s="6" t="s">
        <v>149</v>
      </c>
      <c r="J2300" s="6"/>
      <c r="K2300" s="6"/>
      <c r="L2300" s="6" t="s">
        <v>4392</v>
      </c>
      <c r="M2300" s="6"/>
      <c r="N2300" s="6" t="s">
        <v>4393</v>
      </c>
      <c r="O2300" s="6" t="str">
        <f>HYPERLINK("https://ceds.ed.gov/cedselementdetails.aspx?termid=5206")</f>
        <v>https://ceds.ed.gov/cedselementdetails.aspx?termid=5206</v>
      </c>
      <c r="P2300" s="6" t="str">
        <f>HYPERLINK("https://ceds.ed.gov/elementComment.aspx?elementName=Other Name &amp;elementID=5206", "Click here to submit comment")</f>
        <v>Click here to submit comment</v>
      </c>
    </row>
    <row r="2301" spans="1:16" ht="90">
      <c r="A2301" s="6" t="s">
        <v>6884</v>
      </c>
      <c r="B2301" s="6" t="s">
        <v>6888</v>
      </c>
      <c r="C2301" s="6" t="s">
        <v>6718</v>
      </c>
      <c r="D2301" s="6" t="s">
        <v>4394</v>
      </c>
      <c r="E2301" s="6" t="s">
        <v>4395</v>
      </c>
      <c r="F2301" s="7" t="s">
        <v>6593</v>
      </c>
      <c r="G2301" s="6" t="s">
        <v>6273</v>
      </c>
      <c r="H2301" s="6" t="s">
        <v>3</v>
      </c>
      <c r="I2301" s="6" t="s">
        <v>100</v>
      </c>
      <c r="J2301" s="6"/>
      <c r="K2301" s="6"/>
      <c r="L2301" s="6" t="s">
        <v>4396</v>
      </c>
      <c r="M2301" s="6"/>
      <c r="N2301" s="6" t="s">
        <v>4397</v>
      </c>
      <c r="O2301" s="6" t="str">
        <f>HYPERLINK("https://ceds.ed.gov/cedselementdetails.aspx?termid=5627")</f>
        <v>https://ceds.ed.gov/cedselementdetails.aspx?termid=5627</v>
      </c>
      <c r="P2301" s="6" t="str">
        <f>HYPERLINK("https://ceds.ed.gov/elementComment.aspx?elementName=Other Name Type &amp;elementID=5627", "Click here to submit comment")</f>
        <v>Click here to submit comment</v>
      </c>
    </row>
    <row r="2302" spans="1:16" ht="135">
      <c r="A2302" s="6" t="s">
        <v>6884</v>
      </c>
      <c r="B2302" s="6" t="s">
        <v>6888</v>
      </c>
      <c r="C2302" s="6" t="s">
        <v>6719</v>
      </c>
      <c r="D2302" s="6" t="s">
        <v>5506</v>
      </c>
      <c r="E2302" s="6" t="s">
        <v>5507</v>
      </c>
      <c r="F2302" s="6" t="s">
        <v>13</v>
      </c>
      <c r="G2302" s="6" t="s">
        <v>6322</v>
      </c>
      <c r="H2302" s="6" t="s">
        <v>3</v>
      </c>
      <c r="I2302" s="6" t="s">
        <v>100</v>
      </c>
      <c r="J2302" s="6"/>
      <c r="K2302" s="6"/>
      <c r="L2302" s="6" t="s">
        <v>5508</v>
      </c>
      <c r="M2302" s="6"/>
      <c r="N2302" s="6" t="s">
        <v>5509</v>
      </c>
      <c r="O2302" s="6" t="str">
        <f>HYPERLINK("https://ceds.ed.gov/cedselementdetails.aspx?termid=5156")</f>
        <v>https://ceds.ed.gov/cedselementdetails.aspx?termid=5156</v>
      </c>
      <c r="P2302" s="6" t="str">
        <f>HYPERLINK("https://ceds.ed.gov/elementComment.aspx?elementName=Staff Member Identifier &amp;elementID=5156", "Click here to submit comment")</f>
        <v>Click here to submit comment</v>
      </c>
    </row>
    <row r="2303" spans="1:16" ht="409.5">
      <c r="A2303" s="6" t="s">
        <v>6884</v>
      </c>
      <c r="B2303" s="6" t="s">
        <v>6888</v>
      </c>
      <c r="C2303" s="6" t="s">
        <v>6719</v>
      </c>
      <c r="D2303" s="6" t="s">
        <v>5502</v>
      </c>
      <c r="E2303" s="6" t="s">
        <v>5503</v>
      </c>
      <c r="F2303" s="7" t="s">
        <v>6662</v>
      </c>
      <c r="G2303" s="6" t="s">
        <v>6321</v>
      </c>
      <c r="H2303" s="6" t="s">
        <v>3</v>
      </c>
      <c r="I2303" s="6"/>
      <c r="J2303" s="6"/>
      <c r="K2303" s="6"/>
      <c r="L2303" s="6" t="s">
        <v>5504</v>
      </c>
      <c r="M2303" s="6"/>
      <c r="N2303" s="6" t="s">
        <v>5505</v>
      </c>
      <c r="O2303" s="6" t="str">
        <f>HYPERLINK("https://ceds.ed.gov/cedselementdetails.aspx?termid=5162")</f>
        <v>https://ceds.ed.gov/cedselementdetails.aspx?termid=5162</v>
      </c>
      <c r="P2303" s="6" t="str">
        <f>HYPERLINK("https://ceds.ed.gov/elementComment.aspx?elementName=Staff Member Identification System &amp;elementID=5162", "Click here to submit comment")</f>
        <v>Click here to submit comment</v>
      </c>
    </row>
    <row r="2304" spans="1:16" ht="390">
      <c r="A2304" s="6" t="s">
        <v>6884</v>
      </c>
      <c r="B2304" s="6" t="s">
        <v>6888</v>
      </c>
      <c r="C2304" s="6" t="s">
        <v>6719</v>
      </c>
      <c r="D2304" s="6" t="s">
        <v>5383</v>
      </c>
      <c r="E2304" s="6" t="s">
        <v>5384</v>
      </c>
      <c r="F2304" s="6" t="s">
        <v>13</v>
      </c>
      <c r="G2304" s="6" t="s">
        <v>6315</v>
      </c>
      <c r="H2304" s="6" t="s">
        <v>3</v>
      </c>
      <c r="I2304" s="6" t="s">
        <v>5385</v>
      </c>
      <c r="J2304" s="6"/>
      <c r="K2304" s="6" t="s">
        <v>5386</v>
      </c>
      <c r="L2304" s="6" t="s">
        <v>5387</v>
      </c>
      <c r="M2304" s="6" t="s">
        <v>5388</v>
      </c>
      <c r="N2304" s="6" t="s">
        <v>5389</v>
      </c>
      <c r="O2304" s="6" t="str">
        <f>HYPERLINK("https://ceds.ed.gov/cedselementdetails.aspx?termid=5259")</f>
        <v>https://ceds.ed.gov/cedselementdetails.aspx?termid=5259</v>
      </c>
      <c r="P2304" s="6" t="str">
        <f>HYPERLINK("https://ceds.ed.gov/elementComment.aspx?elementName=Social Security Number &amp;elementID=5259", "Click here to submit comment")</f>
        <v>Click here to submit comment</v>
      </c>
    </row>
    <row r="2305" spans="1:16" ht="375">
      <c r="A2305" s="6" t="s">
        <v>6884</v>
      </c>
      <c r="B2305" s="6" t="s">
        <v>6888</v>
      </c>
      <c r="C2305" s="6" t="s">
        <v>6719</v>
      </c>
      <c r="D2305" s="6" t="s">
        <v>4494</v>
      </c>
      <c r="E2305" s="6" t="s">
        <v>4495</v>
      </c>
      <c r="F2305" s="7" t="s">
        <v>6599</v>
      </c>
      <c r="G2305" s="6"/>
      <c r="H2305" s="6" t="s">
        <v>3</v>
      </c>
      <c r="I2305" s="6"/>
      <c r="J2305" s="6"/>
      <c r="K2305" s="6"/>
      <c r="L2305" s="6" t="s">
        <v>4496</v>
      </c>
      <c r="M2305" s="6"/>
      <c r="N2305" s="6" t="s">
        <v>4497</v>
      </c>
      <c r="O2305" s="6" t="str">
        <f>HYPERLINK("https://ceds.ed.gov/cedselementdetails.aspx?termid=5611")</f>
        <v>https://ceds.ed.gov/cedselementdetails.aspx?termid=5611</v>
      </c>
      <c r="P2305" s="6" t="str">
        <f>HYPERLINK("https://ceds.ed.gov/elementComment.aspx?elementName=Personal Information Verification &amp;elementID=5611", "Click here to submit comment")</f>
        <v>Click here to submit comment</v>
      </c>
    </row>
    <row r="2306" spans="1:16" ht="150">
      <c r="A2306" s="6" t="s">
        <v>6884</v>
      </c>
      <c r="B2306" s="6" t="s">
        <v>6888</v>
      </c>
      <c r="C2306" s="6" t="s">
        <v>6720</v>
      </c>
      <c r="D2306" s="6" t="s">
        <v>200</v>
      </c>
      <c r="E2306" s="6" t="s">
        <v>201</v>
      </c>
      <c r="F2306" s="7" t="s">
        <v>6355</v>
      </c>
      <c r="G2306" s="6" t="s">
        <v>202</v>
      </c>
      <c r="H2306" s="6" t="s">
        <v>3</v>
      </c>
      <c r="I2306" s="6" t="s">
        <v>100</v>
      </c>
      <c r="J2306" s="6"/>
      <c r="K2306" s="6"/>
      <c r="L2306" s="6" t="s">
        <v>203</v>
      </c>
      <c r="M2306" s="6"/>
      <c r="N2306" s="6" t="s">
        <v>204</v>
      </c>
      <c r="O2306" s="6" t="str">
        <f>HYPERLINK("https://ceds.ed.gov/cedselementdetails.aspx?termid=5698")</f>
        <v>https://ceds.ed.gov/cedselementdetails.aspx?termid=5698</v>
      </c>
      <c r="P2306" s="6" t="str">
        <f>HYPERLINK("https://ceds.ed.gov/elementComment.aspx?elementName=Address Type for Staff &amp;elementID=5698", "Click here to submit comment")</f>
        <v>Click here to submit comment</v>
      </c>
    </row>
    <row r="2307" spans="1:16" ht="225">
      <c r="A2307" s="6" t="s">
        <v>6884</v>
      </c>
      <c r="B2307" s="6" t="s">
        <v>6888</v>
      </c>
      <c r="C2307" s="6" t="s">
        <v>6720</v>
      </c>
      <c r="D2307" s="6" t="s">
        <v>187</v>
      </c>
      <c r="E2307" s="6" t="s">
        <v>188</v>
      </c>
      <c r="F2307" s="6" t="s">
        <v>13</v>
      </c>
      <c r="G2307" s="6" t="s">
        <v>5973</v>
      </c>
      <c r="H2307" s="6" t="s">
        <v>3</v>
      </c>
      <c r="I2307" s="6" t="s">
        <v>149</v>
      </c>
      <c r="J2307" s="6"/>
      <c r="K2307" s="6"/>
      <c r="L2307" s="6" t="s">
        <v>189</v>
      </c>
      <c r="M2307" s="6"/>
      <c r="N2307" s="6" t="s">
        <v>190</v>
      </c>
      <c r="O2307" s="6" t="str">
        <f>HYPERLINK("https://ceds.ed.gov/cedselementdetails.aspx?termid=5269")</f>
        <v>https://ceds.ed.gov/cedselementdetails.aspx?termid=5269</v>
      </c>
      <c r="P2307" s="6" t="str">
        <f>HYPERLINK("https://ceds.ed.gov/elementComment.aspx?elementName=Address Street Number and Name &amp;elementID=5269", "Click here to submit comment")</f>
        <v>Click here to submit comment</v>
      </c>
    </row>
    <row r="2308" spans="1:16" ht="225">
      <c r="A2308" s="6" t="s">
        <v>6884</v>
      </c>
      <c r="B2308" s="6" t="s">
        <v>6888</v>
      </c>
      <c r="C2308" s="6" t="s">
        <v>6720</v>
      </c>
      <c r="D2308" s="6" t="s">
        <v>170</v>
      </c>
      <c r="E2308" s="6" t="s">
        <v>171</v>
      </c>
      <c r="F2308" s="6" t="s">
        <v>13</v>
      </c>
      <c r="G2308" s="6" t="s">
        <v>5973</v>
      </c>
      <c r="H2308" s="6" t="s">
        <v>3</v>
      </c>
      <c r="I2308" s="6" t="s">
        <v>100</v>
      </c>
      <c r="J2308" s="6"/>
      <c r="K2308" s="6"/>
      <c r="L2308" s="6" t="s">
        <v>172</v>
      </c>
      <c r="M2308" s="6"/>
      <c r="N2308" s="6" t="s">
        <v>173</v>
      </c>
      <c r="O2308" s="6" t="str">
        <f>HYPERLINK("https://ceds.ed.gov/cedselementdetails.aspx?termid=5019")</f>
        <v>https://ceds.ed.gov/cedselementdetails.aspx?termid=5019</v>
      </c>
      <c r="P2308" s="6" t="str">
        <f>HYPERLINK("https://ceds.ed.gov/elementComment.aspx?elementName=Address Apartment Room or Suite Number &amp;elementID=5019", "Click here to submit comment")</f>
        <v>Click here to submit comment</v>
      </c>
    </row>
    <row r="2309" spans="1:16" ht="225">
      <c r="A2309" s="6" t="s">
        <v>6884</v>
      </c>
      <c r="B2309" s="6" t="s">
        <v>6888</v>
      </c>
      <c r="C2309" s="6" t="s">
        <v>6720</v>
      </c>
      <c r="D2309" s="6" t="s">
        <v>174</v>
      </c>
      <c r="E2309" s="6" t="s">
        <v>175</v>
      </c>
      <c r="F2309" s="6" t="s">
        <v>13</v>
      </c>
      <c r="G2309" s="6" t="s">
        <v>5973</v>
      </c>
      <c r="H2309" s="6" t="s">
        <v>3</v>
      </c>
      <c r="I2309" s="6" t="s">
        <v>100</v>
      </c>
      <c r="J2309" s="6"/>
      <c r="K2309" s="6"/>
      <c r="L2309" s="6" t="s">
        <v>176</v>
      </c>
      <c r="M2309" s="6"/>
      <c r="N2309" s="6" t="s">
        <v>177</v>
      </c>
      <c r="O2309" s="6" t="str">
        <f>HYPERLINK("https://ceds.ed.gov/cedselementdetails.aspx?termid=5040")</f>
        <v>https://ceds.ed.gov/cedselementdetails.aspx?termid=5040</v>
      </c>
      <c r="P2309" s="6" t="str">
        <f>HYPERLINK("https://ceds.ed.gov/elementComment.aspx?elementName=Address City &amp;elementID=5040", "Click here to submit comment")</f>
        <v>Click here to submit comment</v>
      </c>
    </row>
    <row r="2310" spans="1:16" ht="409.5">
      <c r="A2310" s="6" t="s">
        <v>6884</v>
      </c>
      <c r="B2310" s="6" t="s">
        <v>6888</v>
      </c>
      <c r="C2310" s="6" t="s">
        <v>6720</v>
      </c>
      <c r="D2310" s="6" t="s">
        <v>5533</v>
      </c>
      <c r="E2310" s="6" t="s">
        <v>5534</v>
      </c>
      <c r="F2310" s="7" t="s">
        <v>6633</v>
      </c>
      <c r="G2310" s="6" t="s">
        <v>6324</v>
      </c>
      <c r="H2310" s="6" t="s">
        <v>3</v>
      </c>
      <c r="I2310" s="6"/>
      <c r="J2310" s="6"/>
      <c r="K2310" s="6"/>
      <c r="L2310" s="6" t="s">
        <v>5535</v>
      </c>
      <c r="M2310" s="6"/>
      <c r="N2310" s="6" t="s">
        <v>5536</v>
      </c>
      <c r="O2310" s="6" t="str">
        <f>HYPERLINK("https://ceds.ed.gov/cedselementdetails.aspx?termid=5267")</f>
        <v>https://ceds.ed.gov/cedselementdetails.aspx?termid=5267</v>
      </c>
      <c r="P2310" s="6" t="str">
        <f>HYPERLINK("https://ceds.ed.gov/elementComment.aspx?elementName=State Abbreviation &amp;elementID=5267", "Click here to submit comment")</f>
        <v>Click here to submit comment</v>
      </c>
    </row>
    <row r="2311" spans="1:16" ht="225">
      <c r="A2311" s="6" t="s">
        <v>6884</v>
      </c>
      <c r="B2311" s="6" t="s">
        <v>6888</v>
      </c>
      <c r="C2311" s="6" t="s">
        <v>6720</v>
      </c>
      <c r="D2311" s="6" t="s">
        <v>182</v>
      </c>
      <c r="E2311" s="6" t="s">
        <v>183</v>
      </c>
      <c r="F2311" s="6" t="s">
        <v>13</v>
      </c>
      <c r="G2311" s="6" t="s">
        <v>5973</v>
      </c>
      <c r="H2311" s="6" t="s">
        <v>3</v>
      </c>
      <c r="I2311" s="6" t="s">
        <v>184</v>
      </c>
      <c r="J2311" s="6"/>
      <c r="K2311" s="6"/>
      <c r="L2311" s="6" t="s">
        <v>185</v>
      </c>
      <c r="M2311" s="6"/>
      <c r="N2311" s="6" t="s">
        <v>186</v>
      </c>
      <c r="O2311" s="6" t="str">
        <f>HYPERLINK("https://ceds.ed.gov/cedselementdetails.aspx?termid=5214")</f>
        <v>https://ceds.ed.gov/cedselementdetails.aspx?termid=5214</v>
      </c>
      <c r="P2311" s="6" t="str">
        <f>HYPERLINK("https://ceds.ed.gov/elementComment.aspx?elementName=Address Postal Code &amp;elementID=5214", "Click here to submit comment")</f>
        <v>Click here to submit comment</v>
      </c>
    </row>
    <row r="2312" spans="1:16" ht="225">
      <c r="A2312" s="6" t="s">
        <v>6884</v>
      </c>
      <c r="B2312" s="6" t="s">
        <v>6888</v>
      </c>
      <c r="C2312" s="6" t="s">
        <v>6720</v>
      </c>
      <c r="D2312" s="6" t="s">
        <v>178</v>
      </c>
      <c r="E2312" s="6" t="s">
        <v>179</v>
      </c>
      <c r="F2312" s="6" t="s">
        <v>13</v>
      </c>
      <c r="G2312" s="6" t="s">
        <v>5973</v>
      </c>
      <c r="H2312" s="6" t="s">
        <v>3</v>
      </c>
      <c r="I2312" s="6" t="s">
        <v>100</v>
      </c>
      <c r="J2312" s="6"/>
      <c r="K2312" s="6"/>
      <c r="L2312" s="6" t="s">
        <v>180</v>
      </c>
      <c r="M2312" s="6"/>
      <c r="N2312" s="6" t="s">
        <v>181</v>
      </c>
      <c r="O2312" s="6" t="str">
        <f>HYPERLINK("https://ceds.ed.gov/cedselementdetails.aspx?termid=5190")</f>
        <v>https://ceds.ed.gov/cedselementdetails.aspx?termid=5190</v>
      </c>
      <c r="P2312" s="6" t="str">
        <f>HYPERLINK("https://ceds.ed.gov/elementComment.aspx?elementName=Address County Name &amp;elementID=5190", "Click here to submit comment")</f>
        <v>Click here to submit comment</v>
      </c>
    </row>
    <row r="2313" spans="1:16" ht="409.5">
      <c r="A2313" s="6" t="s">
        <v>6884</v>
      </c>
      <c r="B2313" s="6" t="s">
        <v>6888</v>
      </c>
      <c r="C2313" s="6" t="s">
        <v>6720</v>
      </c>
      <c r="D2313" s="6" t="s">
        <v>1809</v>
      </c>
      <c r="E2313" s="6" t="s">
        <v>1810</v>
      </c>
      <c r="F2313" s="7" t="s">
        <v>6433</v>
      </c>
      <c r="G2313" s="6" t="s">
        <v>6107</v>
      </c>
      <c r="H2313" s="6" t="s">
        <v>3</v>
      </c>
      <c r="I2313" s="6"/>
      <c r="J2313" s="6"/>
      <c r="K2313" s="6"/>
      <c r="L2313" s="6" t="s">
        <v>1811</v>
      </c>
      <c r="M2313" s="6"/>
      <c r="N2313" s="6" t="s">
        <v>1812</v>
      </c>
      <c r="O2313" s="6" t="str">
        <f>HYPERLINK("https://ceds.ed.gov/cedselementdetails.aspx?termid=5050")</f>
        <v>https://ceds.ed.gov/cedselementdetails.aspx?termid=5050</v>
      </c>
      <c r="P2313" s="6" t="str">
        <f>HYPERLINK("https://ceds.ed.gov/elementComment.aspx?elementName=Country Code &amp;elementID=5050", "Click here to submit comment")</f>
        <v>Click here to submit comment</v>
      </c>
    </row>
    <row r="2314" spans="1:16" ht="105">
      <c r="A2314" s="6" t="s">
        <v>6884</v>
      </c>
      <c r="B2314" s="6" t="s">
        <v>6888</v>
      </c>
      <c r="C2314" s="6" t="s">
        <v>6742</v>
      </c>
      <c r="D2314" s="6" t="s">
        <v>2457</v>
      </c>
      <c r="E2314" s="6" t="s">
        <v>2458</v>
      </c>
      <c r="F2314" s="7" t="s">
        <v>6489</v>
      </c>
      <c r="G2314" s="6" t="s">
        <v>5968</v>
      </c>
      <c r="H2314" s="6" t="s">
        <v>3</v>
      </c>
      <c r="I2314" s="6"/>
      <c r="J2314" s="6"/>
      <c r="K2314" s="6"/>
      <c r="L2314" s="6" t="s">
        <v>2459</v>
      </c>
      <c r="M2314" s="6" t="s">
        <v>2460</v>
      </c>
      <c r="N2314" s="6" t="s">
        <v>2461</v>
      </c>
      <c r="O2314" s="6" t="str">
        <f>HYPERLINK("https://ceds.ed.gov/cedselementdetails.aspx?termid=5089")</f>
        <v>https://ceds.ed.gov/cedselementdetails.aspx?termid=5089</v>
      </c>
      <c r="P2314" s="6" t="str">
        <f>HYPERLINK("https://ceds.ed.gov/elementComment.aspx?elementName=Electronic Mail Address Type &amp;elementID=5089", "Click here to submit comment")</f>
        <v>Click here to submit comment</v>
      </c>
    </row>
    <row r="2315" spans="1:16" ht="135">
      <c r="A2315" s="6" t="s">
        <v>6884</v>
      </c>
      <c r="B2315" s="6" t="s">
        <v>6888</v>
      </c>
      <c r="C2315" s="6" t="s">
        <v>6721</v>
      </c>
      <c r="D2315" s="6" t="s">
        <v>5732</v>
      </c>
      <c r="E2315" s="6" t="s">
        <v>5733</v>
      </c>
      <c r="F2315" s="7" t="s">
        <v>6675</v>
      </c>
      <c r="G2315" s="6" t="s">
        <v>5968</v>
      </c>
      <c r="H2315" s="6" t="s">
        <v>3</v>
      </c>
      <c r="I2315" s="6" t="s">
        <v>2844</v>
      </c>
      <c r="J2315" s="6"/>
      <c r="K2315" s="6"/>
      <c r="L2315" s="6" t="s">
        <v>5734</v>
      </c>
      <c r="M2315" s="6"/>
      <c r="N2315" s="6" t="s">
        <v>5735</v>
      </c>
      <c r="O2315" s="6" t="str">
        <f>HYPERLINK("https://ceds.ed.gov/cedselementdetails.aspx?termid=5280")</f>
        <v>https://ceds.ed.gov/cedselementdetails.aspx?termid=5280</v>
      </c>
      <c r="P2315" s="6" t="str">
        <f>HYPERLINK("https://ceds.ed.gov/elementComment.aspx?elementName=Telephone Number Type &amp;elementID=5280", "Click here to submit comment")</f>
        <v>Click here to submit comment</v>
      </c>
    </row>
    <row r="2316" spans="1:16" ht="90">
      <c r="A2316" s="6" t="s">
        <v>6884</v>
      </c>
      <c r="B2316" s="6" t="s">
        <v>6888</v>
      </c>
      <c r="C2316" s="6" t="s">
        <v>6742</v>
      </c>
      <c r="D2316" s="6" t="s">
        <v>2451</v>
      </c>
      <c r="E2316" s="6" t="s">
        <v>2452</v>
      </c>
      <c r="F2316" s="6" t="s">
        <v>13</v>
      </c>
      <c r="G2316" s="6" t="s">
        <v>5968</v>
      </c>
      <c r="H2316" s="6" t="s">
        <v>3</v>
      </c>
      <c r="I2316" s="6" t="s">
        <v>2453</v>
      </c>
      <c r="J2316" s="6"/>
      <c r="K2316" s="6"/>
      <c r="L2316" s="6" t="s">
        <v>2454</v>
      </c>
      <c r="M2316" s="6" t="s">
        <v>2455</v>
      </c>
      <c r="N2316" s="6" t="s">
        <v>2456</v>
      </c>
      <c r="O2316" s="6" t="str">
        <f>HYPERLINK("https://ceds.ed.gov/cedselementdetails.aspx?termid=5088")</f>
        <v>https://ceds.ed.gov/cedselementdetails.aspx?termid=5088</v>
      </c>
      <c r="P2316" s="6" t="str">
        <f>HYPERLINK("https://ceds.ed.gov/elementComment.aspx?elementName=Electronic Mail Address &amp;elementID=5088", "Click here to submit comment")</f>
        <v>Click here to submit comment</v>
      </c>
    </row>
    <row r="2317" spans="1:16" ht="90">
      <c r="A2317" s="6" t="s">
        <v>6884</v>
      </c>
      <c r="B2317" s="6" t="s">
        <v>6888</v>
      </c>
      <c r="C2317" s="6" t="s">
        <v>6721</v>
      </c>
      <c r="D2317" s="6" t="s">
        <v>4591</v>
      </c>
      <c r="E2317" s="6" t="s">
        <v>4592</v>
      </c>
      <c r="F2317" s="6" t="s">
        <v>5963</v>
      </c>
      <c r="G2317" s="6" t="s">
        <v>5968</v>
      </c>
      <c r="H2317" s="6" t="s">
        <v>3</v>
      </c>
      <c r="I2317" s="6"/>
      <c r="J2317" s="6"/>
      <c r="K2317" s="6"/>
      <c r="L2317" s="6" t="s">
        <v>4593</v>
      </c>
      <c r="M2317" s="6"/>
      <c r="N2317" s="6" t="s">
        <v>4594</v>
      </c>
      <c r="O2317" s="6" t="str">
        <f>HYPERLINK("https://ceds.ed.gov/cedselementdetails.aspx?termid=5219")</f>
        <v>https://ceds.ed.gov/cedselementdetails.aspx?termid=5219</v>
      </c>
      <c r="P2317" s="6" t="str">
        <f>HYPERLINK("https://ceds.ed.gov/elementComment.aspx?elementName=Primary Telephone Number Indicator &amp;elementID=5219", "Click here to submit comment")</f>
        <v>Click here to submit comment</v>
      </c>
    </row>
    <row r="2318" spans="1:16" ht="90">
      <c r="A2318" s="6" t="s">
        <v>6884</v>
      </c>
      <c r="B2318" s="6" t="s">
        <v>6888</v>
      </c>
      <c r="C2318" s="6" t="s">
        <v>6721</v>
      </c>
      <c r="D2318" s="6" t="s">
        <v>5727</v>
      </c>
      <c r="E2318" s="6" t="s">
        <v>5728</v>
      </c>
      <c r="F2318" s="6" t="s">
        <v>13</v>
      </c>
      <c r="G2318" s="6" t="s">
        <v>5968</v>
      </c>
      <c r="H2318" s="6" t="s">
        <v>3</v>
      </c>
      <c r="I2318" s="6" t="s">
        <v>5729</v>
      </c>
      <c r="J2318" s="6"/>
      <c r="K2318" s="6"/>
      <c r="L2318" s="6" t="s">
        <v>5730</v>
      </c>
      <c r="M2318" s="6"/>
      <c r="N2318" s="6" t="s">
        <v>5731</v>
      </c>
      <c r="O2318" s="6" t="str">
        <f>HYPERLINK("https://ceds.ed.gov/cedselementdetails.aspx?termid=5279")</f>
        <v>https://ceds.ed.gov/cedselementdetails.aspx?termid=5279</v>
      </c>
      <c r="P2318" s="6" t="str">
        <f>HYPERLINK("https://ceds.ed.gov/elementComment.aspx?elementName=Telephone Number &amp;elementID=5279", "Click here to submit comment")</f>
        <v>Click here to submit comment</v>
      </c>
    </row>
    <row r="2319" spans="1:16" ht="75">
      <c r="A2319" s="6" t="s">
        <v>6884</v>
      </c>
      <c r="B2319" s="6" t="s">
        <v>6888</v>
      </c>
      <c r="C2319" s="6" t="s">
        <v>6771</v>
      </c>
      <c r="D2319" s="6" t="s">
        <v>1562</v>
      </c>
      <c r="E2319" s="6" t="s">
        <v>1563</v>
      </c>
      <c r="F2319" s="6" t="s">
        <v>5963</v>
      </c>
      <c r="G2319" s="6"/>
      <c r="H2319" s="6" t="s">
        <v>54</v>
      </c>
      <c r="I2319" s="6"/>
      <c r="J2319" s="6"/>
      <c r="K2319" s="6"/>
      <c r="L2319" s="6" t="s">
        <v>1564</v>
      </c>
      <c r="M2319" s="6" t="s">
        <v>1565</v>
      </c>
      <c r="N2319" s="6" t="s">
        <v>1566</v>
      </c>
      <c r="O2319" s="6" t="str">
        <f>HYPERLINK("https://ceds.ed.gov/cedselementdetails.aspx?termid=6284")</f>
        <v>https://ceds.ed.gov/cedselementdetails.aspx?termid=6284</v>
      </c>
      <c r="P2319" s="6" t="str">
        <f>HYPERLINK("https://ceds.ed.gov/elementComment.aspx?elementName=Career and Technical Education Instructor Industry Certification &amp;elementID=6284", "Click here to submit comment")</f>
        <v>Click here to submit comment</v>
      </c>
    </row>
    <row r="2320" spans="1:16" ht="90">
      <c r="A2320" s="6" t="s">
        <v>6884</v>
      </c>
      <c r="B2320" s="6" t="s">
        <v>6888</v>
      </c>
      <c r="C2320" s="6" t="s">
        <v>6771</v>
      </c>
      <c r="D2320" s="6" t="s">
        <v>2050</v>
      </c>
      <c r="E2320" s="6" t="s">
        <v>2051</v>
      </c>
      <c r="F2320" s="6" t="s">
        <v>6125</v>
      </c>
      <c r="G2320" s="6"/>
      <c r="H2320" s="6" t="s">
        <v>3</v>
      </c>
      <c r="I2320" s="6"/>
      <c r="J2320" s="6"/>
      <c r="K2320" s="6"/>
      <c r="L2320" s="6" t="s">
        <v>2052</v>
      </c>
      <c r="M2320" s="6"/>
      <c r="N2320" s="6" t="s">
        <v>2053</v>
      </c>
      <c r="O2320" s="6" t="str">
        <f>HYPERLINK("https://ceds.ed.gov/cedselementdetails.aspx?termid=5071")</f>
        <v>https://ceds.ed.gov/cedselementdetails.aspx?termid=5071</v>
      </c>
      <c r="P2320" s="6" t="str">
        <f>HYPERLINK("https://ceds.ed.gov/elementComment.aspx?elementName=Credential Type &amp;elementID=5071", "Click here to submit comment")</f>
        <v>Click here to submit comment</v>
      </c>
    </row>
    <row r="2321" spans="1:16" ht="390">
      <c r="A2321" s="6" t="s">
        <v>6884</v>
      </c>
      <c r="B2321" s="6" t="s">
        <v>6888</v>
      </c>
      <c r="C2321" s="6" t="s">
        <v>6771</v>
      </c>
      <c r="D2321" s="6" t="s">
        <v>5699</v>
      </c>
      <c r="E2321" s="6" t="s">
        <v>5700</v>
      </c>
      <c r="F2321" s="7" t="s">
        <v>6671</v>
      </c>
      <c r="G2321" s="6" t="s">
        <v>344</v>
      </c>
      <c r="H2321" s="6" t="s">
        <v>66</v>
      </c>
      <c r="I2321" s="6"/>
      <c r="J2321" s="6" t="s">
        <v>2527</v>
      </c>
      <c r="K2321" s="6"/>
      <c r="L2321" s="6" t="s">
        <v>5701</v>
      </c>
      <c r="M2321" s="6"/>
      <c r="N2321" s="6" t="s">
        <v>5702</v>
      </c>
      <c r="O2321" s="6" t="str">
        <f>HYPERLINK("https://ceds.ed.gov/cedselementdetails.aspx?termid=5277")</f>
        <v>https://ceds.ed.gov/cedselementdetails.aspx?termid=5277</v>
      </c>
      <c r="P2321" s="6" t="str">
        <f>HYPERLINK("https://ceds.ed.gov/elementComment.aspx?elementName=Teaching Credential Basis &amp;elementID=5277", "Click here to submit comment")</f>
        <v>Click here to submit comment</v>
      </c>
    </row>
    <row r="2322" spans="1:16" ht="409.5">
      <c r="A2322" s="6" t="s">
        <v>6889</v>
      </c>
      <c r="B2322" s="6" t="s">
        <v>6824</v>
      </c>
      <c r="C2322" s="6" t="s">
        <v>6825</v>
      </c>
      <c r="D2322" s="6" t="s">
        <v>1942</v>
      </c>
      <c r="E2322" s="6" t="s">
        <v>1943</v>
      </c>
      <c r="F2322" s="7" t="s">
        <v>6444</v>
      </c>
      <c r="G2322" s="6"/>
      <c r="H2322" s="6" t="s">
        <v>54</v>
      </c>
      <c r="I2322" s="6"/>
      <c r="J2322" s="6"/>
      <c r="K2322" s="6"/>
      <c r="L2322" s="6" t="s">
        <v>1944</v>
      </c>
      <c r="M2322" s="6"/>
      <c r="N2322" s="6" t="s">
        <v>1945</v>
      </c>
      <c r="O2322" s="6" t="str">
        <f>HYPERLINK("https://ceds.ed.gov/cedselementdetails.aspx?termid=6278")</f>
        <v>https://ceds.ed.gov/cedselementdetails.aspx?termid=6278</v>
      </c>
      <c r="P2322" s="6" t="str">
        <f>HYPERLINK("https://ceds.ed.gov/elementComment.aspx?elementName=Course Level Type &amp;elementID=6278", "Click here to submit comment")</f>
        <v>Click here to submit comment</v>
      </c>
    </row>
    <row r="2323" spans="1:16" ht="195">
      <c r="A2323" s="6" t="s">
        <v>6889</v>
      </c>
      <c r="B2323" s="6" t="s">
        <v>6890</v>
      </c>
      <c r="C2323" s="6" t="s">
        <v>6717</v>
      </c>
      <c r="D2323" s="6" t="s">
        <v>2776</v>
      </c>
      <c r="E2323" s="6" t="s">
        <v>2777</v>
      </c>
      <c r="F2323" s="6" t="s">
        <v>13</v>
      </c>
      <c r="G2323" s="6" t="s">
        <v>6176</v>
      </c>
      <c r="H2323" s="6" t="s">
        <v>3</v>
      </c>
      <c r="I2323" s="6" t="s">
        <v>1368</v>
      </c>
      <c r="J2323" s="6"/>
      <c r="K2323" s="6" t="s">
        <v>2778</v>
      </c>
      <c r="L2323" s="6" t="s">
        <v>2779</v>
      </c>
      <c r="M2323" s="6"/>
      <c r="N2323" s="6" t="s">
        <v>2780</v>
      </c>
      <c r="O2323" s="6" t="str">
        <f>HYPERLINK("https://ceds.ed.gov/cedselementdetails.aspx?termid=5115")</f>
        <v>https://ceds.ed.gov/cedselementdetails.aspx?termid=5115</v>
      </c>
      <c r="P2323" s="6" t="str">
        <f>HYPERLINK("https://ceds.ed.gov/elementComment.aspx?elementName=First Name &amp;elementID=5115", "Click here to submit comment")</f>
        <v>Click here to submit comment</v>
      </c>
    </row>
    <row r="2324" spans="1:16" ht="195">
      <c r="A2324" s="6" t="s">
        <v>6889</v>
      </c>
      <c r="B2324" s="6" t="s">
        <v>6890</v>
      </c>
      <c r="C2324" s="6" t="s">
        <v>6717</v>
      </c>
      <c r="D2324" s="6" t="s">
        <v>4088</v>
      </c>
      <c r="E2324" s="6" t="s">
        <v>4089</v>
      </c>
      <c r="F2324" s="6" t="s">
        <v>13</v>
      </c>
      <c r="G2324" s="6" t="s">
        <v>6176</v>
      </c>
      <c r="H2324" s="6" t="s">
        <v>3</v>
      </c>
      <c r="I2324" s="6" t="s">
        <v>1368</v>
      </c>
      <c r="J2324" s="6"/>
      <c r="K2324" s="6" t="s">
        <v>2778</v>
      </c>
      <c r="L2324" s="6" t="s">
        <v>4090</v>
      </c>
      <c r="M2324" s="6"/>
      <c r="N2324" s="6" t="s">
        <v>4091</v>
      </c>
      <c r="O2324" s="6" t="str">
        <f>HYPERLINK("https://ceds.ed.gov/cedselementdetails.aspx?termid=5184")</f>
        <v>https://ceds.ed.gov/cedselementdetails.aspx?termid=5184</v>
      </c>
      <c r="P2324" s="6" t="str">
        <f>HYPERLINK("https://ceds.ed.gov/elementComment.aspx?elementName=Middle Name &amp;elementID=5184", "Click here to submit comment")</f>
        <v>Click here to submit comment</v>
      </c>
    </row>
    <row r="2325" spans="1:16" ht="195">
      <c r="A2325" s="6" t="s">
        <v>6889</v>
      </c>
      <c r="B2325" s="6" t="s">
        <v>6890</v>
      </c>
      <c r="C2325" s="6" t="s">
        <v>6717</v>
      </c>
      <c r="D2325" s="6" t="s">
        <v>3427</v>
      </c>
      <c r="E2325" s="6" t="s">
        <v>3428</v>
      </c>
      <c r="F2325" s="6" t="s">
        <v>13</v>
      </c>
      <c r="G2325" s="6" t="s">
        <v>6176</v>
      </c>
      <c r="H2325" s="6" t="s">
        <v>3</v>
      </c>
      <c r="I2325" s="6" t="s">
        <v>1368</v>
      </c>
      <c r="J2325" s="6"/>
      <c r="K2325" s="6" t="s">
        <v>2778</v>
      </c>
      <c r="L2325" s="6" t="s">
        <v>3429</v>
      </c>
      <c r="M2325" s="6" t="s">
        <v>3430</v>
      </c>
      <c r="N2325" s="6" t="s">
        <v>3431</v>
      </c>
      <c r="O2325" s="6" t="str">
        <f>HYPERLINK("https://ceds.ed.gov/cedselementdetails.aspx?termid=5172")</f>
        <v>https://ceds.ed.gov/cedselementdetails.aspx?termid=5172</v>
      </c>
      <c r="P2325" s="6" t="str">
        <f>HYPERLINK("https://ceds.ed.gov/elementComment.aspx?elementName=Last or Surname &amp;elementID=5172", "Click here to submit comment")</f>
        <v>Click here to submit comment</v>
      </c>
    </row>
    <row r="2326" spans="1:16" ht="150">
      <c r="A2326" s="6" t="s">
        <v>6889</v>
      </c>
      <c r="B2326" s="6" t="s">
        <v>6890</v>
      </c>
      <c r="C2326" s="6" t="s">
        <v>6717</v>
      </c>
      <c r="D2326" s="6" t="s">
        <v>2829</v>
      </c>
      <c r="E2326" s="6" t="s">
        <v>2830</v>
      </c>
      <c r="F2326" s="6" t="s">
        <v>13</v>
      </c>
      <c r="G2326" s="6" t="s">
        <v>6179</v>
      </c>
      <c r="H2326" s="6" t="s">
        <v>3</v>
      </c>
      <c r="I2326" s="6" t="s">
        <v>2031</v>
      </c>
      <c r="J2326" s="6"/>
      <c r="K2326" s="6" t="s">
        <v>2778</v>
      </c>
      <c r="L2326" s="6" t="s">
        <v>2831</v>
      </c>
      <c r="M2326" s="6"/>
      <c r="N2326" s="6" t="s">
        <v>2832</v>
      </c>
      <c r="O2326" s="6" t="str">
        <f>HYPERLINK("https://ceds.ed.gov/cedselementdetails.aspx?termid=5121")</f>
        <v>https://ceds.ed.gov/cedselementdetails.aspx?termid=5121</v>
      </c>
      <c r="P2326" s="6" t="str">
        <f>HYPERLINK("https://ceds.ed.gov/elementComment.aspx?elementName=Generation Code or Suffix &amp;elementID=5121", "Click here to submit comment")</f>
        <v>Click here to submit comment</v>
      </c>
    </row>
    <row r="2327" spans="1:16" ht="105">
      <c r="A2327" s="6" t="s">
        <v>6889</v>
      </c>
      <c r="B2327" s="6" t="s">
        <v>6890</v>
      </c>
      <c r="C2327" s="6" t="s">
        <v>6717</v>
      </c>
      <c r="D2327" s="6" t="s">
        <v>4498</v>
      </c>
      <c r="E2327" s="6" t="s">
        <v>4499</v>
      </c>
      <c r="F2327" s="6" t="s">
        <v>13</v>
      </c>
      <c r="G2327" s="6" t="s">
        <v>6280</v>
      </c>
      <c r="H2327" s="6" t="s">
        <v>3</v>
      </c>
      <c r="I2327" s="6" t="s">
        <v>100</v>
      </c>
      <c r="J2327" s="6"/>
      <c r="K2327" s="6"/>
      <c r="L2327" s="6" t="s">
        <v>4500</v>
      </c>
      <c r="M2327" s="6" t="s">
        <v>4501</v>
      </c>
      <c r="N2327" s="6" t="s">
        <v>4502</v>
      </c>
      <c r="O2327" s="6" t="str">
        <f>HYPERLINK("https://ceds.ed.gov/cedselementdetails.aspx?termid=5212")</f>
        <v>https://ceds.ed.gov/cedselementdetails.aspx?termid=5212</v>
      </c>
      <c r="P2327" s="6" t="str">
        <f>HYPERLINK("https://ceds.ed.gov/elementComment.aspx?elementName=Personal Title or Prefix &amp;elementID=5212", "Click here to submit comment")</f>
        <v>Click here to submit comment</v>
      </c>
    </row>
    <row r="2328" spans="1:16" ht="30">
      <c r="A2328" s="6" t="s">
        <v>6889</v>
      </c>
      <c r="B2328" s="6" t="s">
        <v>6890</v>
      </c>
      <c r="C2328" s="6" t="s">
        <v>6718</v>
      </c>
      <c r="D2328" s="6" t="s">
        <v>4375</v>
      </c>
      <c r="E2328" s="6" t="s">
        <v>4376</v>
      </c>
      <c r="F2328" s="6" t="s">
        <v>13</v>
      </c>
      <c r="G2328" s="6"/>
      <c r="H2328" s="6" t="s">
        <v>54</v>
      </c>
      <c r="I2328" s="6" t="s">
        <v>1368</v>
      </c>
      <c r="J2328" s="6"/>
      <c r="K2328" s="6" t="s">
        <v>4377</v>
      </c>
      <c r="L2328" s="6" t="s">
        <v>4378</v>
      </c>
      <c r="M2328" s="6"/>
      <c r="N2328" s="6" t="s">
        <v>4379</v>
      </c>
      <c r="O2328" s="6" t="str">
        <f>HYPERLINK("https://ceds.ed.gov/cedselementdetails.aspx?termid=6486")</f>
        <v>https://ceds.ed.gov/cedselementdetails.aspx?termid=6486</v>
      </c>
      <c r="P2328" s="6" t="str">
        <f>HYPERLINK("https://ceds.ed.gov/elementComment.aspx?elementName=Other First Name &amp;elementID=6486", "Click here to submit comment")</f>
        <v>Click here to submit comment</v>
      </c>
    </row>
    <row r="2329" spans="1:16" ht="30">
      <c r="A2329" s="6" t="s">
        <v>6889</v>
      </c>
      <c r="B2329" s="6" t="s">
        <v>6890</v>
      </c>
      <c r="C2329" s="6" t="s">
        <v>6718</v>
      </c>
      <c r="D2329" s="6" t="s">
        <v>4380</v>
      </c>
      <c r="E2329" s="6" t="s">
        <v>4381</v>
      </c>
      <c r="F2329" s="6" t="s">
        <v>13</v>
      </c>
      <c r="G2329" s="6"/>
      <c r="H2329" s="6" t="s">
        <v>54</v>
      </c>
      <c r="I2329" s="6" t="s">
        <v>1368</v>
      </c>
      <c r="J2329" s="6"/>
      <c r="K2329" s="6" t="s">
        <v>4382</v>
      </c>
      <c r="L2329" s="6" t="s">
        <v>4383</v>
      </c>
      <c r="M2329" s="6"/>
      <c r="N2329" s="6" t="s">
        <v>4384</v>
      </c>
      <c r="O2329" s="6" t="str">
        <f>HYPERLINK("https://ceds.ed.gov/cedselementdetails.aspx?termid=6485")</f>
        <v>https://ceds.ed.gov/cedselementdetails.aspx?termid=6485</v>
      </c>
      <c r="P2329" s="6" t="str">
        <f>HYPERLINK("https://ceds.ed.gov/elementComment.aspx?elementName=Other Last Name &amp;elementID=6485", "Click here to submit comment")</f>
        <v>Click here to submit comment</v>
      </c>
    </row>
    <row r="2330" spans="1:16" ht="30">
      <c r="A2330" s="6" t="s">
        <v>6889</v>
      </c>
      <c r="B2330" s="6" t="s">
        <v>6890</v>
      </c>
      <c r="C2330" s="6" t="s">
        <v>6718</v>
      </c>
      <c r="D2330" s="6" t="s">
        <v>4385</v>
      </c>
      <c r="E2330" s="6" t="s">
        <v>4386</v>
      </c>
      <c r="F2330" s="6" t="s">
        <v>13</v>
      </c>
      <c r="G2330" s="6"/>
      <c r="H2330" s="6" t="s">
        <v>54</v>
      </c>
      <c r="I2330" s="6" t="s">
        <v>1368</v>
      </c>
      <c r="J2330" s="6"/>
      <c r="K2330" s="6" t="s">
        <v>4387</v>
      </c>
      <c r="L2330" s="6" t="s">
        <v>4388</v>
      </c>
      <c r="M2330" s="6"/>
      <c r="N2330" s="6" t="s">
        <v>4389</v>
      </c>
      <c r="O2330" s="6" t="str">
        <f>HYPERLINK("https://ceds.ed.gov/cedselementdetails.aspx?termid=6487")</f>
        <v>https://ceds.ed.gov/cedselementdetails.aspx?termid=6487</v>
      </c>
      <c r="P2330" s="6" t="str">
        <f>HYPERLINK("https://ceds.ed.gov/elementComment.aspx?elementName=Other Middle Name &amp;elementID=6487", "Click here to submit comment")</f>
        <v>Click here to submit comment</v>
      </c>
    </row>
    <row r="2331" spans="1:16" ht="150">
      <c r="A2331" s="6" t="s">
        <v>6889</v>
      </c>
      <c r="B2331" s="6" t="s">
        <v>6890</v>
      </c>
      <c r="C2331" s="6" t="s">
        <v>6718</v>
      </c>
      <c r="D2331" s="6" t="s">
        <v>4390</v>
      </c>
      <c r="E2331" s="6" t="s">
        <v>4391</v>
      </c>
      <c r="F2331" s="6" t="s">
        <v>13</v>
      </c>
      <c r="G2331" s="6" t="s">
        <v>6179</v>
      </c>
      <c r="H2331" s="6" t="s">
        <v>3</v>
      </c>
      <c r="I2331" s="6" t="s">
        <v>149</v>
      </c>
      <c r="J2331" s="6"/>
      <c r="K2331" s="6"/>
      <c r="L2331" s="6" t="s">
        <v>4392</v>
      </c>
      <c r="M2331" s="6"/>
      <c r="N2331" s="6" t="s">
        <v>4393</v>
      </c>
      <c r="O2331" s="6" t="str">
        <f>HYPERLINK("https://ceds.ed.gov/cedselementdetails.aspx?termid=5206")</f>
        <v>https://ceds.ed.gov/cedselementdetails.aspx?termid=5206</v>
      </c>
      <c r="P2331" s="6" t="str">
        <f>HYPERLINK("https://ceds.ed.gov/elementComment.aspx?elementName=Other Name &amp;elementID=5206", "Click here to submit comment")</f>
        <v>Click here to submit comment</v>
      </c>
    </row>
    <row r="2332" spans="1:16" ht="90">
      <c r="A2332" s="6" t="s">
        <v>6889</v>
      </c>
      <c r="B2332" s="6" t="s">
        <v>6890</v>
      </c>
      <c r="C2332" s="6" t="s">
        <v>6718</v>
      </c>
      <c r="D2332" s="6" t="s">
        <v>4394</v>
      </c>
      <c r="E2332" s="6" t="s">
        <v>4395</v>
      </c>
      <c r="F2332" s="7" t="s">
        <v>6593</v>
      </c>
      <c r="G2332" s="6" t="s">
        <v>6273</v>
      </c>
      <c r="H2332" s="6" t="s">
        <v>3</v>
      </c>
      <c r="I2332" s="6" t="s">
        <v>100</v>
      </c>
      <c r="J2332" s="6"/>
      <c r="K2332" s="6"/>
      <c r="L2332" s="6" t="s">
        <v>4396</v>
      </c>
      <c r="M2332" s="6"/>
      <c r="N2332" s="6" t="s">
        <v>4397</v>
      </c>
      <c r="O2332" s="6" t="str">
        <f>HYPERLINK("https://ceds.ed.gov/cedselementdetails.aspx?termid=5627")</f>
        <v>https://ceds.ed.gov/cedselementdetails.aspx?termid=5627</v>
      </c>
      <c r="P2332" s="6" t="str">
        <f>HYPERLINK("https://ceds.ed.gov/elementComment.aspx?elementName=Other Name Type &amp;elementID=5627", "Click here to submit comment")</f>
        <v>Click here to submit comment</v>
      </c>
    </row>
    <row r="2333" spans="1:16" ht="135">
      <c r="A2333" s="6" t="s">
        <v>6889</v>
      </c>
      <c r="B2333" s="6" t="s">
        <v>6890</v>
      </c>
      <c r="C2333" s="6" t="s">
        <v>6719</v>
      </c>
      <c r="D2333" s="6" t="s">
        <v>5614</v>
      </c>
      <c r="E2333" s="6" t="s">
        <v>5615</v>
      </c>
      <c r="F2333" s="6" t="s">
        <v>13</v>
      </c>
      <c r="G2333" s="6" t="s">
        <v>6330</v>
      </c>
      <c r="H2333" s="6"/>
      <c r="I2333" s="6" t="s">
        <v>100</v>
      </c>
      <c r="J2333" s="6"/>
      <c r="K2333" s="6"/>
      <c r="L2333" s="6" t="s">
        <v>5616</v>
      </c>
      <c r="M2333" s="6"/>
      <c r="N2333" s="6" t="s">
        <v>5617</v>
      </c>
      <c r="O2333" s="6" t="str">
        <f>HYPERLINK("https://ceds.ed.gov/cedselementdetails.aspx?termid=5157")</f>
        <v>https://ceds.ed.gov/cedselementdetails.aspx?termid=5157</v>
      </c>
      <c r="P2333" s="6" t="str">
        <f>HYPERLINK("https://ceds.ed.gov/elementComment.aspx?elementName=Student Identifier &amp;elementID=5157", "Click here to submit comment")</f>
        <v>Click here to submit comment</v>
      </c>
    </row>
    <row r="2334" spans="1:16" ht="285">
      <c r="A2334" s="6" t="s">
        <v>6889</v>
      </c>
      <c r="B2334" s="6" t="s">
        <v>6890</v>
      </c>
      <c r="C2334" s="6" t="s">
        <v>6719</v>
      </c>
      <c r="D2334" s="6" t="s">
        <v>5610</v>
      </c>
      <c r="E2334" s="6" t="s">
        <v>5611</v>
      </c>
      <c r="F2334" s="7" t="s">
        <v>6665</v>
      </c>
      <c r="G2334" s="6" t="s">
        <v>6330</v>
      </c>
      <c r="H2334" s="6"/>
      <c r="I2334" s="6"/>
      <c r="J2334" s="6"/>
      <c r="K2334" s="6"/>
      <c r="L2334" s="6" t="s">
        <v>5612</v>
      </c>
      <c r="M2334" s="6"/>
      <c r="N2334" s="6" t="s">
        <v>5613</v>
      </c>
      <c r="O2334" s="6" t="str">
        <f>HYPERLINK("https://ceds.ed.gov/cedselementdetails.aspx?termid=5163")</f>
        <v>https://ceds.ed.gov/cedselementdetails.aspx?termid=5163</v>
      </c>
      <c r="P2334" s="6" t="str">
        <f>HYPERLINK("https://ceds.ed.gov/elementComment.aspx?elementName=Student Identification System &amp;elementID=5163", "Click here to submit comment")</f>
        <v>Click here to submit comment</v>
      </c>
    </row>
    <row r="2335" spans="1:16" ht="390">
      <c r="A2335" s="6" t="s">
        <v>6889</v>
      </c>
      <c r="B2335" s="6" t="s">
        <v>6890</v>
      </c>
      <c r="C2335" s="6" t="s">
        <v>6719</v>
      </c>
      <c r="D2335" s="6" t="s">
        <v>5383</v>
      </c>
      <c r="E2335" s="6" t="s">
        <v>5384</v>
      </c>
      <c r="F2335" s="6" t="s">
        <v>13</v>
      </c>
      <c r="G2335" s="6" t="s">
        <v>6315</v>
      </c>
      <c r="H2335" s="6" t="s">
        <v>3</v>
      </c>
      <c r="I2335" s="6" t="s">
        <v>5385</v>
      </c>
      <c r="J2335" s="6"/>
      <c r="K2335" s="6" t="s">
        <v>5386</v>
      </c>
      <c r="L2335" s="6" t="s">
        <v>5387</v>
      </c>
      <c r="M2335" s="6" t="s">
        <v>5388</v>
      </c>
      <c r="N2335" s="6" t="s">
        <v>5389</v>
      </c>
      <c r="O2335" s="6" t="str">
        <f>HYPERLINK("https://ceds.ed.gov/cedselementdetails.aspx?termid=5259")</f>
        <v>https://ceds.ed.gov/cedselementdetails.aspx?termid=5259</v>
      </c>
      <c r="P2335" s="6" t="str">
        <f>HYPERLINK("https://ceds.ed.gov/elementComment.aspx?elementName=Social Security Number &amp;elementID=5259", "Click here to submit comment")</f>
        <v>Click here to submit comment</v>
      </c>
    </row>
    <row r="2336" spans="1:16" ht="375">
      <c r="A2336" s="6" t="s">
        <v>6889</v>
      </c>
      <c r="B2336" s="6" t="s">
        <v>6890</v>
      </c>
      <c r="C2336" s="6" t="s">
        <v>6719</v>
      </c>
      <c r="D2336" s="6" t="s">
        <v>4494</v>
      </c>
      <c r="E2336" s="6" t="s">
        <v>4495</v>
      </c>
      <c r="F2336" s="7" t="s">
        <v>6599</v>
      </c>
      <c r="G2336" s="6"/>
      <c r="H2336" s="6" t="s">
        <v>3</v>
      </c>
      <c r="I2336" s="6"/>
      <c r="J2336" s="6"/>
      <c r="K2336" s="6"/>
      <c r="L2336" s="6" t="s">
        <v>4496</v>
      </c>
      <c r="M2336" s="6"/>
      <c r="N2336" s="6" t="s">
        <v>4497</v>
      </c>
      <c r="O2336" s="6" t="str">
        <f>HYPERLINK("https://ceds.ed.gov/cedselementdetails.aspx?termid=5611")</f>
        <v>https://ceds.ed.gov/cedselementdetails.aspx?termid=5611</v>
      </c>
      <c r="P2336" s="6" t="str">
        <f>HYPERLINK("https://ceds.ed.gov/elementComment.aspx?elementName=Personal Information Verification &amp;elementID=5611", "Click here to submit comment")</f>
        <v>Click here to submit comment</v>
      </c>
    </row>
    <row r="2337" spans="1:16" ht="285">
      <c r="A2337" s="6" t="s">
        <v>6889</v>
      </c>
      <c r="B2337" s="6" t="s">
        <v>6890</v>
      </c>
      <c r="C2337" s="6" t="s">
        <v>6720</v>
      </c>
      <c r="D2337" s="6" t="s">
        <v>191</v>
      </c>
      <c r="E2337" s="6" t="s">
        <v>192</v>
      </c>
      <c r="F2337" s="7" t="s">
        <v>6353</v>
      </c>
      <c r="G2337" s="6" t="s">
        <v>5976</v>
      </c>
      <c r="H2337" s="6" t="s">
        <v>66</v>
      </c>
      <c r="I2337" s="6" t="s">
        <v>100</v>
      </c>
      <c r="J2337" s="6" t="s">
        <v>193</v>
      </c>
      <c r="K2337" s="6"/>
      <c r="L2337" s="6" t="s">
        <v>194</v>
      </c>
      <c r="M2337" s="6"/>
      <c r="N2337" s="6" t="s">
        <v>195</v>
      </c>
      <c r="O2337" s="6" t="str">
        <f>HYPERLINK("https://ceds.ed.gov/cedselementdetails.aspx?termid=5358")</f>
        <v>https://ceds.ed.gov/cedselementdetails.aspx?termid=5358</v>
      </c>
      <c r="P2337" s="6" t="str">
        <f>HYPERLINK("https://ceds.ed.gov/elementComment.aspx?elementName=Address Type for Learner or Family &amp;elementID=5358", "Click here to submit comment")</f>
        <v>Click here to submit comment</v>
      </c>
    </row>
    <row r="2338" spans="1:16" ht="225">
      <c r="A2338" s="6" t="s">
        <v>6889</v>
      </c>
      <c r="B2338" s="6" t="s">
        <v>6890</v>
      </c>
      <c r="C2338" s="6" t="s">
        <v>6720</v>
      </c>
      <c r="D2338" s="6" t="s">
        <v>187</v>
      </c>
      <c r="E2338" s="6" t="s">
        <v>188</v>
      </c>
      <c r="F2338" s="6" t="s">
        <v>13</v>
      </c>
      <c r="G2338" s="6" t="s">
        <v>5973</v>
      </c>
      <c r="H2338" s="6" t="s">
        <v>3</v>
      </c>
      <c r="I2338" s="6" t="s">
        <v>149</v>
      </c>
      <c r="J2338" s="6"/>
      <c r="K2338" s="6"/>
      <c r="L2338" s="6" t="s">
        <v>189</v>
      </c>
      <c r="M2338" s="6"/>
      <c r="N2338" s="6" t="s">
        <v>190</v>
      </c>
      <c r="O2338" s="6" t="str">
        <f>HYPERLINK("https://ceds.ed.gov/cedselementdetails.aspx?termid=5269")</f>
        <v>https://ceds.ed.gov/cedselementdetails.aspx?termid=5269</v>
      </c>
      <c r="P2338" s="6" t="str">
        <f>HYPERLINK("https://ceds.ed.gov/elementComment.aspx?elementName=Address Street Number and Name &amp;elementID=5269", "Click here to submit comment")</f>
        <v>Click here to submit comment</v>
      </c>
    </row>
    <row r="2339" spans="1:16" ht="225">
      <c r="A2339" s="6" t="s">
        <v>6889</v>
      </c>
      <c r="B2339" s="6" t="s">
        <v>6890</v>
      </c>
      <c r="C2339" s="6" t="s">
        <v>6720</v>
      </c>
      <c r="D2339" s="6" t="s">
        <v>170</v>
      </c>
      <c r="E2339" s="6" t="s">
        <v>171</v>
      </c>
      <c r="F2339" s="6" t="s">
        <v>13</v>
      </c>
      <c r="G2339" s="6" t="s">
        <v>5973</v>
      </c>
      <c r="H2339" s="6" t="s">
        <v>3</v>
      </c>
      <c r="I2339" s="6" t="s">
        <v>100</v>
      </c>
      <c r="J2339" s="6"/>
      <c r="K2339" s="6"/>
      <c r="L2339" s="6" t="s">
        <v>172</v>
      </c>
      <c r="M2339" s="6"/>
      <c r="N2339" s="6" t="s">
        <v>173</v>
      </c>
      <c r="O2339" s="6" t="str">
        <f>HYPERLINK("https://ceds.ed.gov/cedselementdetails.aspx?termid=5019")</f>
        <v>https://ceds.ed.gov/cedselementdetails.aspx?termid=5019</v>
      </c>
      <c r="P2339" s="6" t="str">
        <f>HYPERLINK("https://ceds.ed.gov/elementComment.aspx?elementName=Address Apartment Room or Suite Number &amp;elementID=5019", "Click here to submit comment")</f>
        <v>Click here to submit comment</v>
      </c>
    </row>
    <row r="2340" spans="1:16" ht="225">
      <c r="A2340" s="6" t="s">
        <v>6889</v>
      </c>
      <c r="B2340" s="6" t="s">
        <v>6890</v>
      </c>
      <c r="C2340" s="6" t="s">
        <v>6720</v>
      </c>
      <c r="D2340" s="6" t="s">
        <v>174</v>
      </c>
      <c r="E2340" s="6" t="s">
        <v>175</v>
      </c>
      <c r="F2340" s="6" t="s">
        <v>13</v>
      </c>
      <c r="G2340" s="6" t="s">
        <v>5973</v>
      </c>
      <c r="H2340" s="6" t="s">
        <v>3</v>
      </c>
      <c r="I2340" s="6" t="s">
        <v>100</v>
      </c>
      <c r="J2340" s="6"/>
      <c r="K2340" s="6"/>
      <c r="L2340" s="6" t="s">
        <v>176</v>
      </c>
      <c r="M2340" s="6"/>
      <c r="N2340" s="6" t="s">
        <v>177</v>
      </c>
      <c r="O2340" s="6" t="str">
        <f>HYPERLINK("https://ceds.ed.gov/cedselementdetails.aspx?termid=5040")</f>
        <v>https://ceds.ed.gov/cedselementdetails.aspx?termid=5040</v>
      </c>
      <c r="P2340" s="6" t="str">
        <f>HYPERLINK("https://ceds.ed.gov/elementComment.aspx?elementName=Address City &amp;elementID=5040", "Click here to submit comment")</f>
        <v>Click here to submit comment</v>
      </c>
    </row>
    <row r="2341" spans="1:16" ht="409.5">
      <c r="A2341" s="6" t="s">
        <v>6889</v>
      </c>
      <c r="B2341" s="6" t="s">
        <v>6890</v>
      </c>
      <c r="C2341" s="6" t="s">
        <v>6720</v>
      </c>
      <c r="D2341" s="6" t="s">
        <v>5533</v>
      </c>
      <c r="E2341" s="6" t="s">
        <v>5534</v>
      </c>
      <c r="F2341" s="7" t="s">
        <v>6633</v>
      </c>
      <c r="G2341" s="6" t="s">
        <v>6324</v>
      </c>
      <c r="H2341" s="6" t="s">
        <v>3</v>
      </c>
      <c r="I2341" s="6"/>
      <c r="J2341" s="6"/>
      <c r="K2341" s="6"/>
      <c r="L2341" s="6" t="s">
        <v>5535</v>
      </c>
      <c r="M2341" s="6"/>
      <c r="N2341" s="6" t="s">
        <v>5536</v>
      </c>
      <c r="O2341" s="6" t="str">
        <f>HYPERLINK("https://ceds.ed.gov/cedselementdetails.aspx?termid=5267")</f>
        <v>https://ceds.ed.gov/cedselementdetails.aspx?termid=5267</v>
      </c>
      <c r="P2341" s="6" t="str">
        <f>HYPERLINK("https://ceds.ed.gov/elementComment.aspx?elementName=State Abbreviation &amp;elementID=5267", "Click here to submit comment")</f>
        <v>Click here to submit comment</v>
      </c>
    </row>
    <row r="2342" spans="1:16" ht="225">
      <c r="A2342" s="6" t="s">
        <v>6889</v>
      </c>
      <c r="B2342" s="6" t="s">
        <v>6890</v>
      </c>
      <c r="C2342" s="6" t="s">
        <v>6720</v>
      </c>
      <c r="D2342" s="6" t="s">
        <v>182</v>
      </c>
      <c r="E2342" s="6" t="s">
        <v>183</v>
      </c>
      <c r="F2342" s="6" t="s">
        <v>13</v>
      </c>
      <c r="G2342" s="6" t="s">
        <v>5973</v>
      </c>
      <c r="H2342" s="6" t="s">
        <v>3</v>
      </c>
      <c r="I2342" s="6" t="s">
        <v>184</v>
      </c>
      <c r="J2342" s="6"/>
      <c r="K2342" s="6"/>
      <c r="L2342" s="6" t="s">
        <v>185</v>
      </c>
      <c r="M2342" s="6"/>
      <c r="N2342" s="6" t="s">
        <v>186</v>
      </c>
      <c r="O2342" s="6" t="str">
        <f>HYPERLINK("https://ceds.ed.gov/cedselementdetails.aspx?termid=5214")</f>
        <v>https://ceds.ed.gov/cedselementdetails.aspx?termid=5214</v>
      </c>
      <c r="P2342" s="6" t="str">
        <f>HYPERLINK("https://ceds.ed.gov/elementComment.aspx?elementName=Address Postal Code &amp;elementID=5214", "Click here to submit comment")</f>
        <v>Click here to submit comment</v>
      </c>
    </row>
    <row r="2343" spans="1:16" ht="225">
      <c r="A2343" s="6" t="s">
        <v>6889</v>
      </c>
      <c r="B2343" s="6" t="s">
        <v>6890</v>
      </c>
      <c r="C2343" s="6" t="s">
        <v>6720</v>
      </c>
      <c r="D2343" s="6" t="s">
        <v>178</v>
      </c>
      <c r="E2343" s="6" t="s">
        <v>179</v>
      </c>
      <c r="F2343" s="6" t="s">
        <v>13</v>
      </c>
      <c r="G2343" s="6" t="s">
        <v>5973</v>
      </c>
      <c r="H2343" s="6" t="s">
        <v>3</v>
      </c>
      <c r="I2343" s="6" t="s">
        <v>100</v>
      </c>
      <c r="J2343" s="6"/>
      <c r="K2343" s="6"/>
      <c r="L2343" s="6" t="s">
        <v>180</v>
      </c>
      <c r="M2343" s="6"/>
      <c r="N2343" s="6" t="s">
        <v>181</v>
      </c>
      <c r="O2343" s="6" t="str">
        <f>HYPERLINK("https://ceds.ed.gov/cedselementdetails.aspx?termid=5190")</f>
        <v>https://ceds.ed.gov/cedselementdetails.aspx?termid=5190</v>
      </c>
      <c r="P2343" s="6" t="str">
        <f>HYPERLINK("https://ceds.ed.gov/elementComment.aspx?elementName=Address County Name &amp;elementID=5190", "Click here to submit comment")</f>
        <v>Click here to submit comment</v>
      </c>
    </row>
    <row r="2344" spans="1:16" ht="409.5">
      <c r="A2344" s="6" t="s">
        <v>6889</v>
      </c>
      <c r="B2344" s="6" t="s">
        <v>6890</v>
      </c>
      <c r="C2344" s="6" t="s">
        <v>6720</v>
      </c>
      <c r="D2344" s="6" t="s">
        <v>1809</v>
      </c>
      <c r="E2344" s="6" t="s">
        <v>1810</v>
      </c>
      <c r="F2344" s="7" t="s">
        <v>6433</v>
      </c>
      <c r="G2344" s="6" t="s">
        <v>6107</v>
      </c>
      <c r="H2344" s="6" t="s">
        <v>3</v>
      </c>
      <c r="I2344" s="6"/>
      <c r="J2344" s="6"/>
      <c r="K2344" s="6"/>
      <c r="L2344" s="6" t="s">
        <v>1811</v>
      </c>
      <c r="M2344" s="6"/>
      <c r="N2344" s="6" t="s">
        <v>1812</v>
      </c>
      <c r="O2344" s="6" t="str">
        <f>HYPERLINK("https://ceds.ed.gov/cedselementdetails.aspx?termid=5050")</f>
        <v>https://ceds.ed.gov/cedselementdetails.aspx?termid=5050</v>
      </c>
      <c r="P2344" s="6" t="str">
        <f>HYPERLINK("https://ceds.ed.gov/elementComment.aspx?elementName=Country Code &amp;elementID=5050", "Click here to submit comment")</f>
        <v>Click here to submit comment</v>
      </c>
    </row>
    <row r="2345" spans="1:16" ht="135">
      <c r="A2345" s="6" t="s">
        <v>6889</v>
      </c>
      <c r="B2345" s="6" t="s">
        <v>6890</v>
      </c>
      <c r="C2345" s="6" t="s">
        <v>6721</v>
      </c>
      <c r="D2345" s="6" t="s">
        <v>5732</v>
      </c>
      <c r="E2345" s="6" t="s">
        <v>5733</v>
      </c>
      <c r="F2345" s="7" t="s">
        <v>6675</v>
      </c>
      <c r="G2345" s="6" t="s">
        <v>5968</v>
      </c>
      <c r="H2345" s="6" t="s">
        <v>3</v>
      </c>
      <c r="I2345" s="6" t="s">
        <v>2844</v>
      </c>
      <c r="J2345" s="6"/>
      <c r="K2345" s="6"/>
      <c r="L2345" s="6" t="s">
        <v>5734</v>
      </c>
      <c r="M2345" s="6"/>
      <c r="N2345" s="6" t="s">
        <v>5735</v>
      </c>
      <c r="O2345" s="6" t="str">
        <f>HYPERLINK("https://ceds.ed.gov/cedselementdetails.aspx?termid=5280")</f>
        <v>https://ceds.ed.gov/cedselementdetails.aspx?termid=5280</v>
      </c>
      <c r="P2345" s="6" t="str">
        <f>HYPERLINK("https://ceds.ed.gov/elementComment.aspx?elementName=Telephone Number Type &amp;elementID=5280", "Click here to submit comment")</f>
        <v>Click here to submit comment</v>
      </c>
    </row>
    <row r="2346" spans="1:16" ht="90">
      <c r="A2346" s="6" t="s">
        <v>6889</v>
      </c>
      <c r="B2346" s="6" t="s">
        <v>6890</v>
      </c>
      <c r="C2346" s="6" t="s">
        <v>6721</v>
      </c>
      <c r="D2346" s="6" t="s">
        <v>4591</v>
      </c>
      <c r="E2346" s="6" t="s">
        <v>4592</v>
      </c>
      <c r="F2346" s="6" t="s">
        <v>5963</v>
      </c>
      <c r="G2346" s="6" t="s">
        <v>5968</v>
      </c>
      <c r="H2346" s="6" t="s">
        <v>3</v>
      </c>
      <c r="I2346" s="6"/>
      <c r="J2346" s="6"/>
      <c r="K2346" s="6"/>
      <c r="L2346" s="6" t="s">
        <v>4593</v>
      </c>
      <c r="M2346" s="6"/>
      <c r="N2346" s="6" t="s">
        <v>4594</v>
      </c>
      <c r="O2346" s="6" t="str">
        <f>HYPERLINK("https://ceds.ed.gov/cedselementdetails.aspx?termid=5219")</f>
        <v>https://ceds.ed.gov/cedselementdetails.aspx?termid=5219</v>
      </c>
      <c r="P2346" s="6" t="str">
        <f>HYPERLINK("https://ceds.ed.gov/elementComment.aspx?elementName=Primary Telephone Number Indicator &amp;elementID=5219", "Click here to submit comment")</f>
        <v>Click here to submit comment</v>
      </c>
    </row>
    <row r="2347" spans="1:16" ht="90">
      <c r="A2347" s="6" t="s">
        <v>6889</v>
      </c>
      <c r="B2347" s="6" t="s">
        <v>6890</v>
      </c>
      <c r="C2347" s="6" t="s">
        <v>6721</v>
      </c>
      <c r="D2347" s="6" t="s">
        <v>5727</v>
      </c>
      <c r="E2347" s="6" t="s">
        <v>5728</v>
      </c>
      <c r="F2347" s="6" t="s">
        <v>13</v>
      </c>
      <c r="G2347" s="6" t="s">
        <v>5968</v>
      </c>
      <c r="H2347" s="6" t="s">
        <v>3</v>
      </c>
      <c r="I2347" s="6" t="s">
        <v>5729</v>
      </c>
      <c r="J2347" s="6"/>
      <c r="K2347" s="6"/>
      <c r="L2347" s="6" t="s">
        <v>5730</v>
      </c>
      <c r="M2347" s="6"/>
      <c r="N2347" s="6" t="s">
        <v>5731</v>
      </c>
      <c r="O2347" s="6" t="str">
        <f>HYPERLINK("https://ceds.ed.gov/cedselementdetails.aspx?termid=5279")</f>
        <v>https://ceds.ed.gov/cedselementdetails.aspx?termid=5279</v>
      </c>
      <c r="P2347" s="6" t="str">
        <f>HYPERLINK("https://ceds.ed.gov/elementComment.aspx?elementName=Telephone Number &amp;elementID=5279", "Click here to submit comment")</f>
        <v>Click here to submit comment</v>
      </c>
    </row>
    <row r="2348" spans="1:16" ht="105">
      <c r="A2348" s="6" t="s">
        <v>6889</v>
      </c>
      <c r="B2348" s="6" t="s">
        <v>6890</v>
      </c>
      <c r="C2348" s="6" t="s">
        <v>6742</v>
      </c>
      <c r="D2348" s="6" t="s">
        <v>2457</v>
      </c>
      <c r="E2348" s="6" t="s">
        <v>2458</v>
      </c>
      <c r="F2348" s="7" t="s">
        <v>6489</v>
      </c>
      <c r="G2348" s="6" t="s">
        <v>5968</v>
      </c>
      <c r="H2348" s="6" t="s">
        <v>3</v>
      </c>
      <c r="I2348" s="6"/>
      <c r="J2348" s="6"/>
      <c r="K2348" s="6"/>
      <c r="L2348" s="6" t="s">
        <v>2459</v>
      </c>
      <c r="M2348" s="6" t="s">
        <v>2460</v>
      </c>
      <c r="N2348" s="6" t="s">
        <v>2461</v>
      </c>
      <c r="O2348" s="6" t="str">
        <f>HYPERLINK("https://ceds.ed.gov/cedselementdetails.aspx?termid=5089")</f>
        <v>https://ceds.ed.gov/cedselementdetails.aspx?termid=5089</v>
      </c>
      <c r="P2348" s="6" t="str">
        <f>HYPERLINK("https://ceds.ed.gov/elementComment.aspx?elementName=Electronic Mail Address Type &amp;elementID=5089", "Click here to submit comment")</f>
        <v>Click here to submit comment</v>
      </c>
    </row>
    <row r="2349" spans="1:16" ht="90">
      <c r="A2349" s="6" t="s">
        <v>6889</v>
      </c>
      <c r="B2349" s="6" t="s">
        <v>6890</v>
      </c>
      <c r="C2349" s="6" t="s">
        <v>6742</v>
      </c>
      <c r="D2349" s="6" t="s">
        <v>2451</v>
      </c>
      <c r="E2349" s="6" t="s">
        <v>2452</v>
      </c>
      <c r="F2349" s="6" t="s">
        <v>13</v>
      </c>
      <c r="G2349" s="6" t="s">
        <v>5968</v>
      </c>
      <c r="H2349" s="6" t="s">
        <v>3</v>
      </c>
      <c r="I2349" s="6" t="s">
        <v>2453</v>
      </c>
      <c r="J2349" s="6"/>
      <c r="K2349" s="6"/>
      <c r="L2349" s="6" t="s">
        <v>2454</v>
      </c>
      <c r="M2349" s="6" t="s">
        <v>2455</v>
      </c>
      <c r="N2349" s="6" t="s">
        <v>2456</v>
      </c>
      <c r="O2349" s="6" t="str">
        <f>HYPERLINK("https://ceds.ed.gov/cedselementdetails.aspx?termid=5088")</f>
        <v>https://ceds.ed.gov/cedselementdetails.aspx?termid=5088</v>
      </c>
      <c r="P2349" s="6" t="str">
        <f>HYPERLINK("https://ceds.ed.gov/elementComment.aspx?elementName=Electronic Mail Address &amp;elementID=5088", "Click here to submit comment")</f>
        <v>Click here to submit comment</v>
      </c>
    </row>
    <row r="2350" spans="1:16" ht="240">
      <c r="A2350" s="6" t="s">
        <v>6889</v>
      </c>
      <c r="B2350" s="6" t="s">
        <v>6890</v>
      </c>
      <c r="C2350" s="6" t="s">
        <v>6722</v>
      </c>
      <c r="D2350" s="6" t="s">
        <v>1474</v>
      </c>
      <c r="E2350" s="6" t="s">
        <v>1475</v>
      </c>
      <c r="F2350" s="6" t="s">
        <v>13</v>
      </c>
      <c r="G2350" s="6" t="s">
        <v>6080</v>
      </c>
      <c r="H2350" s="6" t="s">
        <v>3</v>
      </c>
      <c r="I2350" s="6" t="s">
        <v>73</v>
      </c>
      <c r="J2350" s="6"/>
      <c r="K2350" s="6"/>
      <c r="L2350" s="6" t="s">
        <v>1476</v>
      </c>
      <c r="M2350" s="6"/>
      <c r="N2350" s="6" t="s">
        <v>1474</v>
      </c>
      <c r="O2350" s="6" t="str">
        <f>HYPERLINK("https://ceds.ed.gov/cedselementdetails.aspx?termid=5033")</f>
        <v>https://ceds.ed.gov/cedselementdetails.aspx?termid=5033</v>
      </c>
      <c r="P2350" s="6" t="str">
        <f>HYPERLINK("https://ceds.ed.gov/elementComment.aspx?elementName=Birthdate &amp;elementID=5033", "Click here to submit comment")</f>
        <v>Click here to submit comment</v>
      </c>
    </row>
    <row r="2351" spans="1:16" ht="255">
      <c r="A2351" s="6" t="s">
        <v>6889</v>
      </c>
      <c r="B2351" s="6" t="s">
        <v>6890</v>
      </c>
      <c r="C2351" s="6" t="s">
        <v>6722</v>
      </c>
      <c r="D2351" s="6" t="s">
        <v>5353</v>
      </c>
      <c r="E2351" s="6" t="s">
        <v>5354</v>
      </c>
      <c r="F2351" s="7" t="s">
        <v>6656</v>
      </c>
      <c r="G2351" s="6" t="s">
        <v>6312</v>
      </c>
      <c r="H2351" s="6" t="s">
        <v>3</v>
      </c>
      <c r="I2351" s="6"/>
      <c r="J2351" s="6"/>
      <c r="K2351" s="6" t="s">
        <v>5355</v>
      </c>
      <c r="L2351" s="6" t="s">
        <v>5356</v>
      </c>
      <c r="M2351" s="6"/>
      <c r="N2351" s="6" t="s">
        <v>5353</v>
      </c>
      <c r="O2351" s="6" t="str">
        <f>HYPERLINK("https://ceds.ed.gov/cedselementdetails.aspx?termid=5255")</f>
        <v>https://ceds.ed.gov/cedselementdetails.aspx?termid=5255</v>
      </c>
      <c r="P2351" s="6" t="str">
        <f>HYPERLINK("https://ceds.ed.gov/elementComment.aspx?elementName=Sex &amp;elementID=5255", "Click here to submit comment")</f>
        <v>Click here to submit comment</v>
      </c>
    </row>
    <row r="2352" spans="1:16" ht="225">
      <c r="A2352" s="6" t="s">
        <v>6889</v>
      </c>
      <c r="B2352" s="6" t="s">
        <v>6890</v>
      </c>
      <c r="C2352" s="6" t="s">
        <v>6722</v>
      </c>
      <c r="D2352" s="6" t="s">
        <v>351</v>
      </c>
      <c r="E2352" s="6" t="s">
        <v>352</v>
      </c>
      <c r="F2352" s="7" t="s">
        <v>6373</v>
      </c>
      <c r="G2352" s="6" t="s">
        <v>5986</v>
      </c>
      <c r="H2352" s="6"/>
      <c r="I2352" s="6"/>
      <c r="J2352" s="6"/>
      <c r="K2352" s="6" t="s">
        <v>353</v>
      </c>
      <c r="L2352" s="6" t="s">
        <v>354</v>
      </c>
      <c r="M2352" s="6"/>
      <c r="N2352" s="6" t="s">
        <v>355</v>
      </c>
      <c r="O2352" s="6" t="str">
        <f>HYPERLINK("https://ceds.ed.gov/cedselementdetails.aspx?termid=5655")</f>
        <v>https://ceds.ed.gov/cedselementdetails.aspx?termid=5655</v>
      </c>
      <c r="P2352" s="6" t="str">
        <f>HYPERLINK("https://ceds.ed.gov/elementComment.aspx?elementName=American Indian or Alaska Native &amp;elementID=5655", "Click here to submit comment")</f>
        <v>Click here to submit comment</v>
      </c>
    </row>
    <row r="2353" spans="1:16" ht="225">
      <c r="A2353" s="6" t="s">
        <v>6889</v>
      </c>
      <c r="B2353" s="6" t="s">
        <v>6890</v>
      </c>
      <c r="C2353" s="6" t="s">
        <v>6722</v>
      </c>
      <c r="D2353" s="6" t="s">
        <v>392</v>
      </c>
      <c r="E2353" s="6" t="s">
        <v>393</v>
      </c>
      <c r="F2353" s="7" t="s">
        <v>6373</v>
      </c>
      <c r="G2353" s="6" t="s">
        <v>5986</v>
      </c>
      <c r="H2353" s="6"/>
      <c r="I2353" s="6"/>
      <c r="J2353" s="6"/>
      <c r="K2353" s="6" t="s">
        <v>353</v>
      </c>
      <c r="L2353" s="6" t="s">
        <v>394</v>
      </c>
      <c r="M2353" s="6"/>
      <c r="N2353" s="6" t="s">
        <v>392</v>
      </c>
      <c r="O2353" s="6" t="str">
        <f>HYPERLINK("https://ceds.ed.gov/cedselementdetails.aspx?termid=5656")</f>
        <v>https://ceds.ed.gov/cedselementdetails.aspx?termid=5656</v>
      </c>
      <c r="P2353" s="6" t="str">
        <f>HYPERLINK("https://ceds.ed.gov/elementComment.aspx?elementName=Asian &amp;elementID=5656", "Click here to submit comment")</f>
        <v>Click here to submit comment</v>
      </c>
    </row>
    <row r="2354" spans="1:16" ht="225">
      <c r="A2354" s="6" t="s">
        <v>6889</v>
      </c>
      <c r="B2354" s="6" t="s">
        <v>6890</v>
      </c>
      <c r="C2354" s="6" t="s">
        <v>6722</v>
      </c>
      <c r="D2354" s="6" t="s">
        <v>1483</v>
      </c>
      <c r="E2354" s="6" t="s">
        <v>1484</v>
      </c>
      <c r="F2354" s="7" t="s">
        <v>6373</v>
      </c>
      <c r="G2354" s="6" t="s">
        <v>5986</v>
      </c>
      <c r="H2354" s="6"/>
      <c r="I2354" s="6"/>
      <c r="J2354" s="6"/>
      <c r="K2354" s="6" t="s">
        <v>353</v>
      </c>
      <c r="L2354" s="6" t="s">
        <v>1485</v>
      </c>
      <c r="M2354" s="6"/>
      <c r="N2354" s="6" t="s">
        <v>1486</v>
      </c>
      <c r="O2354" s="6" t="str">
        <f>HYPERLINK("https://ceds.ed.gov/cedselementdetails.aspx?termid=5657")</f>
        <v>https://ceds.ed.gov/cedselementdetails.aspx?termid=5657</v>
      </c>
      <c r="P2354" s="6" t="str">
        <f>HYPERLINK("https://ceds.ed.gov/elementComment.aspx?elementName=Black or African American &amp;elementID=5657", "Click here to submit comment")</f>
        <v>Click here to submit comment</v>
      </c>
    </row>
    <row r="2355" spans="1:16" ht="225">
      <c r="A2355" s="6" t="s">
        <v>6889</v>
      </c>
      <c r="B2355" s="6" t="s">
        <v>6890</v>
      </c>
      <c r="C2355" s="6" t="s">
        <v>6722</v>
      </c>
      <c r="D2355" s="6" t="s">
        <v>4202</v>
      </c>
      <c r="E2355" s="6" t="s">
        <v>4203</v>
      </c>
      <c r="F2355" s="7" t="s">
        <v>6373</v>
      </c>
      <c r="G2355" s="6" t="s">
        <v>5986</v>
      </c>
      <c r="H2355" s="6"/>
      <c r="I2355" s="6"/>
      <c r="J2355" s="6"/>
      <c r="K2355" s="6" t="s">
        <v>353</v>
      </c>
      <c r="L2355" s="6" t="s">
        <v>4204</v>
      </c>
      <c r="M2355" s="6"/>
      <c r="N2355" s="6" t="s">
        <v>4205</v>
      </c>
      <c r="O2355" s="6" t="str">
        <f>HYPERLINK("https://ceds.ed.gov/cedselementdetails.aspx?termid=5658")</f>
        <v>https://ceds.ed.gov/cedselementdetails.aspx?termid=5658</v>
      </c>
      <c r="P2355" s="6" t="str">
        <f>HYPERLINK("https://ceds.ed.gov/elementComment.aspx?elementName=Native Hawaiian or Other Pacific Islander &amp;elementID=5658", "Click here to submit comment")</f>
        <v>Click here to submit comment</v>
      </c>
    </row>
    <row r="2356" spans="1:16" ht="225">
      <c r="A2356" s="6" t="s">
        <v>6889</v>
      </c>
      <c r="B2356" s="6" t="s">
        <v>6890</v>
      </c>
      <c r="C2356" s="6" t="s">
        <v>6722</v>
      </c>
      <c r="D2356" s="6" t="s">
        <v>5925</v>
      </c>
      <c r="E2356" s="6" t="s">
        <v>5926</v>
      </c>
      <c r="F2356" s="7" t="s">
        <v>6373</v>
      </c>
      <c r="G2356" s="6" t="s">
        <v>5986</v>
      </c>
      <c r="H2356" s="6"/>
      <c r="I2356" s="6"/>
      <c r="J2356" s="6"/>
      <c r="K2356" s="6" t="s">
        <v>353</v>
      </c>
      <c r="L2356" s="6" t="s">
        <v>5927</v>
      </c>
      <c r="M2356" s="6"/>
      <c r="N2356" s="6" t="s">
        <v>5925</v>
      </c>
      <c r="O2356" s="6" t="str">
        <f>HYPERLINK("https://ceds.ed.gov/cedselementdetails.aspx?termid=5659")</f>
        <v>https://ceds.ed.gov/cedselementdetails.aspx?termid=5659</v>
      </c>
      <c r="P2356" s="6" t="str">
        <f>HYPERLINK("https://ceds.ed.gov/elementComment.aspx?elementName=White &amp;elementID=5659", "Click here to submit comment")</f>
        <v>Click here to submit comment</v>
      </c>
    </row>
    <row r="2357" spans="1:16" ht="225">
      <c r="A2357" s="6" t="s">
        <v>6889</v>
      </c>
      <c r="B2357" s="6" t="s">
        <v>6890</v>
      </c>
      <c r="C2357" s="6" t="s">
        <v>6722</v>
      </c>
      <c r="D2357" s="6" t="s">
        <v>2985</v>
      </c>
      <c r="E2357" s="6" t="s">
        <v>2986</v>
      </c>
      <c r="F2357" s="7" t="s">
        <v>6373</v>
      </c>
      <c r="G2357" s="6" t="s">
        <v>5986</v>
      </c>
      <c r="H2357" s="6"/>
      <c r="I2357" s="6"/>
      <c r="J2357" s="6"/>
      <c r="K2357" s="6" t="s">
        <v>353</v>
      </c>
      <c r="L2357" s="6" t="s">
        <v>2987</v>
      </c>
      <c r="M2357" s="6"/>
      <c r="N2357" s="6" t="s">
        <v>2988</v>
      </c>
      <c r="O2357" s="6" t="str">
        <f>HYPERLINK("https://ceds.ed.gov/cedselementdetails.aspx?termid=5144")</f>
        <v>https://ceds.ed.gov/cedselementdetails.aspx?termid=5144</v>
      </c>
      <c r="P2357" s="6" t="str">
        <f>HYPERLINK("https://ceds.ed.gov/elementComment.aspx?elementName=Hispanic or Latino Ethnicity &amp;elementID=5144", "Click here to submit comment")</f>
        <v>Click here to submit comment</v>
      </c>
    </row>
    <row r="2358" spans="1:16" ht="270">
      <c r="A2358" s="6" t="s">
        <v>6889</v>
      </c>
      <c r="B2358" s="6" t="s">
        <v>6890</v>
      </c>
      <c r="C2358" s="6" t="s">
        <v>6701</v>
      </c>
      <c r="D2358" s="6" t="s">
        <v>1599</v>
      </c>
      <c r="E2358" s="6" t="s">
        <v>1600</v>
      </c>
      <c r="F2358" s="6" t="s">
        <v>5963</v>
      </c>
      <c r="G2358" s="6" t="s">
        <v>218</v>
      </c>
      <c r="H2358" s="6"/>
      <c r="I2358" s="6"/>
      <c r="J2358" s="6"/>
      <c r="K2358" s="6"/>
      <c r="L2358" s="6" t="s">
        <v>1601</v>
      </c>
      <c r="M2358" s="6" t="s">
        <v>1602</v>
      </c>
      <c r="N2358" s="6" t="s">
        <v>1603</v>
      </c>
      <c r="O2358" s="6" t="str">
        <f>HYPERLINK("https://ceds.ed.gov/cedselementdetails.aspx?termid=5084")</f>
        <v>https://ceds.ed.gov/cedselementdetails.aspx?termid=5084</v>
      </c>
      <c r="P2358" s="6" t="str">
        <f>HYPERLINK("https://ceds.ed.gov/elementComment.aspx?elementName=Career-Technical-Adult Education Displaced Homemaker Indicator &amp;elementID=5084", "Click here to submit comment")</f>
        <v>Click here to submit comment</v>
      </c>
    </row>
    <row r="2359" spans="1:16" ht="45">
      <c r="A2359" s="6" t="s">
        <v>6889</v>
      </c>
      <c r="B2359" s="6" t="s">
        <v>6890</v>
      </c>
      <c r="C2359" s="6" t="s">
        <v>6701</v>
      </c>
      <c r="D2359" s="6" t="s">
        <v>2208</v>
      </c>
      <c r="E2359" s="6" t="s">
        <v>2209</v>
      </c>
      <c r="F2359" s="6" t="s">
        <v>5963</v>
      </c>
      <c r="G2359" s="6" t="s">
        <v>218</v>
      </c>
      <c r="H2359" s="6" t="s">
        <v>3</v>
      </c>
      <c r="I2359" s="6"/>
      <c r="J2359" s="6"/>
      <c r="K2359" s="6"/>
      <c r="L2359" s="6" t="s">
        <v>2210</v>
      </c>
      <c r="M2359" s="6"/>
      <c r="N2359" s="6" t="s">
        <v>2211</v>
      </c>
      <c r="O2359" s="6" t="str">
        <f>HYPERLINK("https://ceds.ed.gov/cedselementdetails.aspx?termid=5569")</f>
        <v>https://ceds.ed.gov/cedselementdetails.aspx?termid=5569</v>
      </c>
      <c r="P2359" s="6" t="str">
        <f>HYPERLINK("https://ceds.ed.gov/elementComment.aspx?elementName=Disability Status &amp;elementID=5569", "Click here to submit comment")</f>
        <v>Click here to submit comment</v>
      </c>
    </row>
    <row r="2360" spans="1:16" ht="135">
      <c r="A2360" s="6" t="s">
        <v>6889</v>
      </c>
      <c r="B2360" s="6" t="s">
        <v>6890</v>
      </c>
      <c r="C2360" s="6" t="s">
        <v>6701</v>
      </c>
      <c r="D2360" s="6" t="s">
        <v>2246</v>
      </c>
      <c r="E2360" s="6" t="s">
        <v>2247</v>
      </c>
      <c r="F2360" s="6" t="s">
        <v>5963</v>
      </c>
      <c r="G2360" s="6"/>
      <c r="H2360" s="6"/>
      <c r="I2360" s="6"/>
      <c r="J2360" s="6"/>
      <c r="K2360" s="6"/>
      <c r="L2360" s="6" t="s">
        <v>2249</v>
      </c>
      <c r="M2360" s="6"/>
      <c r="N2360" s="6" t="s">
        <v>2250</v>
      </c>
      <c r="O2360" s="6" t="str">
        <f>HYPERLINK("https://ceds.ed.gov/cedselementdetails.aspx?termid=5759")</f>
        <v>https://ceds.ed.gov/cedselementdetails.aspx?termid=5759</v>
      </c>
      <c r="P2360" s="6" t="str">
        <f>HYPERLINK("https://ceds.ed.gov/elementComment.aspx?elementName=Dislocated Worker Status &amp;elementID=5759", "Click here to submit comment")</f>
        <v>Click here to submit comment</v>
      </c>
    </row>
    <row r="2361" spans="1:16" ht="285">
      <c r="A2361" s="6" t="s">
        <v>6889</v>
      </c>
      <c r="B2361" s="6" t="s">
        <v>6890</v>
      </c>
      <c r="C2361" s="6" t="s">
        <v>6701</v>
      </c>
      <c r="D2361" s="6" t="s">
        <v>3040</v>
      </c>
      <c r="E2361" s="6" t="s">
        <v>3041</v>
      </c>
      <c r="F2361" s="6" t="s">
        <v>5963</v>
      </c>
      <c r="G2361" s="6" t="s">
        <v>6200</v>
      </c>
      <c r="H2361" s="6" t="s">
        <v>3</v>
      </c>
      <c r="I2361" s="6"/>
      <c r="J2361" s="6"/>
      <c r="K2361" s="6"/>
      <c r="L2361" s="6" t="s">
        <v>3042</v>
      </c>
      <c r="M2361" s="6"/>
      <c r="N2361" s="6" t="s">
        <v>3043</v>
      </c>
      <c r="O2361" s="6" t="str">
        <f>HYPERLINK("https://ceds.ed.gov/cedselementdetails.aspx?termid=5151")</f>
        <v>https://ceds.ed.gov/cedselementdetails.aspx?termid=5151</v>
      </c>
      <c r="P2361" s="6" t="str">
        <f>HYPERLINK("https://ceds.ed.gov/elementComment.aspx?elementName=IDEA Indicator &amp;elementID=5151", "Click here to submit comment")</f>
        <v>Click here to submit comment</v>
      </c>
    </row>
    <row r="2362" spans="1:16" ht="180">
      <c r="A2362" s="6" t="s">
        <v>6889</v>
      </c>
      <c r="B2362" s="6" t="s">
        <v>6890</v>
      </c>
      <c r="C2362" s="6" t="s">
        <v>6701</v>
      </c>
      <c r="D2362" s="6" t="s">
        <v>4056</v>
      </c>
      <c r="E2362" s="6" t="s">
        <v>4057</v>
      </c>
      <c r="F2362" s="6" t="s">
        <v>5963</v>
      </c>
      <c r="G2362" s="6"/>
      <c r="H2362" s="6"/>
      <c r="I2362" s="6"/>
      <c r="J2362" s="6"/>
      <c r="K2362" s="6"/>
      <c r="L2362" s="6" t="s">
        <v>4058</v>
      </c>
      <c r="M2362" s="6"/>
      <c r="N2362" s="6" t="s">
        <v>4059</v>
      </c>
      <c r="O2362" s="6" t="str">
        <f>HYPERLINK("https://ceds.ed.gov/cedselementdetails.aspx?termid=5758")</f>
        <v>https://ceds.ed.gov/cedselementdetails.aspx?termid=5758</v>
      </c>
      <c r="P2362" s="6" t="str">
        <f>HYPERLINK("https://ceds.ed.gov/elementComment.aspx?elementName=Low-income Status &amp;elementID=5758", "Click here to submit comment")</f>
        <v>Click here to submit comment</v>
      </c>
    </row>
    <row r="2363" spans="1:16" ht="75">
      <c r="A2363" s="6" t="s">
        <v>6889</v>
      </c>
      <c r="B2363" s="6" t="s">
        <v>6890</v>
      </c>
      <c r="C2363" s="6" t="s">
        <v>6701</v>
      </c>
      <c r="D2363" s="6" t="s">
        <v>4883</v>
      </c>
      <c r="E2363" s="6" t="s">
        <v>4884</v>
      </c>
      <c r="F2363" s="6" t="s">
        <v>5963</v>
      </c>
      <c r="G2363" s="6"/>
      <c r="H2363" s="6"/>
      <c r="I2363" s="6"/>
      <c r="J2363" s="6"/>
      <c r="K2363" s="6"/>
      <c r="L2363" s="6" t="s">
        <v>4885</v>
      </c>
      <c r="M2363" s="6"/>
      <c r="N2363" s="6" t="s">
        <v>4886</v>
      </c>
      <c r="O2363" s="6" t="str">
        <f>HYPERLINK("https://ceds.ed.gov/cedselementdetails.aspx?termid=5760")</f>
        <v>https://ceds.ed.gov/cedselementdetails.aspx?termid=5760</v>
      </c>
      <c r="P2363" s="6" t="str">
        <f>HYPERLINK("https://ceds.ed.gov/elementComment.aspx?elementName=Public Assistance Status &amp;elementID=5760", "Click here to submit comment")</f>
        <v>Click here to submit comment</v>
      </c>
    </row>
    <row r="2364" spans="1:16" ht="90">
      <c r="A2364" s="6" t="s">
        <v>6889</v>
      </c>
      <c r="B2364" s="6" t="s">
        <v>6890</v>
      </c>
      <c r="C2364" s="6" t="s">
        <v>6701</v>
      </c>
      <c r="D2364" s="6" t="s">
        <v>5131</v>
      </c>
      <c r="E2364" s="6" t="s">
        <v>5132</v>
      </c>
      <c r="F2364" s="6" t="s">
        <v>5963</v>
      </c>
      <c r="G2364" s="6"/>
      <c r="H2364" s="6"/>
      <c r="I2364" s="6"/>
      <c r="J2364" s="6"/>
      <c r="K2364" s="6"/>
      <c r="L2364" s="6" t="s">
        <v>5133</v>
      </c>
      <c r="M2364" s="6"/>
      <c r="N2364" s="6" t="s">
        <v>5134</v>
      </c>
      <c r="O2364" s="6" t="str">
        <f>HYPERLINK("https://ceds.ed.gov/cedselementdetails.aspx?termid=5761")</f>
        <v>https://ceds.ed.gov/cedselementdetails.aspx?termid=5761</v>
      </c>
      <c r="P2364" s="6" t="str">
        <f>HYPERLINK("https://ceds.ed.gov/elementComment.aspx?elementName=Rural Residency Status &amp;elementID=5761", "Click here to submit comment")</f>
        <v>Click here to submit comment</v>
      </c>
    </row>
    <row r="2365" spans="1:16" ht="105">
      <c r="A2365" s="6" t="s">
        <v>6889</v>
      </c>
      <c r="B2365" s="6" t="s">
        <v>6890</v>
      </c>
      <c r="C2365" s="6" t="s">
        <v>6701</v>
      </c>
      <c r="D2365" s="6" t="s">
        <v>5370</v>
      </c>
      <c r="E2365" s="6" t="s">
        <v>5371</v>
      </c>
      <c r="F2365" s="6" t="s">
        <v>5963</v>
      </c>
      <c r="G2365" s="6" t="s">
        <v>6101</v>
      </c>
      <c r="H2365" s="6" t="s">
        <v>3</v>
      </c>
      <c r="I2365" s="6"/>
      <c r="J2365" s="6"/>
      <c r="K2365" s="6"/>
      <c r="L2365" s="6" t="s">
        <v>5372</v>
      </c>
      <c r="M2365" s="6"/>
      <c r="N2365" s="6" t="s">
        <v>5373</v>
      </c>
      <c r="O2365" s="6" t="str">
        <f>HYPERLINK("https://ceds.ed.gov/cedselementdetails.aspx?termid=5573")</f>
        <v>https://ceds.ed.gov/cedselementdetails.aspx?termid=5573</v>
      </c>
      <c r="P2365" s="6" t="str">
        <f>HYPERLINK("https://ceds.ed.gov/elementComment.aspx?elementName=Single Parent Or Single Pregnant Woman Status &amp;elementID=5573", "Click here to submit comment")</f>
        <v>Click here to submit comment</v>
      </c>
    </row>
    <row r="2366" spans="1:16" ht="225">
      <c r="A2366" s="6" t="s">
        <v>6889</v>
      </c>
      <c r="B2366" s="6" t="s">
        <v>6890</v>
      </c>
      <c r="C2366" s="6" t="s">
        <v>6770</v>
      </c>
      <c r="D2366" s="6" t="s">
        <v>2487</v>
      </c>
      <c r="E2366" s="6" t="s">
        <v>2488</v>
      </c>
      <c r="F2366" s="6" t="s">
        <v>6150</v>
      </c>
      <c r="G2366" s="6" t="s">
        <v>2476</v>
      </c>
      <c r="H2366" s="6" t="s">
        <v>66</v>
      </c>
      <c r="I2366" s="6"/>
      <c r="J2366" s="6" t="s">
        <v>2477</v>
      </c>
      <c r="K2366" s="6" t="s">
        <v>2489</v>
      </c>
      <c r="L2366" s="6" t="s">
        <v>2490</v>
      </c>
      <c r="M2366" s="6"/>
      <c r="N2366" s="6" t="s">
        <v>2491</v>
      </c>
      <c r="O2366" s="6" t="str">
        <f>HYPERLINK("https://ceds.ed.gov/cedselementdetails.aspx?termid=5989")</f>
        <v>https://ceds.ed.gov/cedselementdetails.aspx?termid=5989</v>
      </c>
      <c r="P2366" s="6" t="str">
        <f>HYPERLINK("https://ceds.ed.gov/elementComment.aspx?elementName=Employed While Enrolled &amp;elementID=5989", "Click here to submit comment")</f>
        <v>Click here to submit comment</v>
      </c>
    </row>
    <row r="2367" spans="1:16" ht="60">
      <c r="A2367" s="6" t="s">
        <v>6889</v>
      </c>
      <c r="B2367" s="6" t="s">
        <v>6890</v>
      </c>
      <c r="C2367" s="6" t="s">
        <v>6770</v>
      </c>
      <c r="D2367" s="6" t="s">
        <v>2502</v>
      </c>
      <c r="E2367" s="6" t="s">
        <v>2503</v>
      </c>
      <c r="F2367" s="6" t="s">
        <v>2504</v>
      </c>
      <c r="G2367" s="6"/>
      <c r="H2367" s="6"/>
      <c r="I2367" s="6" t="s">
        <v>2505</v>
      </c>
      <c r="J2367" s="6"/>
      <c r="K2367" s="6"/>
      <c r="L2367" s="6" t="s">
        <v>2506</v>
      </c>
      <c r="M2367" s="6"/>
      <c r="N2367" s="6" t="s">
        <v>2507</v>
      </c>
      <c r="O2367" s="6" t="str">
        <f>HYPERLINK("https://ceds.ed.gov/cedselementdetails.aspx?termid=6070")</f>
        <v>https://ceds.ed.gov/cedselementdetails.aspx?termid=6070</v>
      </c>
      <c r="P2367" s="6" t="str">
        <f>HYPERLINK("https://ceds.ed.gov/elementComment.aspx?elementName=Employment NAICS Code &amp;elementID=6070", "Click here to submit comment")</f>
        <v>Click here to submit comment</v>
      </c>
    </row>
    <row r="2368" spans="1:16" ht="270">
      <c r="A2368" s="6" t="s">
        <v>6889</v>
      </c>
      <c r="B2368" s="6" t="s">
        <v>6890</v>
      </c>
      <c r="C2368" s="6" t="s">
        <v>6770</v>
      </c>
      <c r="D2368" s="6" t="s">
        <v>2474</v>
      </c>
      <c r="E2368" s="6" t="s">
        <v>2475</v>
      </c>
      <c r="F2368" s="6" t="s">
        <v>6150</v>
      </c>
      <c r="G2368" s="6" t="s">
        <v>2476</v>
      </c>
      <c r="H2368" s="6" t="s">
        <v>66</v>
      </c>
      <c r="I2368" s="6"/>
      <c r="J2368" s="6" t="s">
        <v>2477</v>
      </c>
      <c r="K2368" s="6" t="s">
        <v>2478</v>
      </c>
      <c r="L2368" s="6" t="s">
        <v>2479</v>
      </c>
      <c r="M2368" s="6"/>
      <c r="N2368" s="6" t="s">
        <v>2480</v>
      </c>
      <c r="O2368" s="6" t="str">
        <f>HYPERLINK("https://ceds.ed.gov/cedselementdetails.aspx?termid=5990")</f>
        <v>https://ceds.ed.gov/cedselementdetails.aspx?termid=5990</v>
      </c>
      <c r="P2368" s="6" t="str">
        <f>HYPERLINK("https://ceds.ed.gov/elementComment.aspx?elementName=Employed After Exit &amp;elementID=5990", "Click here to submit comment")</f>
        <v>Click here to submit comment</v>
      </c>
    </row>
    <row r="2369" spans="1:16" ht="60">
      <c r="A2369" s="6" t="s">
        <v>6889</v>
      </c>
      <c r="B2369" s="6" t="s">
        <v>6890</v>
      </c>
      <c r="C2369" s="6" t="s">
        <v>6770</v>
      </c>
      <c r="D2369" s="6" t="s">
        <v>2492</v>
      </c>
      <c r="E2369" s="6" t="s">
        <v>2493</v>
      </c>
      <c r="F2369" s="6" t="s">
        <v>13</v>
      </c>
      <c r="G2369" s="6" t="s">
        <v>202</v>
      </c>
      <c r="H2369" s="6" t="s">
        <v>3</v>
      </c>
      <c r="I2369" s="6" t="s">
        <v>73</v>
      </c>
      <c r="J2369" s="6"/>
      <c r="K2369" s="6"/>
      <c r="L2369" s="6" t="s">
        <v>2494</v>
      </c>
      <c r="M2369" s="6"/>
      <c r="N2369" s="6" t="s">
        <v>2495</v>
      </c>
      <c r="O2369" s="6" t="str">
        <f>HYPERLINK("https://ceds.ed.gov/cedselementdetails.aspx?termid=5794")</f>
        <v>https://ceds.ed.gov/cedselementdetails.aspx?termid=5794</v>
      </c>
      <c r="P2369" s="6" t="str">
        <f>HYPERLINK("https://ceds.ed.gov/elementComment.aspx?elementName=Employment End Date &amp;elementID=5794", "Click here to submit comment")</f>
        <v>Click here to submit comment</v>
      </c>
    </row>
    <row r="2370" spans="1:16" ht="60">
      <c r="A2370" s="6" t="s">
        <v>6889</v>
      </c>
      <c r="B2370" s="6" t="s">
        <v>6890</v>
      </c>
      <c r="C2370" s="6" t="s">
        <v>6770</v>
      </c>
      <c r="D2370" s="6" t="s">
        <v>2534</v>
      </c>
      <c r="E2370" s="6" t="s">
        <v>2535</v>
      </c>
      <c r="F2370" s="6" t="s">
        <v>13</v>
      </c>
      <c r="G2370" s="6" t="s">
        <v>6154</v>
      </c>
      <c r="H2370" s="6" t="s">
        <v>3</v>
      </c>
      <c r="I2370" s="6" t="s">
        <v>73</v>
      </c>
      <c r="J2370" s="6"/>
      <c r="K2370" s="6"/>
      <c r="L2370" s="6" t="s">
        <v>2536</v>
      </c>
      <c r="M2370" s="6"/>
      <c r="N2370" s="6" t="s">
        <v>2537</v>
      </c>
      <c r="O2370" s="6" t="str">
        <f>HYPERLINK("https://ceds.ed.gov/cedselementdetails.aspx?termid=5345")</f>
        <v>https://ceds.ed.gov/cedselementdetails.aspx?termid=5345</v>
      </c>
      <c r="P2370" s="6" t="str">
        <f>HYPERLINK("https://ceds.ed.gov/elementComment.aspx?elementName=Employment Start Date &amp;elementID=5345", "Click here to submit comment")</f>
        <v>Click here to submit comment</v>
      </c>
    </row>
    <row r="2371" spans="1:16" ht="105">
      <c r="A2371" s="6" t="s">
        <v>6889</v>
      </c>
      <c r="B2371" s="6" t="s">
        <v>6890</v>
      </c>
      <c r="C2371" s="6" t="s">
        <v>6886</v>
      </c>
      <c r="D2371" s="6" t="s">
        <v>246</v>
      </c>
      <c r="E2371" s="6" t="s">
        <v>247</v>
      </c>
      <c r="F2371" s="7" t="s">
        <v>6361</v>
      </c>
      <c r="G2371" s="6"/>
      <c r="H2371" s="6" t="s">
        <v>66</v>
      </c>
      <c r="I2371" s="6"/>
      <c r="J2371" s="6" t="s">
        <v>193</v>
      </c>
      <c r="K2371" s="6"/>
      <c r="L2371" s="6" t="s">
        <v>249</v>
      </c>
      <c r="M2371" s="6"/>
      <c r="N2371" s="6" t="s">
        <v>250</v>
      </c>
      <c r="O2371" s="6" t="str">
        <f>HYPERLINK("https://ceds.ed.gov/cedselementdetails.aspx?termid=5765")</f>
        <v>https://ceds.ed.gov/cedselementdetails.aspx?termid=5765</v>
      </c>
      <c r="P2371" s="6" t="str">
        <f>HYPERLINK("https://ceds.ed.gov/elementComment.aspx?elementName=Adult Education Instructional Program Type &amp;elementID=5765", "Click here to submit comment")</f>
        <v>Click here to submit comment</v>
      </c>
    </row>
    <row r="2372" spans="1:16" ht="45">
      <c r="A2372" s="6" t="s">
        <v>6889</v>
      </c>
      <c r="B2372" s="6" t="s">
        <v>6890</v>
      </c>
      <c r="C2372" s="6" t="s">
        <v>6886</v>
      </c>
      <c r="D2372" s="6" t="s">
        <v>2550</v>
      </c>
      <c r="E2372" s="6" t="s">
        <v>2551</v>
      </c>
      <c r="F2372" s="6" t="s">
        <v>13</v>
      </c>
      <c r="G2372" s="6" t="s">
        <v>5988</v>
      </c>
      <c r="H2372" s="6"/>
      <c r="I2372" s="6" t="s">
        <v>73</v>
      </c>
      <c r="J2372" s="6"/>
      <c r="K2372" s="6"/>
      <c r="L2372" s="6" t="s">
        <v>2552</v>
      </c>
      <c r="M2372" s="6"/>
      <c r="N2372" s="6" t="s">
        <v>2553</v>
      </c>
      <c r="O2372" s="6" t="str">
        <f>HYPERLINK("https://ceds.ed.gov/cedselementdetails.aspx?termid=5324")</f>
        <v>https://ceds.ed.gov/cedselementdetails.aspx?termid=5324</v>
      </c>
      <c r="P2372" s="6" t="str">
        <f>HYPERLINK("https://ceds.ed.gov/elementComment.aspx?elementName=Enrollment Date &amp;elementID=5324", "Click here to submit comment")</f>
        <v>Click here to submit comment</v>
      </c>
    </row>
    <row r="2373" spans="1:16" ht="60">
      <c r="A2373" s="6" t="s">
        <v>6889</v>
      </c>
      <c r="B2373" s="6" t="s">
        <v>6890</v>
      </c>
      <c r="C2373" s="6" t="s">
        <v>6886</v>
      </c>
      <c r="D2373" s="6" t="s">
        <v>2578</v>
      </c>
      <c r="E2373" s="6" t="s">
        <v>2579</v>
      </c>
      <c r="F2373" s="6" t="s">
        <v>13</v>
      </c>
      <c r="G2373" s="6" t="s">
        <v>24</v>
      </c>
      <c r="H2373" s="6"/>
      <c r="I2373" s="6" t="s">
        <v>73</v>
      </c>
      <c r="J2373" s="6"/>
      <c r="K2373" s="6"/>
      <c r="L2373" s="6" t="s">
        <v>2580</v>
      </c>
      <c r="M2373" s="6"/>
      <c r="N2373" s="6" t="s">
        <v>2581</v>
      </c>
      <c r="O2373" s="6" t="str">
        <f>HYPERLINK("https://ceds.ed.gov/cedselementdetails.aspx?termid=5107")</f>
        <v>https://ceds.ed.gov/cedselementdetails.aspx?termid=5107</v>
      </c>
      <c r="P2373" s="6" t="str">
        <f>HYPERLINK("https://ceds.ed.gov/elementComment.aspx?elementName=Exit Date &amp;elementID=5107", "Click here to submit comment")</f>
        <v>Click here to submit comment</v>
      </c>
    </row>
    <row r="2374" spans="1:16" ht="255">
      <c r="A2374" s="6" t="s">
        <v>6889</v>
      </c>
      <c r="B2374" s="6" t="s">
        <v>6890</v>
      </c>
      <c r="C2374" s="6" t="s">
        <v>6886</v>
      </c>
      <c r="D2374" s="6" t="s">
        <v>272</v>
      </c>
      <c r="E2374" s="6" t="s">
        <v>273</v>
      </c>
      <c r="F2374" s="7" t="s">
        <v>6365</v>
      </c>
      <c r="G2374" s="6"/>
      <c r="H2374" s="6" t="s">
        <v>66</v>
      </c>
      <c r="I2374" s="6"/>
      <c r="J2374" s="6" t="s">
        <v>274</v>
      </c>
      <c r="K2374" s="6" t="s">
        <v>275</v>
      </c>
      <c r="L2374" s="6" t="s">
        <v>276</v>
      </c>
      <c r="M2374" s="6"/>
      <c r="N2374" s="6" t="s">
        <v>277</v>
      </c>
      <c r="O2374" s="6" t="str">
        <f>HYPERLINK("https://ceds.ed.gov/cedselementdetails.aspx?termid=5766")</f>
        <v>https://ceds.ed.gov/cedselementdetails.aspx?termid=5766</v>
      </c>
      <c r="P2374" s="6" t="str">
        <f>HYPERLINK("https://ceds.ed.gov/elementComment.aspx?elementName=Adult Education Special Program Type &amp;elementID=5766", "Click here to submit comment")</f>
        <v>Click here to submit comment</v>
      </c>
    </row>
    <row r="2375" spans="1:16" ht="390">
      <c r="A2375" s="6" t="s">
        <v>6889</v>
      </c>
      <c r="B2375" s="6" t="s">
        <v>6890</v>
      </c>
      <c r="C2375" s="6" t="s">
        <v>6886</v>
      </c>
      <c r="D2375" s="6" t="s">
        <v>288</v>
      </c>
      <c r="E2375" s="6" t="s">
        <v>289</v>
      </c>
      <c r="F2375" s="7" t="s">
        <v>6368</v>
      </c>
      <c r="G2375" s="6"/>
      <c r="H2375" s="6"/>
      <c r="I2375" s="6"/>
      <c r="J2375" s="6"/>
      <c r="K2375" s="6"/>
      <c r="L2375" s="6" t="s">
        <v>290</v>
      </c>
      <c r="M2375" s="6"/>
      <c r="N2375" s="6" t="s">
        <v>291</v>
      </c>
      <c r="O2375" s="6" t="str">
        <f>HYPERLINK("https://ceds.ed.gov/cedselementdetails.aspx?termid=5763")</f>
        <v>https://ceds.ed.gov/cedselementdetails.aspx?termid=5763</v>
      </c>
      <c r="P2375" s="6" t="str">
        <f>HYPERLINK("https://ceds.ed.gov/elementComment.aspx?elementName=Adult Educational Functioning Level at Intake &amp;elementID=5763", "Click here to submit comment")</f>
        <v>Click here to submit comment</v>
      </c>
    </row>
    <row r="2376" spans="1:16" ht="390">
      <c r="A2376" s="6" t="s">
        <v>6889</v>
      </c>
      <c r="B2376" s="6" t="s">
        <v>6890</v>
      </c>
      <c r="C2376" s="6" t="s">
        <v>6886</v>
      </c>
      <c r="D2376" s="6" t="s">
        <v>292</v>
      </c>
      <c r="E2376" s="6" t="s">
        <v>293</v>
      </c>
      <c r="F2376" s="7" t="s">
        <v>6368</v>
      </c>
      <c r="G2376" s="6"/>
      <c r="H2376" s="6"/>
      <c r="I2376" s="6"/>
      <c r="J2376" s="6"/>
      <c r="K2376" s="6"/>
      <c r="L2376" s="6" t="s">
        <v>294</v>
      </c>
      <c r="M2376" s="6"/>
      <c r="N2376" s="6" t="s">
        <v>295</v>
      </c>
      <c r="O2376" s="6" t="str">
        <f>HYPERLINK("https://ceds.ed.gov/cedselementdetails.aspx?termid=5764")</f>
        <v>https://ceds.ed.gov/cedselementdetails.aspx?termid=5764</v>
      </c>
      <c r="P2376" s="6" t="str">
        <f>HYPERLINK("https://ceds.ed.gov/elementComment.aspx?elementName=Adult Educational Functioning Level at Posttest &amp;elementID=5764", "Click here to submit comment")</f>
        <v>Click here to submit comment</v>
      </c>
    </row>
    <row r="2377" spans="1:16" ht="255">
      <c r="A2377" s="6" t="s">
        <v>6889</v>
      </c>
      <c r="B2377" s="6" t="s">
        <v>6890</v>
      </c>
      <c r="C2377" s="6" t="s">
        <v>6886</v>
      </c>
      <c r="D2377" s="6" t="s">
        <v>2838</v>
      </c>
      <c r="E2377" s="6" t="s">
        <v>2839</v>
      </c>
      <c r="F2377" s="7" t="s">
        <v>6519</v>
      </c>
      <c r="G2377" s="6"/>
      <c r="H2377" s="6"/>
      <c r="I2377" s="6"/>
      <c r="J2377" s="6"/>
      <c r="K2377" s="6"/>
      <c r="L2377" s="6" t="s">
        <v>2840</v>
      </c>
      <c r="M2377" s="6"/>
      <c r="N2377" s="6" t="s">
        <v>2841</v>
      </c>
      <c r="O2377" s="6" t="str">
        <f>HYPERLINK("https://ceds.ed.gov/cedselementdetails.aspx?termid=5767")</f>
        <v>https://ceds.ed.gov/cedselementdetails.aspx?termid=5767</v>
      </c>
      <c r="P2377" s="6" t="str">
        <f>HYPERLINK("https://ceds.ed.gov/elementComment.aspx?elementName=Goals for Attending Adult Education &amp;elementID=5767", "Click here to submit comment")</f>
        <v>Click here to submit comment</v>
      </c>
    </row>
    <row r="2378" spans="1:16" ht="120">
      <c r="A2378" s="6" t="s">
        <v>6889</v>
      </c>
      <c r="B2378" s="6" t="s">
        <v>6890</v>
      </c>
      <c r="C2378" s="6" t="s">
        <v>6886</v>
      </c>
      <c r="D2378" s="6" t="s">
        <v>251</v>
      </c>
      <c r="E2378" s="6" t="s">
        <v>252</v>
      </c>
      <c r="F2378" s="7" t="s">
        <v>6362</v>
      </c>
      <c r="G2378" s="6"/>
      <c r="H2378" s="6"/>
      <c r="I2378" s="6"/>
      <c r="J2378" s="6"/>
      <c r="K2378" s="6"/>
      <c r="L2378" s="6" t="s">
        <v>253</v>
      </c>
      <c r="M2378" s="6"/>
      <c r="N2378" s="6" t="s">
        <v>254</v>
      </c>
      <c r="O2378" s="6" t="str">
        <f>HYPERLINK("https://ceds.ed.gov/cedselementdetails.aspx?termid=5768")</f>
        <v>https://ceds.ed.gov/cedselementdetails.aspx?termid=5768</v>
      </c>
      <c r="P2378" s="6" t="str">
        <f>HYPERLINK("https://ceds.ed.gov/elementComment.aspx?elementName=Adult Education Postsecondary Transition Action &amp;elementID=5768", "Click here to submit comment")</f>
        <v>Click here to submit comment</v>
      </c>
    </row>
    <row r="2379" spans="1:16" ht="75">
      <c r="A2379" s="6" t="s">
        <v>6889</v>
      </c>
      <c r="B2379" s="6" t="s">
        <v>6890</v>
      </c>
      <c r="C2379" s="6" t="s">
        <v>6886</v>
      </c>
      <c r="D2379" s="6" t="s">
        <v>255</v>
      </c>
      <c r="E2379" s="6" t="s">
        <v>256</v>
      </c>
      <c r="F2379" s="6" t="s">
        <v>13</v>
      </c>
      <c r="G2379" s="6"/>
      <c r="H2379" s="6"/>
      <c r="I2379" s="6" t="s">
        <v>73</v>
      </c>
      <c r="J2379" s="6"/>
      <c r="K2379" s="6"/>
      <c r="L2379" s="6" t="s">
        <v>257</v>
      </c>
      <c r="M2379" s="6"/>
      <c r="N2379" s="6" t="s">
        <v>258</v>
      </c>
      <c r="O2379" s="6" t="str">
        <f>HYPERLINK("https://ceds.ed.gov/cedselementdetails.aspx?termid=5769")</f>
        <v>https://ceds.ed.gov/cedselementdetails.aspx?termid=5769</v>
      </c>
      <c r="P2379" s="6" t="str">
        <f>HYPERLINK("https://ceds.ed.gov/elementComment.aspx?elementName=Adult Education Postsecondary Transition Date &amp;elementID=5769", "Click here to submit comment")</f>
        <v>Click here to submit comment</v>
      </c>
    </row>
    <row r="2380" spans="1:16" ht="45">
      <c r="A2380" s="6" t="s">
        <v>6889</v>
      </c>
      <c r="B2380" s="6" t="s">
        <v>6890</v>
      </c>
      <c r="C2380" s="6" t="s">
        <v>6886</v>
      </c>
      <c r="D2380" s="6" t="s">
        <v>4878</v>
      </c>
      <c r="E2380" s="6" t="s">
        <v>4879</v>
      </c>
      <c r="F2380" s="6" t="s">
        <v>13</v>
      </c>
      <c r="G2380" s="6"/>
      <c r="H2380" s="6"/>
      <c r="I2380" s="6" t="s">
        <v>4880</v>
      </c>
      <c r="J2380" s="6"/>
      <c r="K2380" s="6"/>
      <c r="L2380" s="6" t="s">
        <v>4881</v>
      </c>
      <c r="M2380" s="6"/>
      <c r="N2380" s="6" t="s">
        <v>4882</v>
      </c>
      <c r="O2380" s="6" t="str">
        <f>HYPERLINK("https://ceds.ed.gov/cedselementdetails.aspx?termid=5776")</f>
        <v>https://ceds.ed.gov/cedselementdetails.aspx?termid=5776</v>
      </c>
      <c r="P2380" s="6" t="str">
        <f>HYPERLINK("https://ceds.ed.gov/elementComment.aspx?elementName=Proxy Contact Hours &amp;elementID=5776", "Click here to submit comment")</f>
        <v>Click here to submit comment</v>
      </c>
    </row>
    <row r="2381" spans="1:16" ht="409.5">
      <c r="A2381" s="6" t="s">
        <v>6889</v>
      </c>
      <c r="B2381" s="6" t="s">
        <v>6890</v>
      </c>
      <c r="C2381" s="6" t="s">
        <v>6886</v>
      </c>
      <c r="D2381" s="6" t="s">
        <v>1577</v>
      </c>
      <c r="E2381" s="6" t="s">
        <v>1578</v>
      </c>
      <c r="F2381" s="7" t="s">
        <v>6415</v>
      </c>
      <c r="G2381" s="6"/>
      <c r="H2381" s="6" t="s">
        <v>54</v>
      </c>
      <c r="I2381" s="6"/>
      <c r="J2381" s="6"/>
      <c r="K2381" s="6" t="s">
        <v>1579</v>
      </c>
      <c r="L2381" s="6" t="s">
        <v>1580</v>
      </c>
      <c r="M2381" s="6"/>
      <c r="N2381" s="6" t="s">
        <v>1581</v>
      </c>
      <c r="O2381" s="6" t="str">
        <f>HYPERLINK("https://ceds.ed.gov/cedselementdetails.aspx?termid=6254")</f>
        <v>https://ceds.ed.gov/cedselementdetails.aspx?termid=6254</v>
      </c>
      <c r="P2381" s="6" t="str">
        <f>HYPERLINK("https://ceds.ed.gov/elementComment.aspx?elementName=Career Cluster &amp;elementID=6254", "Click here to submit comment")</f>
        <v>Click here to submit comment</v>
      </c>
    </row>
    <row r="2382" spans="1:16" ht="75">
      <c r="A2382" s="6" t="s">
        <v>6889</v>
      </c>
      <c r="B2382" s="6" t="s">
        <v>6890</v>
      </c>
      <c r="C2382" s="6" t="s">
        <v>6886</v>
      </c>
      <c r="D2382" s="6" t="s">
        <v>1590</v>
      </c>
      <c r="E2382" s="6" t="s">
        <v>1591</v>
      </c>
      <c r="F2382" s="6" t="s">
        <v>5963</v>
      </c>
      <c r="G2382" s="6"/>
      <c r="H2382" s="6" t="s">
        <v>54</v>
      </c>
      <c r="I2382" s="6"/>
      <c r="J2382" s="6"/>
      <c r="K2382" s="6"/>
      <c r="L2382" s="6" t="s">
        <v>1592</v>
      </c>
      <c r="M2382" s="6"/>
      <c r="N2382" s="6" t="s">
        <v>1593</v>
      </c>
      <c r="O2382" s="6" t="str">
        <f>HYPERLINK("https://ceds.ed.gov/cedselementdetails.aspx?termid=6257")</f>
        <v>https://ceds.ed.gov/cedselementdetails.aspx?termid=6257</v>
      </c>
      <c r="P2382" s="6" t="str">
        <f>HYPERLINK("https://ceds.ed.gov/elementComment.aspx?elementName=Career Pathways Program Participation Indicator &amp;elementID=6257", "Click here to submit comment")</f>
        <v>Click here to submit comment</v>
      </c>
    </row>
    <row r="2383" spans="1:16" ht="150">
      <c r="A2383" s="6" t="s">
        <v>6889</v>
      </c>
      <c r="B2383" s="6" t="s">
        <v>6890</v>
      </c>
      <c r="C2383" s="6" t="s">
        <v>6886</v>
      </c>
      <c r="D2383" s="6" t="s">
        <v>1796</v>
      </c>
      <c r="E2383" s="6" t="s">
        <v>1797</v>
      </c>
      <c r="F2383" s="7" t="s">
        <v>6431</v>
      </c>
      <c r="G2383" s="6"/>
      <c r="H2383" s="6" t="s">
        <v>54</v>
      </c>
      <c r="I2383" s="6"/>
      <c r="J2383" s="6"/>
      <c r="K2383" s="6"/>
      <c r="L2383" s="6" t="s">
        <v>1798</v>
      </c>
      <c r="M2383" s="6"/>
      <c r="N2383" s="6" t="s">
        <v>1799</v>
      </c>
      <c r="O2383" s="6" t="str">
        <f>HYPERLINK("https://ceds.ed.gov/cedselementdetails.aspx?termid=6262")</f>
        <v>https://ceds.ed.gov/cedselementdetails.aspx?termid=6262</v>
      </c>
      <c r="P2383" s="6" t="str">
        <f>HYPERLINK("https://ceds.ed.gov/elementComment.aspx?elementName=Correctional Education Facility Type &amp;elementID=6262", "Click here to submit comment")</f>
        <v>Click here to submit comment</v>
      </c>
    </row>
    <row r="2384" spans="1:16" ht="75">
      <c r="A2384" s="6" t="s">
        <v>6889</v>
      </c>
      <c r="B2384" s="6" t="s">
        <v>6890</v>
      </c>
      <c r="C2384" s="6" t="s">
        <v>6886</v>
      </c>
      <c r="D2384" s="6" t="s">
        <v>1800</v>
      </c>
      <c r="E2384" s="6" t="s">
        <v>1801</v>
      </c>
      <c r="F2384" s="6" t="s">
        <v>5963</v>
      </c>
      <c r="G2384" s="6"/>
      <c r="H2384" s="6" t="s">
        <v>54</v>
      </c>
      <c r="I2384" s="6"/>
      <c r="J2384" s="6"/>
      <c r="K2384" s="6"/>
      <c r="L2384" s="6" t="s">
        <v>1802</v>
      </c>
      <c r="M2384" s="6"/>
      <c r="N2384" s="6" t="s">
        <v>1803</v>
      </c>
      <c r="O2384" s="6" t="str">
        <f>HYPERLINK("https://ceds.ed.gov/cedselementdetails.aspx?termid=6263")</f>
        <v>https://ceds.ed.gov/cedselementdetails.aspx?termid=6263</v>
      </c>
      <c r="P2384" s="6" t="str">
        <f>HYPERLINK("https://ceds.ed.gov/elementComment.aspx?elementName=Correctional Education Reentry Services Participation Indicator &amp;elementID=6263", "Click here to submit comment")</f>
        <v>Click here to submit comment</v>
      </c>
    </row>
    <row r="2385" spans="1:16" ht="345">
      <c r="A2385" s="6" t="s">
        <v>6889</v>
      </c>
      <c r="B2385" s="6" t="s">
        <v>6890</v>
      </c>
      <c r="C2385" s="6" t="s">
        <v>6886</v>
      </c>
      <c r="D2385" s="6" t="s">
        <v>2570</v>
      </c>
      <c r="E2385" s="6" t="s">
        <v>2571</v>
      </c>
      <c r="F2385" s="7" t="s">
        <v>6499</v>
      </c>
      <c r="G2385" s="6" t="s">
        <v>6084</v>
      </c>
      <c r="H2385" s="6" t="s">
        <v>3</v>
      </c>
      <c r="I2385" s="6"/>
      <c r="J2385" s="6"/>
      <c r="K2385" s="6"/>
      <c r="L2385" s="6" t="s">
        <v>2572</v>
      </c>
      <c r="M2385" s="6"/>
      <c r="N2385" s="6" t="s">
        <v>2573</v>
      </c>
      <c r="O2385" s="6" t="str">
        <f>HYPERLINK("https://ceds.ed.gov/cedselementdetails.aspx?termid=5100")</f>
        <v>https://ceds.ed.gov/cedselementdetails.aspx?termid=5100</v>
      </c>
      <c r="P2385" s="6" t="str">
        <f>HYPERLINK("https://ceds.ed.gov/elementComment.aspx?elementName=Entry Grade Level &amp;elementID=5100", "Click here to submit comment")</f>
        <v>Click here to submit comment</v>
      </c>
    </row>
    <row r="2386" spans="1:16" ht="345">
      <c r="A2386" s="6" t="s">
        <v>6889</v>
      </c>
      <c r="B2386" s="6" t="s">
        <v>6890</v>
      </c>
      <c r="C2386" s="6" t="s">
        <v>6886</v>
      </c>
      <c r="D2386" s="6" t="s">
        <v>2582</v>
      </c>
      <c r="E2386" s="6" t="s">
        <v>2583</v>
      </c>
      <c r="F2386" s="7" t="s">
        <v>6499</v>
      </c>
      <c r="G2386" s="6"/>
      <c r="H2386" s="6" t="s">
        <v>3</v>
      </c>
      <c r="I2386" s="6"/>
      <c r="J2386" s="6"/>
      <c r="K2386" s="6"/>
      <c r="L2386" s="6" t="s">
        <v>2584</v>
      </c>
      <c r="M2386" s="6"/>
      <c r="N2386" s="6" t="s">
        <v>2585</v>
      </c>
      <c r="O2386" s="6" t="str">
        <f>HYPERLINK("https://ceds.ed.gov/cedselementdetails.aspx?termid=6177")</f>
        <v>https://ceds.ed.gov/cedselementdetails.aspx?termid=6177</v>
      </c>
      <c r="P2386" s="6" t="str">
        <f>HYPERLINK("https://ceds.ed.gov/elementComment.aspx?elementName=Exit Grade Level &amp;elementID=6177", "Click here to submit comment")</f>
        <v>Click here to submit comment</v>
      </c>
    </row>
    <row r="2387" spans="1:16" ht="45">
      <c r="A2387" s="6" t="s">
        <v>6889</v>
      </c>
      <c r="B2387" s="6" t="s">
        <v>6890</v>
      </c>
      <c r="C2387" s="6" t="s">
        <v>6886</v>
      </c>
      <c r="D2387" s="6" t="s">
        <v>3310</v>
      </c>
      <c r="E2387" s="6" t="s">
        <v>3311</v>
      </c>
      <c r="F2387" s="6" t="s">
        <v>13</v>
      </c>
      <c r="G2387" s="6" t="s">
        <v>42</v>
      </c>
      <c r="H2387" s="6" t="s">
        <v>3</v>
      </c>
      <c r="I2387" s="6" t="s">
        <v>1461</v>
      </c>
      <c r="J2387" s="6"/>
      <c r="K2387" s="6"/>
      <c r="L2387" s="6" t="s">
        <v>3312</v>
      </c>
      <c r="M2387" s="6"/>
      <c r="N2387" s="6" t="s">
        <v>3313</v>
      </c>
      <c r="O2387" s="6" t="str">
        <f>HYPERLINK("https://ceds.ed.gov/cedselementdetails.aspx?termid=5361")</f>
        <v>https://ceds.ed.gov/cedselementdetails.aspx?termid=5361</v>
      </c>
      <c r="P2387" s="6" t="str">
        <f>HYPERLINK("https://ceds.ed.gov/elementComment.aspx?elementName=Instructional Activity Hours Completed &amp;elementID=5361", "Click here to submit comment")</f>
        <v>Click here to submit comment</v>
      </c>
    </row>
    <row r="2388" spans="1:16" ht="409.5">
      <c r="A2388" s="6" t="s">
        <v>6889</v>
      </c>
      <c r="B2388" s="6" t="s">
        <v>6890</v>
      </c>
      <c r="C2388" s="6" t="s">
        <v>6806</v>
      </c>
      <c r="D2388" s="6" t="s">
        <v>2970</v>
      </c>
      <c r="E2388" s="6" t="s">
        <v>2971</v>
      </c>
      <c r="F2388" s="7" t="s">
        <v>6531</v>
      </c>
      <c r="G2388" s="6" t="s">
        <v>6195</v>
      </c>
      <c r="H2388" s="6" t="s">
        <v>66</v>
      </c>
      <c r="I2388" s="6"/>
      <c r="J2388" s="6" t="s">
        <v>2972</v>
      </c>
      <c r="K2388" s="6"/>
      <c r="L2388" s="6" t="s">
        <v>2973</v>
      </c>
      <c r="M2388" s="6"/>
      <c r="N2388" s="6" t="s">
        <v>2974</v>
      </c>
      <c r="O2388" s="6" t="str">
        <f>HYPERLINK("https://ceds.ed.gov/cedselementdetails.aspx?termid=5141")</f>
        <v>https://ceds.ed.gov/cedselementdetails.aspx?termid=5141</v>
      </c>
      <c r="P2388" s="6" t="str">
        <f>HYPERLINK("https://ceds.ed.gov/elementComment.aspx?elementName=Highest Level of Education Completed &amp;elementID=5141", "Click here to submit comment")</f>
        <v>Click here to submit comment</v>
      </c>
    </row>
    <row r="2389" spans="1:16" ht="409.5">
      <c r="A2389" s="6" t="s">
        <v>6889</v>
      </c>
      <c r="B2389" s="6" t="s">
        <v>6890</v>
      </c>
      <c r="C2389" s="6" t="s">
        <v>6806</v>
      </c>
      <c r="D2389" s="6" t="s">
        <v>2949</v>
      </c>
      <c r="E2389" s="6" t="s">
        <v>2950</v>
      </c>
      <c r="F2389" s="7" t="s">
        <v>6528</v>
      </c>
      <c r="G2389" s="6" t="s">
        <v>6191</v>
      </c>
      <c r="H2389" s="6"/>
      <c r="I2389" s="6"/>
      <c r="J2389" s="6"/>
      <c r="K2389" s="6"/>
      <c r="L2389" s="6" t="s">
        <v>2951</v>
      </c>
      <c r="M2389" s="6"/>
      <c r="N2389" s="6" t="s">
        <v>2952</v>
      </c>
      <c r="O2389" s="6" t="str">
        <f>HYPERLINK("https://ceds.ed.gov/cedselementdetails.aspx?termid=5138")</f>
        <v>https://ceds.ed.gov/cedselementdetails.aspx?termid=5138</v>
      </c>
      <c r="P2389" s="6" t="str">
        <f>HYPERLINK("https://ceds.ed.gov/elementComment.aspx?elementName=High School Diploma Type &amp;elementID=5138", "Click here to submit comment")</f>
        <v>Click here to submit comment</v>
      </c>
    </row>
    <row r="2390" spans="1:16" ht="135">
      <c r="A2390" s="6" t="s">
        <v>6889</v>
      </c>
      <c r="B2390" s="6" t="s">
        <v>6890</v>
      </c>
      <c r="C2390" s="6" t="s">
        <v>6806</v>
      </c>
      <c r="D2390" s="6" t="s">
        <v>2189</v>
      </c>
      <c r="E2390" s="6" t="s">
        <v>2190</v>
      </c>
      <c r="F2390" s="6" t="s">
        <v>13</v>
      </c>
      <c r="G2390" s="6" t="s">
        <v>6135</v>
      </c>
      <c r="H2390" s="6"/>
      <c r="I2390" s="6" t="s">
        <v>2191</v>
      </c>
      <c r="J2390" s="6"/>
      <c r="K2390" s="6"/>
      <c r="L2390" s="6" t="s">
        <v>2192</v>
      </c>
      <c r="M2390" s="6"/>
      <c r="N2390" s="6" t="s">
        <v>2193</v>
      </c>
      <c r="O2390" s="6" t="str">
        <f>HYPERLINK("https://ceds.ed.gov/cedselementdetails.aspx?termid=5081")</f>
        <v>https://ceds.ed.gov/cedselementdetails.aspx?termid=5081</v>
      </c>
      <c r="P2390" s="6" t="str">
        <f>HYPERLINK("https://ceds.ed.gov/elementComment.aspx?elementName=Diploma or Credential Award Date &amp;elementID=5081", "Click here to submit comment")</f>
        <v>Click here to submit comment</v>
      </c>
    </row>
    <row r="2391" spans="1:16" ht="375">
      <c r="A2391" s="6" t="s">
        <v>6889</v>
      </c>
      <c r="B2391" s="6" t="s">
        <v>6890</v>
      </c>
      <c r="C2391" s="6" t="s">
        <v>6806</v>
      </c>
      <c r="D2391" s="6" t="s">
        <v>18</v>
      </c>
      <c r="E2391" s="6" t="s">
        <v>19</v>
      </c>
      <c r="F2391" s="7" t="s">
        <v>6346</v>
      </c>
      <c r="G2391" s="6" t="s">
        <v>5967</v>
      </c>
      <c r="H2391" s="6" t="s">
        <v>3</v>
      </c>
      <c r="I2391" s="6"/>
      <c r="J2391" s="6"/>
      <c r="K2391" s="6"/>
      <c r="L2391" s="6" t="s">
        <v>20</v>
      </c>
      <c r="M2391" s="6"/>
      <c r="N2391" s="6" t="s">
        <v>21</v>
      </c>
      <c r="O2391" s="6" t="str">
        <f>HYPERLINK("https://ceds.ed.gov/cedselementdetails.aspx?termid=5002")</f>
        <v>https://ceds.ed.gov/cedselementdetails.aspx?termid=5002</v>
      </c>
      <c r="P2391" s="6" t="str">
        <f>HYPERLINK("https://ceds.ed.gov/elementComment.aspx?elementName=Academic Award Level Conferred &amp;elementID=5002", "Click here to submit comment")</f>
        <v>Click here to submit comment</v>
      </c>
    </row>
    <row r="2392" spans="1:16" ht="270">
      <c r="A2392" s="6" t="s">
        <v>6889</v>
      </c>
      <c r="B2392" s="6" t="s">
        <v>6890</v>
      </c>
      <c r="C2392" s="6" t="s">
        <v>6806</v>
      </c>
      <c r="D2392" s="6" t="s">
        <v>4763</v>
      </c>
      <c r="E2392" s="6" t="s">
        <v>4764</v>
      </c>
      <c r="F2392" s="7" t="s">
        <v>6620</v>
      </c>
      <c r="G2392" s="6"/>
      <c r="H2392" s="6" t="s">
        <v>66</v>
      </c>
      <c r="I2392" s="6"/>
      <c r="J2392" s="6" t="s">
        <v>848</v>
      </c>
      <c r="K2392" s="6"/>
      <c r="L2392" s="6" t="s">
        <v>4765</v>
      </c>
      <c r="M2392" s="6"/>
      <c r="N2392" s="6" t="s">
        <v>4766</v>
      </c>
      <c r="O2392" s="6" t="str">
        <f>HYPERLINK("https://ceds.ed.gov/cedselementdetails.aspx?termid=5780")</f>
        <v>https://ceds.ed.gov/cedselementdetails.aspx?termid=5780</v>
      </c>
      <c r="P2392" s="6" t="str">
        <f>HYPERLINK("https://ceds.ed.gov/elementComment.aspx?elementName=Professional or Technical Credential Conferred &amp;elementID=5780", "Click here to submit comment")</f>
        <v>Click here to submit comment</v>
      </c>
    </row>
    <row r="2393" spans="1:16" ht="195">
      <c r="A2393" s="6" t="s">
        <v>6889</v>
      </c>
      <c r="B2393" s="6" t="s">
        <v>6891</v>
      </c>
      <c r="C2393" s="6" t="s">
        <v>6717</v>
      </c>
      <c r="D2393" s="6" t="s">
        <v>2776</v>
      </c>
      <c r="E2393" s="6" t="s">
        <v>2777</v>
      </c>
      <c r="F2393" s="6" t="s">
        <v>13</v>
      </c>
      <c r="G2393" s="6" t="s">
        <v>6176</v>
      </c>
      <c r="H2393" s="6" t="s">
        <v>3</v>
      </c>
      <c r="I2393" s="6" t="s">
        <v>1368</v>
      </c>
      <c r="J2393" s="6"/>
      <c r="K2393" s="6" t="s">
        <v>2778</v>
      </c>
      <c r="L2393" s="6" t="s">
        <v>2779</v>
      </c>
      <c r="M2393" s="6"/>
      <c r="N2393" s="6" t="s">
        <v>2780</v>
      </c>
      <c r="O2393" s="6" t="str">
        <f>HYPERLINK("https://ceds.ed.gov/cedselementdetails.aspx?termid=5115")</f>
        <v>https://ceds.ed.gov/cedselementdetails.aspx?termid=5115</v>
      </c>
      <c r="P2393" s="6" t="str">
        <f>HYPERLINK("https://ceds.ed.gov/elementComment.aspx?elementName=First Name &amp;elementID=5115", "Click here to submit comment")</f>
        <v>Click here to submit comment</v>
      </c>
    </row>
    <row r="2394" spans="1:16" ht="195">
      <c r="A2394" s="6" t="s">
        <v>6889</v>
      </c>
      <c r="B2394" s="6" t="s">
        <v>6891</v>
      </c>
      <c r="C2394" s="6" t="s">
        <v>6717</v>
      </c>
      <c r="D2394" s="6" t="s">
        <v>4088</v>
      </c>
      <c r="E2394" s="6" t="s">
        <v>4089</v>
      </c>
      <c r="F2394" s="6" t="s">
        <v>13</v>
      </c>
      <c r="G2394" s="6" t="s">
        <v>6176</v>
      </c>
      <c r="H2394" s="6" t="s">
        <v>3</v>
      </c>
      <c r="I2394" s="6" t="s">
        <v>1368</v>
      </c>
      <c r="J2394" s="6"/>
      <c r="K2394" s="6" t="s">
        <v>2778</v>
      </c>
      <c r="L2394" s="6" t="s">
        <v>4090</v>
      </c>
      <c r="M2394" s="6"/>
      <c r="N2394" s="6" t="s">
        <v>4091</v>
      </c>
      <c r="O2394" s="6" t="str">
        <f>HYPERLINK("https://ceds.ed.gov/cedselementdetails.aspx?termid=5184")</f>
        <v>https://ceds.ed.gov/cedselementdetails.aspx?termid=5184</v>
      </c>
      <c r="P2394" s="6" t="str">
        <f>HYPERLINK("https://ceds.ed.gov/elementComment.aspx?elementName=Middle Name &amp;elementID=5184", "Click here to submit comment")</f>
        <v>Click here to submit comment</v>
      </c>
    </row>
    <row r="2395" spans="1:16" ht="195">
      <c r="A2395" s="6" t="s">
        <v>6889</v>
      </c>
      <c r="B2395" s="6" t="s">
        <v>6891</v>
      </c>
      <c r="C2395" s="6" t="s">
        <v>6717</v>
      </c>
      <c r="D2395" s="6" t="s">
        <v>3427</v>
      </c>
      <c r="E2395" s="6" t="s">
        <v>3428</v>
      </c>
      <c r="F2395" s="6" t="s">
        <v>13</v>
      </c>
      <c r="G2395" s="6" t="s">
        <v>6176</v>
      </c>
      <c r="H2395" s="6" t="s">
        <v>3</v>
      </c>
      <c r="I2395" s="6" t="s">
        <v>1368</v>
      </c>
      <c r="J2395" s="6"/>
      <c r="K2395" s="6" t="s">
        <v>2778</v>
      </c>
      <c r="L2395" s="6" t="s">
        <v>3429</v>
      </c>
      <c r="M2395" s="6" t="s">
        <v>3430</v>
      </c>
      <c r="N2395" s="6" t="s">
        <v>3431</v>
      </c>
      <c r="O2395" s="6" t="str">
        <f>HYPERLINK("https://ceds.ed.gov/cedselementdetails.aspx?termid=5172")</f>
        <v>https://ceds.ed.gov/cedselementdetails.aspx?termid=5172</v>
      </c>
      <c r="P2395" s="6" t="str">
        <f>HYPERLINK("https://ceds.ed.gov/elementComment.aspx?elementName=Last or Surname &amp;elementID=5172", "Click here to submit comment")</f>
        <v>Click here to submit comment</v>
      </c>
    </row>
    <row r="2396" spans="1:16" ht="150">
      <c r="A2396" s="6" t="s">
        <v>6889</v>
      </c>
      <c r="B2396" s="6" t="s">
        <v>6891</v>
      </c>
      <c r="C2396" s="6" t="s">
        <v>6717</v>
      </c>
      <c r="D2396" s="6" t="s">
        <v>2829</v>
      </c>
      <c r="E2396" s="6" t="s">
        <v>2830</v>
      </c>
      <c r="F2396" s="6" t="s">
        <v>13</v>
      </c>
      <c r="G2396" s="6" t="s">
        <v>6179</v>
      </c>
      <c r="H2396" s="6" t="s">
        <v>3</v>
      </c>
      <c r="I2396" s="6" t="s">
        <v>2031</v>
      </c>
      <c r="J2396" s="6"/>
      <c r="K2396" s="6" t="s">
        <v>2778</v>
      </c>
      <c r="L2396" s="6" t="s">
        <v>2831</v>
      </c>
      <c r="M2396" s="6"/>
      <c r="N2396" s="6" t="s">
        <v>2832</v>
      </c>
      <c r="O2396" s="6" t="str">
        <f>HYPERLINK("https://ceds.ed.gov/cedselementdetails.aspx?termid=5121")</f>
        <v>https://ceds.ed.gov/cedselementdetails.aspx?termid=5121</v>
      </c>
      <c r="P2396" s="6" t="str">
        <f>HYPERLINK("https://ceds.ed.gov/elementComment.aspx?elementName=Generation Code or Suffix &amp;elementID=5121", "Click here to submit comment")</f>
        <v>Click here to submit comment</v>
      </c>
    </row>
    <row r="2397" spans="1:16" ht="105">
      <c r="A2397" s="6" t="s">
        <v>6889</v>
      </c>
      <c r="B2397" s="6" t="s">
        <v>6891</v>
      </c>
      <c r="C2397" s="6" t="s">
        <v>6717</v>
      </c>
      <c r="D2397" s="6" t="s">
        <v>4498</v>
      </c>
      <c r="E2397" s="6" t="s">
        <v>4499</v>
      </c>
      <c r="F2397" s="6" t="s">
        <v>13</v>
      </c>
      <c r="G2397" s="6" t="s">
        <v>6280</v>
      </c>
      <c r="H2397" s="6" t="s">
        <v>3</v>
      </c>
      <c r="I2397" s="6" t="s">
        <v>100</v>
      </c>
      <c r="J2397" s="6"/>
      <c r="K2397" s="6"/>
      <c r="L2397" s="6" t="s">
        <v>4500</v>
      </c>
      <c r="M2397" s="6" t="s">
        <v>4501</v>
      </c>
      <c r="N2397" s="6" t="s">
        <v>4502</v>
      </c>
      <c r="O2397" s="6" t="str">
        <f>HYPERLINK("https://ceds.ed.gov/cedselementdetails.aspx?termid=5212")</f>
        <v>https://ceds.ed.gov/cedselementdetails.aspx?termid=5212</v>
      </c>
      <c r="P2397" s="6" t="str">
        <f>HYPERLINK("https://ceds.ed.gov/elementComment.aspx?elementName=Personal Title or Prefix &amp;elementID=5212", "Click here to submit comment")</f>
        <v>Click here to submit comment</v>
      </c>
    </row>
    <row r="2398" spans="1:16" ht="30">
      <c r="A2398" s="6" t="s">
        <v>6889</v>
      </c>
      <c r="B2398" s="6" t="s">
        <v>6891</v>
      </c>
      <c r="C2398" s="6" t="s">
        <v>6718</v>
      </c>
      <c r="D2398" s="6" t="s">
        <v>4375</v>
      </c>
      <c r="E2398" s="6" t="s">
        <v>4376</v>
      </c>
      <c r="F2398" s="6" t="s">
        <v>13</v>
      </c>
      <c r="G2398" s="6"/>
      <c r="H2398" s="6" t="s">
        <v>54</v>
      </c>
      <c r="I2398" s="6" t="s">
        <v>1368</v>
      </c>
      <c r="J2398" s="6"/>
      <c r="K2398" s="6" t="s">
        <v>4377</v>
      </c>
      <c r="L2398" s="6" t="s">
        <v>4378</v>
      </c>
      <c r="M2398" s="6"/>
      <c r="N2398" s="6" t="s">
        <v>4379</v>
      </c>
      <c r="O2398" s="6" t="str">
        <f>HYPERLINK("https://ceds.ed.gov/cedselementdetails.aspx?termid=6486")</f>
        <v>https://ceds.ed.gov/cedselementdetails.aspx?termid=6486</v>
      </c>
      <c r="P2398" s="6" t="str">
        <f>HYPERLINK("https://ceds.ed.gov/elementComment.aspx?elementName=Other First Name &amp;elementID=6486", "Click here to submit comment")</f>
        <v>Click here to submit comment</v>
      </c>
    </row>
    <row r="2399" spans="1:16" ht="30">
      <c r="A2399" s="6" t="s">
        <v>6889</v>
      </c>
      <c r="B2399" s="6" t="s">
        <v>6891</v>
      </c>
      <c r="C2399" s="6" t="s">
        <v>6718</v>
      </c>
      <c r="D2399" s="6" t="s">
        <v>4380</v>
      </c>
      <c r="E2399" s="6" t="s">
        <v>4381</v>
      </c>
      <c r="F2399" s="6" t="s">
        <v>13</v>
      </c>
      <c r="G2399" s="6"/>
      <c r="H2399" s="6" t="s">
        <v>54</v>
      </c>
      <c r="I2399" s="6" t="s">
        <v>1368</v>
      </c>
      <c r="J2399" s="6"/>
      <c r="K2399" s="6" t="s">
        <v>4382</v>
      </c>
      <c r="L2399" s="6" t="s">
        <v>4383</v>
      </c>
      <c r="M2399" s="6"/>
      <c r="N2399" s="6" t="s">
        <v>4384</v>
      </c>
      <c r="O2399" s="6" t="str">
        <f>HYPERLINK("https://ceds.ed.gov/cedselementdetails.aspx?termid=6485")</f>
        <v>https://ceds.ed.gov/cedselementdetails.aspx?termid=6485</v>
      </c>
      <c r="P2399" s="6" t="str">
        <f>HYPERLINK("https://ceds.ed.gov/elementComment.aspx?elementName=Other Last Name &amp;elementID=6485", "Click here to submit comment")</f>
        <v>Click here to submit comment</v>
      </c>
    </row>
    <row r="2400" spans="1:16" ht="30">
      <c r="A2400" s="6" t="s">
        <v>6889</v>
      </c>
      <c r="B2400" s="6" t="s">
        <v>6891</v>
      </c>
      <c r="C2400" s="6" t="s">
        <v>6718</v>
      </c>
      <c r="D2400" s="6" t="s">
        <v>4385</v>
      </c>
      <c r="E2400" s="6" t="s">
        <v>4386</v>
      </c>
      <c r="F2400" s="6" t="s">
        <v>13</v>
      </c>
      <c r="G2400" s="6"/>
      <c r="H2400" s="6" t="s">
        <v>54</v>
      </c>
      <c r="I2400" s="6" t="s">
        <v>1368</v>
      </c>
      <c r="J2400" s="6"/>
      <c r="K2400" s="6" t="s">
        <v>4387</v>
      </c>
      <c r="L2400" s="6" t="s">
        <v>4388</v>
      </c>
      <c r="M2400" s="6"/>
      <c r="N2400" s="6" t="s">
        <v>4389</v>
      </c>
      <c r="O2400" s="6" t="str">
        <f>HYPERLINK("https://ceds.ed.gov/cedselementdetails.aspx?termid=6487")</f>
        <v>https://ceds.ed.gov/cedselementdetails.aspx?termid=6487</v>
      </c>
      <c r="P2400" s="6" t="str">
        <f>HYPERLINK("https://ceds.ed.gov/elementComment.aspx?elementName=Other Middle Name &amp;elementID=6487", "Click here to submit comment")</f>
        <v>Click here to submit comment</v>
      </c>
    </row>
    <row r="2401" spans="1:16" ht="150">
      <c r="A2401" s="6" t="s">
        <v>6889</v>
      </c>
      <c r="B2401" s="6" t="s">
        <v>6891</v>
      </c>
      <c r="C2401" s="6" t="s">
        <v>6718</v>
      </c>
      <c r="D2401" s="6" t="s">
        <v>4390</v>
      </c>
      <c r="E2401" s="6" t="s">
        <v>4391</v>
      </c>
      <c r="F2401" s="6" t="s">
        <v>13</v>
      </c>
      <c r="G2401" s="6" t="s">
        <v>6179</v>
      </c>
      <c r="H2401" s="6" t="s">
        <v>3</v>
      </c>
      <c r="I2401" s="6" t="s">
        <v>149</v>
      </c>
      <c r="J2401" s="6"/>
      <c r="K2401" s="6"/>
      <c r="L2401" s="6" t="s">
        <v>4392</v>
      </c>
      <c r="M2401" s="6"/>
      <c r="N2401" s="6" t="s">
        <v>4393</v>
      </c>
      <c r="O2401" s="6" t="str">
        <f>HYPERLINK("https://ceds.ed.gov/cedselementdetails.aspx?termid=5206")</f>
        <v>https://ceds.ed.gov/cedselementdetails.aspx?termid=5206</v>
      </c>
      <c r="P2401" s="6" t="str">
        <f>HYPERLINK("https://ceds.ed.gov/elementComment.aspx?elementName=Other Name &amp;elementID=5206", "Click here to submit comment")</f>
        <v>Click here to submit comment</v>
      </c>
    </row>
    <row r="2402" spans="1:16" ht="90">
      <c r="A2402" s="6" t="s">
        <v>6889</v>
      </c>
      <c r="B2402" s="6" t="s">
        <v>6891</v>
      </c>
      <c r="C2402" s="6" t="s">
        <v>6718</v>
      </c>
      <c r="D2402" s="6" t="s">
        <v>4394</v>
      </c>
      <c r="E2402" s="6" t="s">
        <v>4395</v>
      </c>
      <c r="F2402" s="7" t="s">
        <v>6593</v>
      </c>
      <c r="G2402" s="6" t="s">
        <v>6273</v>
      </c>
      <c r="H2402" s="6" t="s">
        <v>3</v>
      </c>
      <c r="I2402" s="6" t="s">
        <v>100</v>
      </c>
      <c r="J2402" s="6"/>
      <c r="K2402" s="6"/>
      <c r="L2402" s="6" t="s">
        <v>4396</v>
      </c>
      <c r="M2402" s="6"/>
      <c r="N2402" s="6" t="s">
        <v>4397</v>
      </c>
      <c r="O2402" s="6" t="str">
        <f>HYPERLINK("https://ceds.ed.gov/cedselementdetails.aspx?termid=5627")</f>
        <v>https://ceds.ed.gov/cedselementdetails.aspx?termid=5627</v>
      </c>
      <c r="P2402" s="6" t="str">
        <f>HYPERLINK("https://ceds.ed.gov/elementComment.aspx?elementName=Other Name Type &amp;elementID=5627", "Click here to submit comment")</f>
        <v>Click here to submit comment</v>
      </c>
    </row>
    <row r="2403" spans="1:16" ht="135">
      <c r="A2403" s="6" t="s">
        <v>6889</v>
      </c>
      <c r="B2403" s="6" t="s">
        <v>6891</v>
      </c>
      <c r="C2403" s="6" t="s">
        <v>6719</v>
      </c>
      <c r="D2403" s="6" t="s">
        <v>5506</v>
      </c>
      <c r="E2403" s="6" t="s">
        <v>5507</v>
      </c>
      <c r="F2403" s="6" t="s">
        <v>13</v>
      </c>
      <c r="G2403" s="6" t="s">
        <v>6322</v>
      </c>
      <c r="H2403" s="6" t="s">
        <v>3</v>
      </c>
      <c r="I2403" s="6" t="s">
        <v>100</v>
      </c>
      <c r="J2403" s="6"/>
      <c r="K2403" s="6"/>
      <c r="L2403" s="6" t="s">
        <v>5508</v>
      </c>
      <c r="M2403" s="6"/>
      <c r="N2403" s="6" t="s">
        <v>5509</v>
      </c>
      <c r="O2403" s="6" t="str">
        <f>HYPERLINK("https://ceds.ed.gov/cedselementdetails.aspx?termid=5156")</f>
        <v>https://ceds.ed.gov/cedselementdetails.aspx?termid=5156</v>
      </c>
      <c r="P2403" s="6" t="str">
        <f>HYPERLINK("https://ceds.ed.gov/elementComment.aspx?elementName=Staff Member Identifier &amp;elementID=5156", "Click here to submit comment")</f>
        <v>Click here to submit comment</v>
      </c>
    </row>
    <row r="2404" spans="1:16" ht="409.5">
      <c r="A2404" s="6" t="s">
        <v>6889</v>
      </c>
      <c r="B2404" s="6" t="s">
        <v>6891</v>
      </c>
      <c r="C2404" s="6" t="s">
        <v>6719</v>
      </c>
      <c r="D2404" s="6" t="s">
        <v>5502</v>
      </c>
      <c r="E2404" s="6" t="s">
        <v>5503</v>
      </c>
      <c r="F2404" s="7" t="s">
        <v>6662</v>
      </c>
      <c r="G2404" s="6" t="s">
        <v>6321</v>
      </c>
      <c r="H2404" s="6" t="s">
        <v>3</v>
      </c>
      <c r="I2404" s="6"/>
      <c r="J2404" s="6"/>
      <c r="K2404" s="6"/>
      <c r="L2404" s="6" t="s">
        <v>5504</v>
      </c>
      <c r="M2404" s="6"/>
      <c r="N2404" s="6" t="s">
        <v>5505</v>
      </c>
      <c r="O2404" s="6" t="str">
        <f>HYPERLINK("https://ceds.ed.gov/cedselementdetails.aspx?termid=5162")</f>
        <v>https://ceds.ed.gov/cedselementdetails.aspx?termid=5162</v>
      </c>
      <c r="P2404" s="6" t="str">
        <f>HYPERLINK("https://ceds.ed.gov/elementComment.aspx?elementName=Staff Member Identification System &amp;elementID=5162", "Click here to submit comment")</f>
        <v>Click here to submit comment</v>
      </c>
    </row>
    <row r="2405" spans="1:16" ht="390">
      <c r="A2405" s="6" t="s">
        <v>6889</v>
      </c>
      <c r="B2405" s="6" t="s">
        <v>6891</v>
      </c>
      <c r="C2405" s="6" t="s">
        <v>6719</v>
      </c>
      <c r="D2405" s="6" t="s">
        <v>5383</v>
      </c>
      <c r="E2405" s="6" t="s">
        <v>5384</v>
      </c>
      <c r="F2405" s="6" t="s">
        <v>13</v>
      </c>
      <c r="G2405" s="6" t="s">
        <v>6315</v>
      </c>
      <c r="H2405" s="6" t="s">
        <v>3</v>
      </c>
      <c r="I2405" s="6" t="s">
        <v>5385</v>
      </c>
      <c r="J2405" s="6"/>
      <c r="K2405" s="6" t="s">
        <v>5386</v>
      </c>
      <c r="L2405" s="6" t="s">
        <v>5387</v>
      </c>
      <c r="M2405" s="6" t="s">
        <v>5388</v>
      </c>
      <c r="N2405" s="6" t="s">
        <v>5389</v>
      </c>
      <c r="O2405" s="6" t="str">
        <f>HYPERLINK("https://ceds.ed.gov/cedselementdetails.aspx?termid=5259")</f>
        <v>https://ceds.ed.gov/cedselementdetails.aspx?termid=5259</v>
      </c>
      <c r="P2405" s="6" t="str">
        <f>HYPERLINK("https://ceds.ed.gov/elementComment.aspx?elementName=Social Security Number &amp;elementID=5259", "Click here to submit comment")</f>
        <v>Click here to submit comment</v>
      </c>
    </row>
    <row r="2406" spans="1:16" ht="375">
      <c r="A2406" s="6" t="s">
        <v>6889</v>
      </c>
      <c r="B2406" s="6" t="s">
        <v>6891</v>
      </c>
      <c r="C2406" s="6" t="s">
        <v>6719</v>
      </c>
      <c r="D2406" s="6" t="s">
        <v>4494</v>
      </c>
      <c r="E2406" s="6" t="s">
        <v>4495</v>
      </c>
      <c r="F2406" s="7" t="s">
        <v>6599</v>
      </c>
      <c r="G2406" s="6"/>
      <c r="H2406" s="6" t="s">
        <v>3</v>
      </c>
      <c r="I2406" s="6"/>
      <c r="J2406" s="6"/>
      <c r="K2406" s="6"/>
      <c r="L2406" s="6" t="s">
        <v>4496</v>
      </c>
      <c r="M2406" s="6"/>
      <c r="N2406" s="6" t="s">
        <v>4497</v>
      </c>
      <c r="O2406" s="6" t="str">
        <f>HYPERLINK("https://ceds.ed.gov/cedselementdetails.aspx?termid=5611")</f>
        <v>https://ceds.ed.gov/cedselementdetails.aspx?termid=5611</v>
      </c>
      <c r="P2406" s="6" t="str">
        <f>HYPERLINK("https://ceds.ed.gov/elementComment.aspx?elementName=Personal Information Verification &amp;elementID=5611", "Click here to submit comment")</f>
        <v>Click here to submit comment</v>
      </c>
    </row>
    <row r="2407" spans="1:16" ht="150">
      <c r="A2407" s="6" t="s">
        <v>6889</v>
      </c>
      <c r="B2407" s="6" t="s">
        <v>6891</v>
      </c>
      <c r="C2407" s="6" t="s">
        <v>6720</v>
      </c>
      <c r="D2407" s="6" t="s">
        <v>200</v>
      </c>
      <c r="E2407" s="6" t="s">
        <v>201</v>
      </c>
      <c r="F2407" s="7" t="s">
        <v>6355</v>
      </c>
      <c r="G2407" s="6" t="s">
        <v>202</v>
      </c>
      <c r="H2407" s="6" t="s">
        <v>3</v>
      </c>
      <c r="I2407" s="6" t="s">
        <v>100</v>
      </c>
      <c r="J2407" s="6"/>
      <c r="K2407" s="6"/>
      <c r="L2407" s="6" t="s">
        <v>203</v>
      </c>
      <c r="M2407" s="6"/>
      <c r="N2407" s="6" t="s">
        <v>204</v>
      </c>
      <c r="O2407" s="6" t="str">
        <f>HYPERLINK("https://ceds.ed.gov/cedselementdetails.aspx?termid=5698")</f>
        <v>https://ceds.ed.gov/cedselementdetails.aspx?termid=5698</v>
      </c>
      <c r="P2407" s="6" t="str">
        <f>HYPERLINK("https://ceds.ed.gov/elementComment.aspx?elementName=Address Type for Staff &amp;elementID=5698", "Click here to submit comment")</f>
        <v>Click here to submit comment</v>
      </c>
    </row>
    <row r="2408" spans="1:16" ht="225">
      <c r="A2408" s="6" t="s">
        <v>6889</v>
      </c>
      <c r="B2408" s="6" t="s">
        <v>6891</v>
      </c>
      <c r="C2408" s="6" t="s">
        <v>6720</v>
      </c>
      <c r="D2408" s="6" t="s">
        <v>187</v>
      </c>
      <c r="E2408" s="6" t="s">
        <v>188</v>
      </c>
      <c r="F2408" s="6" t="s">
        <v>13</v>
      </c>
      <c r="G2408" s="6" t="s">
        <v>5973</v>
      </c>
      <c r="H2408" s="6" t="s">
        <v>3</v>
      </c>
      <c r="I2408" s="6" t="s">
        <v>149</v>
      </c>
      <c r="J2408" s="6"/>
      <c r="K2408" s="6"/>
      <c r="L2408" s="6" t="s">
        <v>189</v>
      </c>
      <c r="M2408" s="6"/>
      <c r="N2408" s="6" t="s">
        <v>190</v>
      </c>
      <c r="O2408" s="6" t="str">
        <f>HYPERLINK("https://ceds.ed.gov/cedselementdetails.aspx?termid=5269")</f>
        <v>https://ceds.ed.gov/cedselementdetails.aspx?termid=5269</v>
      </c>
      <c r="P2408" s="6" t="str">
        <f>HYPERLINK("https://ceds.ed.gov/elementComment.aspx?elementName=Address Street Number and Name &amp;elementID=5269", "Click here to submit comment")</f>
        <v>Click here to submit comment</v>
      </c>
    </row>
    <row r="2409" spans="1:16" ht="225">
      <c r="A2409" s="6" t="s">
        <v>6889</v>
      </c>
      <c r="B2409" s="6" t="s">
        <v>6891</v>
      </c>
      <c r="C2409" s="6" t="s">
        <v>6720</v>
      </c>
      <c r="D2409" s="6" t="s">
        <v>170</v>
      </c>
      <c r="E2409" s="6" t="s">
        <v>171</v>
      </c>
      <c r="F2409" s="6" t="s">
        <v>13</v>
      </c>
      <c r="G2409" s="6" t="s">
        <v>5973</v>
      </c>
      <c r="H2409" s="6" t="s">
        <v>3</v>
      </c>
      <c r="I2409" s="6" t="s">
        <v>100</v>
      </c>
      <c r="J2409" s="6"/>
      <c r="K2409" s="6"/>
      <c r="L2409" s="6" t="s">
        <v>172</v>
      </c>
      <c r="M2409" s="6"/>
      <c r="N2409" s="6" t="s">
        <v>173</v>
      </c>
      <c r="O2409" s="6" t="str">
        <f>HYPERLINK("https://ceds.ed.gov/cedselementdetails.aspx?termid=5019")</f>
        <v>https://ceds.ed.gov/cedselementdetails.aspx?termid=5019</v>
      </c>
      <c r="P2409" s="6" t="str">
        <f>HYPERLINK("https://ceds.ed.gov/elementComment.aspx?elementName=Address Apartment Room or Suite Number &amp;elementID=5019", "Click here to submit comment")</f>
        <v>Click here to submit comment</v>
      </c>
    </row>
    <row r="2410" spans="1:16" ht="225">
      <c r="A2410" s="6" t="s">
        <v>6889</v>
      </c>
      <c r="B2410" s="6" t="s">
        <v>6891</v>
      </c>
      <c r="C2410" s="6" t="s">
        <v>6720</v>
      </c>
      <c r="D2410" s="6" t="s">
        <v>174</v>
      </c>
      <c r="E2410" s="6" t="s">
        <v>175</v>
      </c>
      <c r="F2410" s="6" t="s">
        <v>13</v>
      </c>
      <c r="G2410" s="6" t="s">
        <v>5973</v>
      </c>
      <c r="H2410" s="6" t="s">
        <v>3</v>
      </c>
      <c r="I2410" s="6" t="s">
        <v>100</v>
      </c>
      <c r="J2410" s="6"/>
      <c r="K2410" s="6"/>
      <c r="L2410" s="6" t="s">
        <v>176</v>
      </c>
      <c r="M2410" s="6"/>
      <c r="N2410" s="6" t="s">
        <v>177</v>
      </c>
      <c r="O2410" s="6" t="str">
        <f>HYPERLINK("https://ceds.ed.gov/cedselementdetails.aspx?termid=5040")</f>
        <v>https://ceds.ed.gov/cedselementdetails.aspx?termid=5040</v>
      </c>
      <c r="P2410" s="6" t="str">
        <f>HYPERLINK("https://ceds.ed.gov/elementComment.aspx?elementName=Address City &amp;elementID=5040", "Click here to submit comment")</f>
        <v>Click here to submit comment</v>
      </c>
    </row>
    <row r="2411" spans="1:16" ht="409.5">
      <c r="A2411" s="6" t="s">
        <v>6889</v>
      </c>
      <c r="B2411" s="6" t="s">
        <v>6891</v>
      </c>
      <c r="C2411" s="6" t="s">
        <v>6720</v>
      </c>
      <c r="D2411" s="6" t="s">
        <v>5533</v>
      </c>
      <c r="E2411" s="6" t="s">
        <v>5534</v>
      </c>
      <c r="F2411" s="7" t="s">
        <v>6633</v>
      </c>
      <c r="G2411" s="6" t="s">
        <v>6324</v>
      </c>
      <c r="H2411" s="6" t="s">
        <v>3</v>
      </c>
      <c r="I2411" s="6"/>
      <c r="J2411" s="6"/>
      <c r="K2411" s="6"/>
      <c r="L2411" s="6" t="s">
        <v>5535</v>
      </c>
      <c r="M2411" s="6"/>
      <c r="N2411" s="6" t="s">
        <v>5536</v>
      </c>
      <c r="O2411" s="6" t="str">
        <f>HYPERLINK("https://ceds.ed.gov/cedselementdetails.aspx?termid=5267")</f>
        <v>https://ceds.ed.gov/cedselementdetails.aspx?termid=5267</v>
      </c>
      <c r="P2411" s="6" t="str">
        <f>HYPERLINK("https://ceds.ed.gov/elementComment.aspx?elementName=State Abbreviation &amp;elementID=5267", "Click here to submit comment")</f>
        <v>Click here to submit comment</v>
      </c>
    </row>
    <row r="2412" spans="1:16" ht="225">
      <c r="A2412" s="6" t="s">
        <v>6889</v>
      </c>
      <c r="B2412" s="6" t="s">
        <v>6891</v>
      </c>
      <c r="C2412" s="6" t="s">
        <v>6720</v>
      </c>
      <c r="D2412" s="6" t="s">
        <v>182</v>
      </c>
      <c r="E2412" s="6" t="s">
        <v>183</v>
      </c>
      <c r="F2412" s="6" t="s">
        <v>13</v>
      </c>
      <c r="G2412" s="6" t="s">
        <v>5973</v>
      </c>
      <c r="H2412" s="6" t="s">
        <v>3</v>
      </c>
      <c r="I2412" s="6" t="s">
        <v>184</v>
      </c>
      <c r="J2412" s="6"/>
      <c r="K2412" s="6"/>
      <c r="L2412" s="6" t="s">
        <v>185</v>
      </c>
      <c r="M2412" s="6"/>
      <c r="N2412" s="6" t="s">
        <v>186</v>
      </c>
      <c r="O2412" s="6" t="str">
        <f>HYPERLINK("https://ceds.ed.gov/cedselementdetails.aspx?termid=5214")</f>
        <v>https://ceds.ed.gov/cedselementdetails.aspx?termid=5214</v>
      </c>
      <c r="P2412" s="6" t="str">
        <f>HYPERLINK("https://ceds.ed.gov/elementComment.aspx?elementName=Address Postal Code &amp;elementID=5214", "Click here to submit comment")</f>
        <v>Click here to submit comment</v>
      </c>
    </row>
    <row r="2413" spans="1:16" ht="225">
      <c r="A2413" s="6" t="s">
        <v>6889</v>
      </c>
      <c r="B2413" s="6" t="s">
        <v>6891</v>
      </c>
      <c r="C2413" s="6" t="s">
        <v>6720</v>
      </c>
      <c r="D2413" s="6" t="s">
        <v>178</v>
      </c>
      <c r="E2413" s="6" t="s">
        <v>179</v>
      </c>
      <c r="F2413" s="6" t="s">
        <v>13</v>
      </c>
      <c r="G2413" s="6" t="s">
        <v>5973</v>
      </c>
      <c r="H2413" s="6" t="s">
        <v>3</v>
      </c>
      <c r="I2413" s="6" t="s">
        <v>100</v>
      </c>
      <c r="J2413" s="6"/>
      <c r="K2413" s="6"/>
      <c r="L2413" s="6" t="s">
        <v>180</v>
      </c>
      <c r="M2413" s="6"/>
      <c r="N2413" s="6" t="s">
        <v>181</v>
      </c>
      <c r="O2413" s="6" t="str">
        <f>HYPERLINK("https://ceds.ed.gov/cedselementdetails.aspx?termid=5190")</f>
        <v>https://ceds.ed.gov/cedselementdetails.aspx?termid=5190</v>
      </c>
      <c r="P2413" s="6" t="str">
        <f>HYPERLINK("https://ceds.ed.gov/elementComment.aspx?elementName=Address County Name &amp;elementID=5190", "Click here to submit comment")</f>
        <v>Click here to submit comment</v>
      </c>
    </row>
    <row r="2414" spans="1:16" ht="409.5">
      <c r="A2414" s="6" t="s">
        <v>6889</v>
      </c>
      <c r="B2414" s="6" t="s">
        <v>6891</v>
      </c>
      <c r="C2414" s="6" t="s">
        <v>6720</v>
      </c>
      <c r="D2414" s="6" t="s">
        <v>1809</v>
      </c>
      <c r="E2414" s="6" t="s">
        <v>1810</v>
      </c>
      <c r="F2414" s="7" t="s">
        <v>6433</v>
      </c>
      <c r="G2414" s="6" t="s">
        <v>6107</v>
      </c>
      <c r="H2414" s="6" t="s">
        <v>3</v>
      </c>
      <c r="I2414" s="6"/>
      <c r="J2414" s="6"/>
      <c r="K2414" s="6"/>
      <c r="L2414" s="6" t="s">
        <v>1811</v>
      </c>
      <c r="M2414" s="6"/>
      <c r="N2414" s="6" t="s">
        <v>1812</v>
      </c>
      <c r="O2414" s="6" t="str">
        <f>HYPERLINK("https://ceds.ed.gov/cedselementdetails.aspx?termid=5050")</f>
        <v>https://ceds.ed.gov/cedselementdetails.aspx?termid=5050</v>
      </c>
      <c r="P2414" s="6" t="str">
        <f>HYPERLINK("https://ceds.ed.gov/elementComment.aspx?elementName=Country Code &amp;elementID=5050", "Click here to submit comment")</f>
        <v>Click here to submit comment</v>
      </c>
    </row>
    <row r="2415" spans="1:16" ht="135">
      <c r="A2415" s="6" t="s">
        <v>6889</v>
      </c>
      <c r="B2415" s="6" t="s">
        <v>6891</v>
      </c>
      <c r="C2415" s="6" t="s">
        <v>6721</v>
      </c>
      <c r="D2415" s="6" t="s">
        <v>5732</v>
      </c>
      <c r="E2415" s="6" t="s">
        <v>5733</v>
      </c>
      <c r="F2415" s="7" t="s">
        <v>6675</v>
      </c>
      <c r="G2415" s="6" t="s">
        <v>5968</v>
      </c>
      <c r="H2415" s="6" t="s">
        <v>3</v>
      </c>
      <c r="I2415" s="6" t="s">
        <v>2844</v>
      </c>
      <c r="J2415" s="6"/>
      <c r="K2415" s="6"/>
      <c r="L2415" s="6" t="s">
        <v>5734</v>
      </c>
      <c r="M2415" s="6"/>
      <c r="N2415" s="6" t="s">
        <v>5735</v>
      </c>
      <c r="O2415" s="6" t="str">
        <f>HYPERLINK("https://ceds.ed.gov/cedselementdetails.aspx?termid=5280")</f>
        <v>https://ceds.ed.gov/cedselementdetails.aspx?termid=5280</v>
      </c>
      <c r="P2415" s="6" t="str">
        <f>HYPERLINK("https://ceds.ed.gov/elementComment.aspx?elementName=Telephone Number Type &amp;elementID=5280", "Click here to submit comment")</f>
        <v>Click here to submit comment</v>
      </c>
    </row>
    <row r="2416" spans="1:16" ht="90">
      <c r="A2416" s="6" t="s">
        <v>6889</v>
      </c>
      <c r="B2416" s="6" t="s">
        <v>6891</v>
      </c>
      <c r="C2416" s="6" t="s">
        <v>6721</v>
      </c>
      <c r="D2416" s="6" t="s">
        <v>4591</v>
      </c>
      <c r="E2416" s="6" t="s">
        <v>4592</v>
      </c>
      <c r="F2416" s="6" t="s">
        <v>5963</v>
      </c>
      <c r="G2416" s="6" t="s">
        <v>5968</v>
      </c>
      <c r="H2416" s="6" t="s">
        <v>3</v>
      </c>
      <c r="I2416" s="6"/>
      <c r="J2416" s="6"/>
      <c r="K2416" s="6"/>
      <c r="L2416" s="6" t="s">
        <v>4593</v>
      </c>
      <c r="M2416" s="6"/>
      <c r="N2416" s="6" t="s">
        <v>4594</v>
      </c>
      <c r="O2416" s="6" t="str">
        <f>HYPERLINK("https://ceds.ed.gov/cedselementdetails.aspx?termid=5219")</f>
        <v>https://ceds.ed.gov/cedselementdetails.aspx?termid=5219</v>
      </c>
      <c r="P2416" s="6" t="str">
        <f>HYPERLINK("https://ceds.ed.gov/elementComment.aspx?elementName=Primary Telephone Number Indicator &amp;elementID=5219", "Click here to submit comment")</f>
        <v>Click here to submit comment</v>
      </c>
    </row>
    <row r="2417" spans="1:16" ht="90">
      <c r="A2417" s="6" t="s">
        <v>6889</v>
      </c>
      <c r="B2417" s="6" t="s">
        <v>6891</v>
      </c>
      <c r="C2417" s="6" t="s">
        <v>6721</v>
      </c>
      <c r="D2417" s="6" t="s">
        <v>5727</v>
      </c>
      <c r="E2417" s="6" t="s">
        <v>5728</v>
      </c>
      <c r="F2417" s="6" t="s">
        <v>13</v>
      </c>
      <c r="G2417" s="6" t="s">
        <v>5968</v>
      </c>
      <c r="H2417" s="6" t="s">
        <v>3</v>
      </c>
      <c r="I2417" s="6" t="s">
        <v>5729</v>
      </c>
      <c r="J2417" s="6"/>
      <c r="K2417" s="6"/>
      <c r="L2417" s="6" t="s">
        <v>5730</v>
      </c>
      <c r="M2417" s="6"/>
      <c r="N2417" s="6" t="s">
        <v>5731</v>
      </c>
      <c r="O2417" s="6" t="str">
        <f>HYPERLINK("https://ceds.ed.gov/cedselementdetails.aspx?termid=5279")</f>
        <v>https://ceds.ed.gov/cedselementdetails.aspx?termid=5279</v>
      </c>
      <c r="P2417" s="6" t="str">
        <f>HYPERLINK("https://ceds.ed.gov/elementComment.aspx?elementName=Telephone Number &amp;elementID=5279", "Click here to submit comment")</f>
        <v>Click here to submit comment</v>
      </c>
    </row>
    <row r="2418" spans="1:16" ht="105">
      <c r="A2418" s="6" t="s">
        <v>6889</v>
      </c>
      <c r="B2418" s="6" t="s">
        <v>6891</v>
      </c>
      <c r="C2418" s="6" t="s">
        <v>6742</v>
      </c>
      <c r="D2418" s="6" t="s">
        <v>2457</v>
      </c>
      <c r="E2418" s="6" t="s">
        <v>2458</v>
      </c>
      <c r="F2418" s="7" t="s">
        <v>6489</v>
      </c>
      <c r="G2418" s="6" t="s">
        <v>5968</v>
      </c>
      <c r="H2418" s="6" t="s">
        <v>3</v>
      </c>
      <c r="I2418" s="6"/>
      <c r="J2418" s="6"/>
      <c r="K2418" s="6"/>
      <c r="L2418" s="6" t="s">
        <v>2459</v>
      </c>
      <c r="M2418" s="6" t="s">
        <v>2460</v>
      </c>
      <c r="N2418" s="6" t="s">
        <v>2461</v>
      </c>
      <c r="O2418" s="6" t="str">
        <f>HYPERLINK("https://ceds.ed.gov/cedselementdetails.aspx?termid=5089")</f>
        <v>https://ceds.ed.gov/cedselementdetails.aspx?termid=5089</v>
      </c>
      <c r="P2418" s="6" t="str">
        <f>HYPERLINK("https://ceds.ed.gov/elementComment.aspx?elementName=Electronic Mail Address Type &amp;elementID=5089", "Click here to submit comment")</f>
        <v>Click here to submit comment</v>
      </c>
    </row>
    <row r="2419" spans="1:16" ht="90">
      <c r="A2419" s="6" t="s">
        <v>6889</v>
      </c>
      <c r="B2419" s="6" t="s">
        <v>6891</v>
      </c>
      <c r="C2419" s="6" t="s">
        <v>6742</v>
      </c>
      <c r="D2419" s="6" t="s">
        <v>2451</v>
      </c>
      <c r="E2419" s="6" t="s">
        <v>2452</v>
      </c>
      <c r="F2419" s="6" t="s">
        <v>13</v>
      </c>
      <c r="G2419" s="6" t="s">
        <v>5968</v>
      </c>
      <c r="H2419" s="6" t="s">
        <v>3</v>
      </c>
      <c r="I2419" s="6" t="s">
        <v>2453</v>
      </c>
      <c r="J2419" s="6"/>
      <c r="K2419" s="6"/>
      <c r="L2419" s="6" t="s">
        <v>2454</v>
      </c>
      <c r="M2419" s="6" t="s">
        <v>2455</v>
      </c>
      <c r="N2419" s="6" t="s">
        <v>2456</v>
      </c>
      <c r="O2419" s="6" t="str">
        <f>HYPERLINK("https://ceds.ed.gov/cedselementdetails.aspx?termid=5088")</f>
        <v>https://ceds.ed.gov/cedselementdetails.aspx?termid=5088</v>
      </c>
      <c r="P2419" s="6" t="str">
        <f>HYPERLINK("https://ceds.ed.gov/elementComment.aspx?elementName=Electronic Mail Address &amp;elementID=5088", "Click here to submit comment")</f>
        <v>Click here to submit comment</v>
      </c>
    </row>
    <row r="2420" spans="1:16" ht="225">
      <c r="A2420" s="6" t="s">
        <v>6889</v>
      </c>
      <c r="B2420" s="6" t="s">
        <v>6891</v>
      </c>
      <c r="C2420" s="6" t="s">
        <v>6892</v>
      </c>
      <c r="D2420" s="6" t="s">
        <v>241</v>
      </c>
      <c r="E2420" s="6" t="s">
        <v>242</v>
      </c>
      <c r="F2420" s="7" t="s">
        <v>6360</v>
      </c>
      <c r="G2420" s="6"/>
      <c r="H2420" s="6"/>
      <c r="I2420" s="6"/>
      <c r="J2420" s="6"/>
      <c r="K2420" s="6"/>
      <c r="L2420" s="6" t="s">
        <v>244</v>
      </c>
      <c r="M2420" s="6"/>
      <c r="N2420" s="6" t="s">
        <v>245</v>
      </c>
      <c r="O2420" s="6" t="str">
        <f>HYPERLINK("https://ceds.ed.gov/cedselementdetails.aspx?termid=5775")</f>
        <v>https://ceds.ed.gov/cedselementdetails.aspx?termid=5775</v>
      </c>
      <c r="P2420" s="6" t="str">
        <f>HYPERLINK("https://ceds.ed.gov/elementComment.aspx?elementName=Adult Education Certification Type &amp;elementID=5775", "Click here to submit comment")</f>
        <v>Click here to submit comment</v>
      </c>
    </row>
    <row r="2421" spans="1:16" ht="409.5">
      <c r="A2421" s="6" t="s">
        <v>6889</v>
      </c>
      <c r="B2421" s="6" t="s">
        <v>6891</v>
      </c>
      <c r="C2421" s="6" t="s">
        <v>6771</v>
      </c>
      <c r="D2421" s="6" t="s">
        <v>2970</v>
      </c>
      <c r="E2421" s="6" t="s">
        <v>2971</v>
      </c>
      <c r="F2421" s="7" t="s">
        <v>6531</v>
      </c>
      <c r="G2421" s="6" t="s">
        <v>6195</v>
      </c>
      <c r="H2421" s="6" t="s">
        <v>66</v>
      </c>
      <c r="I2421" s="6"/>
      <c r="J2421" s="6" t="s">
        <v>2972</v>
      </c>
      <c r="K2421" s="6"/>
      <c r="L2421" s="6" t="s">
        <v>2973</v>
      </c>
      <c r="M2421" s="6"/>
      <c r="N2421" s="6" t="s">
        <v>2974</v>
      </c>
      <c r="O2421" s="6" t="str">
        <f>HYPERLINK("https://ceds.ed.gov/cedselementdetails.aspx?termid=5141")</f>
        <v>https://ceds.ed.gov/cedselementdetails.aspx?termid=5141</v>
      </c>
      <c r="P2421" s="6" t="str">
        <f>HYPERLINK("https://ceds.ed.gov/elementComment.aspx?elementName=Highest Level of Education Completed &amp;elementID=5141", "Click here to submit comment")</f>
        <v>Click here to submit comment</v>
      </c>
    </row>
    <row r="2422" spans="1:16" ht="60">
      <c r="A2422" s="6" t="s">
        <v>6889</v>
      </c>
      <c r="B2422" s="6" t="s">
        <v>6891</v>
      </c>
      <c r="C2422" s="6" t="s">
        <v>6893</v>
      </c>
      <c r="D2422" s="6" t="s">
        <v>5954</v>
      </c>
      <c r="E2422" s="6" t="s">
        <v>5955</v>
      </c>
      <c r="F2422" s="6" t="s">
        <v>13</v>
      </c>
      <c r="G2422" s="6"/>
      <c r="H2422" s="6"/>
      <c r="I2422" s="6" t="s">
        <v>389</v>
      </c>
      <c r="J2422" s="6"/>
      <c r="K2422" s="6"/>
      <c r="L2422" s="6" t="s">
        <v>5957</v>
      </c>
      <c r="M2422" s="6"/>
      <c r="N2422" s="6" t="s">
        <v>5958</v>
      </c>
      <c r="O2422" s="6" t="str">
        <f>HYPERLINK("https://ceds.ed.gov/cedselementdetails.aspx?termid=5774")</f>
        <v>https://ceds.ed.gov/cedselementdetails.aspx?termid=5774</v>
      </c>
      <c r="P2422" s="6" t="str">
        <f>HYPERLINK("https://ceds.ed.gov/elementComment.aspx?elementName=Years of Prior Adult Education Teaching Experience &amp;elementID=5774", "Click here to submit comment")</f>
        <v>Click here to submit comment</v>
      </c>
    </row>
    <row r="2423" spans="1:16" ht="255">
      <c r="A2423" s="6" t="s">
        <v>6889</v>
      </c>
      <c r="B2423" s="6" t="s">
        <v>6891</v>
      </c>
      <c r="C2423" s="6" t="s">
        <v>6770</v>
      </c>
      <c r="D2423" s="6" t="s">
        <v>278</v>
      </c>
      <c r="E2423" s="6" t="s">
        <v>279</v>
      </c>
      <c r="F2423" s="7" t="s">
        <v>6366</v>
      </c>
      <c r="G2423" s="6"/>
      <c r="H2423" s="6" t="s">
        <v>66</v>
      </c>
      <c r="I2423" s="6"/>
      <c r="J2423" s="6" t="s">
        <v>281</v>
      </c>
      <c r="K2423" s="6"/>
      <c r="L2423" s="6" t="s">
        <v>282</v>
      </c>
      <c r="M2423" s="6"/>
      <c r="N2423" s="6" t="s">
        <v>283</v>
      </c>
      <c r="O2423" s="6" t="str">
        <f>HYPERLINK("https://ceds.ed.gov/cedselementdetails.aspx?termid=5770")</f>
        <v>https://ceds.ed.gov/cedselementdetails.aspx?termid=5770</v>
      </c>
      <c r="P2423" s="6" t="str">
        <f>HYPERLINK("https://ceds.ed.gov/elementComment.aspx?elementName=Adult Education Staff Classification &amp;elementID=5770", "Click here to submit comment")</f>
        <v>Click here to submit comment</v>
      </c>
    </row>
    <row r="2424" spans="1:16" ht="135">
      <c r="A2424" s="6" t="s">
        <v>6889</v>
      </c>
      <c r="B2424" s="6" t="s">
        <v>6891</v>
      </c>
      <c r="C2424" s="6" t="s">
        <v>6770</v>
      </c>
      <c r="D2424" s="6" t="s">
        <v>284</v>
      </c>
      <c r="E2424" s="6" t="s">
        <v>285</v>
      </c>
      <c r="F2424" s="7" t="s">
        <v>6367</v>
      </c>
      <c r="G2424" s="6"/>
      <c r="H2424" s="6"/>
      <c r="I2424" s="6"/>
      <c r="J2424" s="6"/>
      <c r="K2424" s="6"/>
      <c r="L2424" s="6" t="s">
        <v>286</v>
      </c>
      <c r="M2424" s="6"/>
      <c r="N2424" s="6" t="s">
        <v>287</v>
      </c>
      <c r="O2424" s="6" t="str">
        <f>HYPERLINK("https://ceds.ed.gov/cedselementdetails.aspx?termid=5771")</f>
        <v>https://ceds.ed.gov/cedselementdetails.aspx?termid=5771</v>
      </c>
      <c r="P2424" s="6" t="str">
        <f>HYPERLINK("https://ceds.ed.gov/elementComment.aspx?elementName=Adult Education Staff Employment Status &amp;elementID=5771", "Click here to submit comment")</f>
        <v>Click here to submit comment</v>
      </c>
    </row>
    <row r="2425" spans="1:16" ht="60">
      <c r="A2425" s="6" t="s">
        <v>6889</v>
      </c>
      <c r="B2425" s="6" t="s">
        <v>6891</v>
      </c>
      <c r="C2425" s="6" t="s">
        <v>6770</v>
      </c>
      <c r="D2425" s="6" t="s">
        <v>2492</v>
      </c>
      <c r="E2425" s="6" t="s">
        <v>2493</v>
      </c>
      <c r="F2425" s="6" t="s">
        <v>13</v>
      </c>
      <c r="G2425" s="6" t="s">
        <v>202</v>
      </c>
      <c r="H2425" s="6" t="s">
        <v>3</v>
      </c>
      <c r="I2425" s="6" t="s">
        <v>73</v>
      </c>
      <c r="J2425" s="6"/>
      <c r="K2425" s="6"/>
      <c r="L2425" s="6" t="s">
        <v>2494</v>
      </c>
      <c r="M2425" s="6"/>
      <c r="N2425" s="6" t="s">
        <v>2495</v>
      </c>
      <c r="O2425" s="6" t="str">
        <f>HYPERLINK("https://ceds.ed.gov/cedselementdetails.aspx?termid=5794")</f>
        <v>https://ceds.ed.gov/cedselementdetails.aspx?termid=5794</v>
      </c>
      <c r="P2425" s="6" t="str">
        <f>HYPERLINK("https://ceds.ed.gov/elementComment.aspx?elementName=Employment End Date &amp;elementID=5794", "Click here to submit comment")</f>
        <v>Click here to submit comment</v>
      </c>
    </row>
    <row r="2426" spans="1:16" ht="60">
      <c r="A2426" s="6" t="s">
        <v>6889</v>
      </c>
      <c r="B2426" s="6" t="s">
        <v>6891</v>
      </c>
      <c r="C2426" s="6" t="s">
        <v>6770</v>
      </c>
      <c r="D2426" s="6" t="s">
        <v>2534</v>
      </c>
      <c r="E2426" s="6" t="s">
        <v>2535</v>
      </c>
      <c r="F2426" s="6" t="s">
        <v>13</v>
      </c>
      <c r="G2426" s="6" t="s">
        <v>6154</v>
      </c>
      <c r="H2426" s="6" t="s">
        <v>3</v>
      </c>
      <c r="I2426" s="6" t="s">
        <v>73</v>
      </c>
      <c r="J2426" s="6"/>
      <c r="K2426" s="6"/>
      <c r="L2426" s="6" t="s">
        <v>2536</v>
      </c>
      <c r="M2426" s="6"/>
      <c r="N2426" s="6" t="s">
        <v>2537</v>
      </c>
      <c r="O2426" s="6" t="str">
        <f>HYPERLINK("https://ceds.ed.gov/cedselementdetails.aspx?termid=5345")</f>
        <v>https://ceds.ed.gov/cedselementdetails.aspx?termid=5345</v>
      </c>
      <c r="P2426" s="6" t="str">
        <f>HYPERLINK("https://ceds.ed.gov/elementComment.aspx?elementName=Employment Start Date &amp;elementID=5345", "Click here to submit comment")</f>
        <v>Click here to submit comment</v>
      </c>
    </row>
    <row r="2427" spans="1:16" ht="210">
      <c r="A2427" s="6" t="s">
        <v>6889</v>
      </c>
      <c r="B2427" s="6" t="s">
        <v>6891</v>
      </c>
      <c r="C2427" s="6" t="s">
        <v>6770</v>
      </c>
      <c r="D2427" s="6" t="s">
        <v>2980</v>
      </c>
      <c r="E2427" s="6" t="s">
        <v>2981</v>
      </c>
      <c r="F2427" s="6" t="s">
        <v>13</v>
      </c>
      <c r="G2427" s="6" t="s">
        <v>6197</v>
      </c>
      <c r="H2427" s="6" t="s">
        <v>3</v>
      </c>
      <c r="I2427" s="6" t="s">
        <v>73</v>
      </c>
      <c r="J2427" s="6"/>
      <c r="K2427" s="6" t="s">
        <v>2982</v>
      </c>
      <c r="L2427" s="6" t="s">
        <v>2983</v>
      </c>
      <c r="M2427" s="6"/>
      <c r="N2427" s="6" t="s">
        <v>2984</v>
      </c>
      <c r="O2427" s="6" t="str">
        <f>HYPERLINK("https://ceds.ed.gov/cedselementdetails.aspx?termid=5143")</f>
        <v>https://ceds.ed.gov/cedselementdetails.aspx?termid=5143</v>
      </c>
      <c r="P2427" s="6" t="str">
        <f>HYPERLINK("https://ceds.ed.gov/elementComment.aspx?elementName=Hire Date &amp;elementID=5143", "Click here to submit comment")</f>
        <v>Click here to submit comment</v>
      </c>
    </row>
    <row r="2428" spans="1:16" ht="60">
      <c r="A2428" s="6" t="s">
        <v>6889</v>
      </c>
      <c r="B2428" s="6" t="s">
        <v>6891</v>
      </c>
      <c r="C2428" s="6" t="s">
        <v>6822</v>
      </c>
      <c r="D2428" s="6" t="s">
        <v>268</v>
      </c>
      <c r="E2428" s="6" t="s">
        <v>269</v>
      </c>
      <c r="F2428" s="6" t="s">
        <v>13</v>
      </c>
      <c r="G2428" s="6"/>
      <c r="H2428" s="6" t="s">
        <v>3</v>
      </c>
      <c r="I2428" s="6" t="s">
        <v>100</v>
      </c>
      <c r="J2428" s="6"/>
      <c r="K2428" s="6"/>
      <c r="L2428" s="6" t="s">
        <v>270</v>
      </c>
      <c r="M2428" s="6"/>
      <c r="N2428" s="6" t="s">
        <v>271</v>
      </c>
      <c r="O2428" s="6" t="str">
        <f>HYPERLINK("https://ceds.ed.gov/cedselementdetails.aspx?termid=5777")</f>
        <v>https://ceds.ed.gov/cedselementdetails.aspx?termid=5777</v>
      </c>
      <c r="P2428" s="6" t="str">
        <f>HYPERLINK("https://ceds.ed.gov/elementComment.aspx?elementName=Adult Education Service Provider Identifier &amp;elementID=5777", "Click here to submit comment")</f>
        <v>Click here to submit comment</v>
      </c>
    </row>
    <row r="2429" spans="1:16" ht="315">
      <c r="A2429" s="6" t="s">
        <v>6889</v>
      </c>
      <c r="B2429" s="6" t="s">
        <v>6891</v>
      </c>
      <c r="C2429" s="6" t="s">
        <v>6822</v>
      </c>
      <c r="D2429" s="6" t="s">
        <v>264</v>
      </c>
      <c r="E2429" s="6" t="s">
        <v>265</v>
      </c>
      <c r="F2429" s="7" t="s">
        <v>6364</v>
      </c>
      <c r="G2429" s="6"/>
      <c r="H2429" s="6" t="s">
        <v>3</v>
      </c>
      <c r="I2429" s="6"/>
      <c r="J2429" s="6"/>
      <c r="K2429" s="6"/>
      <c r="L2429" s="6" t="s">
        <v>266</v>
      </c>
      <c r="M2429" s="6"/>
      <c r="N2429" s="6" t="s">
        <v>267</v>
      </c>
      <c r="O2429" s="6" t="str">
        <f>HYPERLINK("https://ceds.ed.gov/cedselementdetails.aspx?termid=5778")</f>
        <v>https://ceds.ed.gov/cedselementdetails.aspx?termid=5778</v>
      </c>
      <c r="P2429" s="6" t="str">
        <f>HYPERLINK("https://ceds.ed.gov/elementComment.aspx?elementName=Adult Education Service Provider Identification System &amp;elementID=5778", "Click here to submit comment")</f>
        <v>Click here to submit comment</v>
      </c>
    </row>
    <row r="2430" spans="1:16" ht="255">
      <c r="A2430" s="6" t="s">
        <v>6889</v>
      </c>
      <c r="B2430" s="6" t="s">
        <v>6894</v>
      </c>
      <c r="C2430" s="6"/>
      <c r="D2430" s="6" t="s">
        <v>259</v>
      </c>
      <c r="E2430" s="6" t="s">
        <v>260</v>
      </c>
      <c r="F2430" s="7" t="s">
        <v>6363</v>
      </c>
      <c r="G2430" s="6"/>
      <c r="H2430" s="6" t="s">
        <v>66</v>
      </c>
      <c r="I2430" s="6"/>
      <c r="J2430" s="6" t="s">
        <v>193</v>
      </c>
      <c r="K2430" s="6"/>
      <c r="L2430" s="6" t="s">
        <v>262</v>
      </c>
      <c r="M2430" s="6"/>
      <c r="N2430" s="6" t="s">
        <v>263</v>
      </c>
      <c r="O2430" s="6" t="str">
        <f>HYPERLINK("https://ceds.ed.gov/cedselementdetails.aspx?termid=5779")</f>
        <v>https://ceds.ed.gov/cedselementdetails.aspx?termid=5779</v>
      </c>
      <c r="P2430" s="6" t="str">
        <f>HYPERLINK("https://ceds.ed.gov/elementComment.aspx?elementName=Adult Education Provider Type &amp;elementID=5779", "Click here to submit comment")</f>
        <v>Click here to submit comment</v>
      </c>
    </row>
    <row r="2431" spans="1:16" ht="315">
      <c r="A2431" s="6" t="s">
        <v>6889</v>
      </c>
      <c r="B2431" s="6" t="s">
        <v>6894</v>
      </c>
      <c r="C2431" s="6"/>
      <c r="D2431" s="6" t="s">
        <v>264</v>
      </c>
      <c r="E2431" s="6" t="s">
        <v>265</v>
      </c>
      <c r="F2431" s="7" t="s">
        <v>6364</v>
      </c>
      <c r="G2431" s="6"/>
      <c r="H2431" s="6" t="s">
        <v>3</v>
      </c>
      <c r="I2431" s="6"/>
      <c r="J2431" s="6"/>
      <c r="K2431" s="6"/>
      <c r="L2431" s="6" t="s">
        <v>266</v>
      </c>
      <c r="M2431" s="6"/>
      <c r="N2431" s="6" t="s">
        <v>267</v>
      </c>
      <c r="O2431" s="6" t="str">
        <f>HYPERLINK("https://ceds.ed.gov/cedselementdetails.aspx?termid=5778")</f>
        <v>https://ceds.ed.gov/cedselementdetails.aspx?termid=5778</v>
      </c>
      <c r="P2431" s="6" t="str">
        <f>HYPERLINK("https://ceds.ed.gov/elementComment.aspx?elementName=Adult Education Service Provider Identification System &amp;elementID=5778", "Click here to submit comment")</f>
        <v>Click here to submit comment</v>
      </c>
    </row>
    <row r="2432" spans="1:16" ht="60">
      <c r="A2432" s="6" t="s">
        <v>6889</v>
      </c>
      <c r="B2432" s="6" t="s">
        <v>6894</v>
      </c>
      <c r="C2432" s="6"/>
      <c r="D2432" s="6" t="s">
        <v>268</v>
      </c>
      <c r="E2432" s="6" t="s">
        <v>269</v>
      </c>
      <c r="F2432" s="6" t="s">
        <v>13</v>
      </c>
      <c r="G2432" s="6"/>
      <c r="H2432" s="6" t="s">
        <v>3</v>
      </c>
      <c r="I2432" s="6" t="s">
        <v>100</v>
      </c>
      <c r="J2432" s="6"/>
      <c r="K2432" s="6"/>
      <c r="L2432" s="6" t="s">
        <v>270</v>
      </c>
      <c r="M2432" s="6"/>
      <c r="N2432" s="6" t="s">
        <v>271</v>
      </c>
      <c r="O2432" s="6" t="str">
        <f>HYPERLINK("https://ceds.ed.gov/cedselementdetails.aspx?termid=5777")</f>
        <v>https://ceds.ed.gov/cedselementdetails.aspx?termid=5777</v>
      </c>
      <c r="P2432" s="6" t="str">
        <f>HYPERLINK("https://ceds.ed.gov/elementComment.aspx?elementName=Adult Education Service Provider Identifier &amp;elementID=5777", "Click here to submit comment")</f>
        <v>Click here to submit comment</v>
      </c>
    </row>
    <row r="2433" spans="1:16" ht="409.5">
      <c r="A2433" s="6" t="s">
        <v>6889</v>
      </c>
      <c r="B2433" s="6" t="s">
        <v>6817</v>
      </c>
      <c r="C2433" s="6"/>
      <c r="D2433" s="6" t="s">
        <v>1577</v>
      </c>
      <c r="E2433" s="6" t="s">
        <v>1578</v>
      </c>
      <c r="F2433" s="7" t="s">
        <v>6415</v>
      </c>
      <c r="G2433" s="6"/>
      <c r="H2433" s="6" t="s">
        <v>54</v>
      </c>
      <c r="I2433" s="6"/>
      <c r="J2433" s="6"/>
      <c r="K2433" s="6" t="s">
        <v>1579</v>
      </c>
      <c r="L2433" s="6" t="s">
        <v>1580</v>
      </c>
      <c r="M2433" s="6"/>
      <c r="N2433" s="6" t="s">
        <v>1581</v>
      </c>
      <c r="O2433" s="6" t="str">
        <f>HYPERLINK("https://ceds.ed.gov/cedselementdetails.aspx?termid=6254")</f>
        <v>https://ceds.ed.gov/cedselementdetails.aspx?termid=6254</v>
      </c>
      <c r="P2433" s="6" t="str">
        <f>HYPERLINK("https://ceds.ed.gov/elementComment.aspx?elementName=Career Cluster &amp;elementID=6254", "Click here to submit comment")</f>
        <v>Click here to submit comment</v>
      </c>
    </row>
    <row r="2434" spans="1:16" ht="75">
      <c r="A2434" s="6" t="s">
        <v>6889</v>
      </c>
      <c r="B2434" s="6" t="s">
        <v>6817</v>
      </c>
      <c r="C2434" s="6"/>
      <c r="D2434" s="6" t="s">
        <v>1590</v>
      </c>
      <c r="E2434" s="6" t="s">
        <v>1591</v>
      </c>
      <c r="F2434" s="6" t="s">
        <v>5963</v>
      </c>
      <c r="G2434" s="6"/>
      <c r="H2434" s="6" t="s">
        <v>54</v>
      </c>
      <c r="I2434" s="6"/>
      <c r="J2434" s="6"/>
      <c r="K2434" s="6"/>
      <c r="L2434" s="6" t="s">
        <v>1592</v>
      </c>
      <c r="M2434" s="6"/>
      <c r="N2434" s="6" t="s">
        <v>1593</v>
      </c>
      <c r="O2434" s="6" t="str">
        <f>HYPERLINK("https://ceds.ed.gov/cedselementdetails.aspx?termid=6257")</f>
        <v>https://ceds.ed.gov/cedselementdetails.aspx?termid=6257</v>
      </c>
      <c r="P2434" s="6" t="str">
        <f>HYPERLINK("https://ceds.ed.gov/elementComment.aspx?elementName=Career Pathways Program Participation Indicator &amp;elementID=6257", "Click here to submit comment")</f>
        <v>Click here to submit comment</v>
      </c>
    </row>
    <row r="2435" spans="1:16" ht="105">
      <c r="A2435" s="6" t="s">
        <v>6889</v>
      </c>
      <c r="B2435" s="6" t="s">
        <v>6894</v>
      </c>
      <c r="C2435" s="6"/>
      <c r="D2435" s="6" t="s">
        <v>3963</v>
      </c>
      <c r="E2435" s="6" t="s">
        <v>3964</v>
      </c>
      <c r="F2435" s="7" t="s">
        <v>6572</v>
      </c>
      <c r="G2435" s="6" t="s">
        <v>6093</v>
      </c>
      <c r="H2435" s="6"/>
      <c r="I2435" s="6"/>
      <c r="J2435" s="6"/>
      <c r="K2435" s="6"/>
      <c r="L2435" s="6" t="s">
        <v>3965</v>
      </c>
      <c r="M2435" s="6"/>
      <c r="N2435" s="6" t="s">
        <v>3966</v>
      </c>
      <c r="O2435" s="6" t="str">
        <f>HYPERLINK("https://ceds.ed.gov/cedselementdetails.aspx?termid=5178")</f>
        <v>https://ceds.ed.gov/cedselementdetails.aspx?termid=5178</v>
      </c>
      <c r="P2435" s="6" t="str">
        <f>HYPERLINK("https://ceds.ed.gov/elementComment.aspx?elementName=Level of Institution &amp;elementID=5178", "Click here to submit comment")</f>
        <v>Click here to submit comment</v>
      </c>
    </row>
    <row r="2436" spans="1:16" ht="225">
      <c r="A2436" s="6" t="s">
        <v>6889</v>
      </c>
      <c r="B2436" s="6" t="s">
        <v>6894</v>
      </c>
      <c r="C2436" s="6"/>
      <c r="D2436" s="6" t="s">
        <v>4189</v>
      </c>
      <c r="E2436" s="6" t="s">
        <v>4190</v>
      </c>
      <c r="F2436" s="6" t="s">
        <v>13</v>
      </c>
      <c r="G2436" s="6" t="s">
        <v>6257</v>
      </c>
      <c r="H2436" s="6"/>
      <c r="I2436" s="6" t="s">
        <v>106</v>
      </c>
      <c r="J2436" s="6"/>
      <c r="K2436" s="6"/>
      <c r="L2436" s="6" t="s">
        <v>4191</v>
      </c>
      <c r="M2436" s="6"/>
      <c r="N2436" s="6" t="s">
        <v>4192</v>
      </c>
      <c r="O2436" s="6" t="str">
        <f>HYPERLINK("https://ceds.ed.gov/cedselementdetails.aspx?termid=5191")</f>
        <v>https://ceds.ed.gov/cedselementdetails.aspx?termid=5191</v>
      </c>
      <c r="P2436" s="6" t="str">
        <f>HYPERLINK("https://ceds.ed.gov/elementComment.aspx?elementName=Name of Institution &amp;elementID=5191", "Click here to submit comment")</f>
        <v>Click here to submit comment</v>
      </c>
    </row>
    <row r="2437" spans="1:16" ht="90">
      <c r="A2437" s="6" t="s">
        <v>6889</v>
      </c>
      <c r="B2437" s="6" t="s">
        <v>6894</v>
      </c>
      <c r="C2437" s="6"/>
      <c r="D2437" s="6" t="s">
        <v>5361</v>
      </c>
      <c r="E2437" s="6" t="s">
        <v>5362</v>
      </c>
      <c r="F2437" s="6" t="s">
        <v>13</v>
      </c>
      <c r="G2437" s="6"/>
      <c r="H2437" s="6" t="s">
        <v>54</v>
      </c>
      <c r="I2437" s="6" t="s">
        <v>100</v>
      </c>
      <c r="J2437" s="6"/>
      <c r="K2437" s="6" t="s">
        <v>5363</v>
      </c>
      <c r="L2437" s="6" t="s">
        <v>5364</v>
      </c>
      <c r="M2437" s="6"/>
      <c r="N2437" s="6" t="s">
        <v>5365</v>
      </c>
      <c r="O2437" s="6" t="str">
        <f>HYPERLINK("https://ceds.ed.gov/cedselementdetails.aspx?termid=6459")</f>
        <v>https://ceds.ed.gov/cedselementdetails.aspx?termid=6459</v>
      </c>
      <c r="P2437" s="6" t="str">
        <f>HYPERLINK("https://ceds.ed.gov/elementComment.aspx?elementName=Short Name of Institution &amp;elementID=6459", "Click here to submit comment")</f>
        <v>Click here to submit comment</v>
      </c>
    </row>
    <row r="2438" spans="1:16" ht="195">
      <c r="A2438" s="6" t="s">
        <v>6895</v>
      </c>
      <c r="B2438" s="6" t="s">
        <v>6896</v>
      </c>
      <c r="C2438" s="6" t="s">
        <v>6717</v>
      </c>
      <c r="D2438" s="6" t="s">
        <v>2776</v>
      </c>
      <c r="E2438" s="6" t="s">
        <v>2777</v>
      </c>
      <c r="F2438" s="6" t="s">
        <v>13</v>
      </c>
      <c r="G2438" s="6" t="s">
        <v>6176</v>
      </c>
      <c r="H2438" s="6" t="s">
        <v>3</v>
      </c>
      <c r="I2438" s="6" t="s">
        <v>1368</v>
      </c>
      <c r="J2438" s="6"/>
      <c r="K2438" s="6" t="s">
        <v>2778</v>
      </c>
      <c r="L2438" s="6" t="s">
        <v>2779</v>
      </c>
      <c r="M2438" s="6"/>
      <c r="N2438" s="6" t="s">
        <v>2780</v>
      </c>
      <c r="O2438" s="6" t="str">
        <f>HYPERLINK("https://ceds.ed.gov/cedselementdetails.aspx?termid=5115")</f>
        <v>https://ceds.ed.gov/cedselementdetails.aspx?termid=5115</v>
      </c>
      <c r="P2438" s="6" t="str">
        <f>HYPERLINK("https://ceds.ed.gov/elementComment.aspx?elementName=First Name &amp;elementID=5115", "Click here to submit comment")</f>
        <v>Click here to submit comment</v>
      </c>
    </row>
    <row r="2439" spans="1:16" ht="195">
      <c r="A2439" s="6" t="s">
        <v>6895</v>
      </c>
      <c r="B2439" s="6" t="s">
        <v>6896</v>
      </c>
      <c r="C2439" s="6" t="s">
        <v>6717</v>
      </c>
      <c r="D2439" s="6" t="s">
        <v>4088</v>
      </c>
      <c r="E2439" s="6" t="s">
        <v>4089</v>
      </c>
      <c r="F2439" s="6" t="s">
        <v>13</v>
      </c>
      <c r="G2439" s="6" t="s">
        <v>6176</v>
      </c>
      <c r="H2439" s="6" t="s">
        <v>3</v>
      </c>
      <c r="I2439" s="6" t="s">
        <v>1368</v>
      </c>
      <c r="J2439" s="6"/>
      <c r="K2439" s="6" t="s">
        <v>2778</v>
      </c>
      <c r="L2439" s="6" t="s">
        <v>4090</v>
      </c>
      <c r="M2439" s="6"/>
      <c r="N2439" s="6" t="s">
        <v>4091</v>
      </c>
      <c r="O2439" s="6" t="str">
        <f>HYPERLINK("https://ceds.ed.gov/cedselementdetails.aspx?termid=5184")</f>
        <v>https://ceds.ed.gov/cedselementdetails.aspx?termid=5184</v>
      </c>
      <c r="P2439" s="6" t="str">
        <f>HYPERLINK("https://ceds.ed.gov/elementComment.aspx?elementName=Middle Name &amp;elementID=5184", "Click here to submit comment")</f>
        <v>Click here to submit comment</v>
      </c>
    </row>
    <row r="2440" spans="1:16" ht="195">
      <c r="A2440" s="6" t="s">
        <v>6895</v>
      </c>
      <c r="B2440" s="6" t="s">
        <v>6896</v>
      </c>
      <c r="C2440" s="6" t="s">
        <v>6717</v>
      </c>
      <c r="D2440" s="6" t="s">
        <v>3427</v>
      </c>
      <c r="E2440" s="6" t="s">
        <v>3428</v>
      </c>
      <c r="F2440" s="6" t="s">
        <v>13</v>
      </c>
      <c r="G2440" s="6" t="s">
        <v>6176</v>
      </c>
      <c r="H2440" s="6" t="s">
        <v>3</v>
      </c>
      <c r="I2440" s="6" t="s">
        <v>1368</v>
      </c>
      <c r="J2440" s="6"/>
      <c r="K2440" s="6" t="s">
        <v>2778</v>
      </c>
      <c r="L2440" s="6" t="s">
        <v>3429</v>
      </c>
      <c r="M2440" s="6" t="s">
        <v>3430</v>
      </c>
      <c r="N2440" s="6" t="s">
        <v>3431</v>
      </c>
      <c r="O2440" s="6" t="str">
        <f>HYPERLINK("https://ceds.ed.gov/cedselementdetails.aspx?termid=5172")</f>
        <v>https://ceds.ed.gov/cedselementdetails.aspx?termid=5172</v>
      </c>
      <c r="P2440" s="6" t="str">
        <f>HYPERLINK("https://ceds.ed.gov/elementComment.aspx?elementName=Last or Surname &amp;elementID=5172", "Click here to submit comment")</f>
        <v>Click here to submit comment</v>
      </c>
    </row>
    <row r="2441" spans="1:16" ht="150">
      <c r="A2441" s="6" t="s">
        <v>6895</v>
      </c>
      <c r="B2441" s="6" t="s">
        <v>6896</v>
      </c>
      <c r="C2441" s="6" t="s">
        <v>6717</v>
      </c>
      <c r="D2441" s="6" t="s">
        <v>2829</v>
      </c>
      <c r="E2441" s="6" t="s">
        <v>2830</v>
      </c>
      <c r="F2441" s="6" t="s">
        <v>13</v>
      </c>
      <c r="G2441" s="6" t="s">
        <v>6179</v>
      </c>
      <c r="H2441" s="6" t="s">
        <v>3</v>
      </c>
      <c r="I2441" s="6" t="s">
        <v>2031</v>
      </c>
      <c r="J2441" s="6"/>
      <c r="K2441" s="6" t="s">
        <v>2778</v>
      </c>
      <c r="L2441" s="6" t="s">
        <v>2831</v>
      </c>
      <c r="M2441" s="6"/>
      <c r="N2441" s="6" t="s">
        <v>2832</v>
      </c>
      <c r="O2441" s="6" t="str">
        <f>HYPERLINK("https://ceds.ed.gov/cedselementdetails.aspx?termid=5121")</f>
        <v>https://ceds.ed.gov/cedselementdetails.aspx?termid=5121</v>
      </c>
      <c r="P2441" s="6" t="str">
        <f>HYPERLINK("https://ceds.ed.gov/elementComment.aspx?elementName=Generation Code or Suffix &amp;elementID=5121", "Click here to submit comment")</f>
        <v>Click here to submit comment</v>
      </c>
    </row>
    <row r="2442" spans="1:16" ht="105">
      <c r="A2442" s="6" t="s">
        <v>6895</v>
      </c>
      <c r="B2442" s="6" t="s">
        <v>6896</v>
      </c>
      <c r="C2442" s="6" t="s">
        <v>6717</v>
      </c>
      <c r="D2442" s="6" t="s">
        <v>4498</v>
      </c>
      <c r="E2442" s="6" t="s">
        <v>4499</v>
      </c>
      <c r="F2442" s="6" t="s">
        <v>13</v>
      </c>
      <c r="G2442" s="6" t="s">
        <v>6280</v>
      </c>
      <c r="H2442" s="6" t="s">
        <v>3</v>
      </c>
      <c r="I2442" s="6" t="s">
        <v>100</v>
      </c>
      <c r="J2442" s="6"/>
      <c r="K2442" s="6"/>
      <c r="L2442" s="6" t="s">
        <v>4500</v>
      </c>
      <c r="M2442" s="6" t="s">
        <v>4501</v>
      </c>
      <c r="N2442" s="6" t="s">
        <v>4502</v>
      </c>
      <c r="O2442" s="6" t="str">
        <f>HYPERLINK("https://ceds.ed.gov/cedselementdetails.aspx?termid=5212")</f>
        <v>https://ceds.ed.gov/cedselementdetails.aspx?termid=5212</v>
      </c>
      <c r="P2442" s="6" t="str">
        <f>HYPERLINK("https://ceds.ed.gov/elementComment.aspx?elementName=Personal Title or Prefix &amp;elementID=5212", "Click here to submit comment")</f>
        <v>Click here to submit comment</v>
      </c>
    </row>
    <row r="2443" spans="1:16" ht="30">
      <c r="A2443" s="6" t="s">
        <v>6895</v>
      </c>
      <c r="B2443" s="6" t="s">
        <v>6896</v>
      </c>
      <c r="C2443" s="6" t="s">
        <v>6718</v>
      </c>
      <c r="D2443" s="6" t="s">
        <v>4375</v>
      </c>
      <c r="E2443" s="6" t="s">
        <v>4376</v>
      </c>
      <c r="F2443" s="6" t="s">
        <v>13</v>
      </c>
      <c r="G2443" s="6"/>
      <c r="H2443" s="6" t="s">
        <v>54</v>
      </c>
      <c r="I2443" s="6" t="s">
        <v>1368</v>
      </c>
      <c r="J2443" s="6"/>
      <c r="K2443" s="6" t="s">
        <v>4377</v>
      </c>
      <c r="L2443" s="6" t="s">
        <v>4378</v>
      </c>
      <c r="M2443" s="6"/>
      <c r="N2443" s="6" t="s">
        <v>4379</v>
      </c>
      <c r="O2443" s="6" t="str">
        <f>HYPERLINK("https://ceds.ed.gov/cedselementdetails.aspx?termid=6486")</f>
        <v>https://ceds.ed.gov/cedselementdetails.aspx?termid=6486</v>
      </c>
      <c r="P2443" s="6" t="str">
        <f>HYPERLINK("https://ceds.ed.gov/elementComment.aspx?elementName=Other First Name &amp;elementID=6486", "Click here to submit comment")</f>
        <v>Click here to submit comment</v>
      </c>
    </row>
    <row r="2444" spans="1:16" ht="30">
      <c r="A2444" s="6" t="s">
        <v>6895</v>
      </c>
      <c r="B2444" s="6" t="s">
        <v>6896</v>
      </c>
      <c r="C2444" s="6" t="s">
        <v>6718</v>
      </c>
      <c r="D2444" s="6" t="s">
        <v>4380</v>
      </c>
      <c r="E2444" s="6" t="s">
        <v>4381</v>
      </c>
      <c r="F2444" s="6" t="s">
        <v>13</v>
      </c>
      <c r="G2444" s="6"/>
      <c r="H2444" s="6" t="s">
        <v>54</v>
      </c>
      <c r="I2444" s="6" t="s">
        <v>1368</v>
      </c>
      <c r="J2444" s="6"/>
      <c r="K2444" s="6" t="s">
        <v>4382</v>
      </c>
      <c r="L2444" s="6" t="s">
        <v>4383</v>
      </c>
      <c r="M2444" s="6"/>
      <c r="N2444" s="6" t="s">
        <v>4384</v>
      </c>
      <c r="O2444" s="6" t="str">
        <f>HYPERLINK("https://ceds.ed.gov/cedselementdetails.aspx?termid=6485")</f>
        <v>https://ceds.ed.gov/cedselementdetails.aspx?termid=6485</v>
      </c>
      <c r="P2444" s="6" t="str">
        <f>HYPERLINK("https://ceds.ed.gov/elementComment.aspx?elementName=Other Last Name &amp;elementID=6485", "Click here to submit comment")</f>
        <v>Click here to submit comment</v>
      </c>
    </row>
    <row r="2445" spans="1:16" ht="30">
      <c r="A2445" s="6" t="s">
        <v>6895</v>
      </c>
      <c r="B2445" s="6" t="s">
        <v>6896</v>
      </c>
      <c r="C2445" s="6" t="s">
        <v>6718</v>
      </c>
      <c r="D2445" s="6" t="s">
        <v>4385</v>
      </c>
      <c r="E2445" s="6" t="s">
        <v>4386</v>
      </c>
      <c r="F2445" s="6" t="s">
        <v>13</v>
      </c>
      <c r="G2445" s="6"/>
      <c r="H2445" s="6" t="s">
        <v>54</v>
      </c>
      <c r="I2445" s="6" t="s">
        <v>1368</v>
      </c>
      <c r="J2445" s="6"/>
      <c r="K2445" s="6" t="s">
        <v>4387</v>
      </c>
      <c r="L2445" s="6" t="s">
        <v>4388</v>
      </c>
      <c r="M2445" s="6"/>
      <c r="N2445" s="6" t="s">
        <v>4389</v>
      </c>
      <c r="O2445" s="6" t="str">
        <f>HYPERLINK("https://ceds.ed.gov/cedselementdetails.aspx?termid=6487")</f>
        <v>https://ceds.ed.gov/cedselementdetails.aspx?termid=6487</v>
      </c>
      <c r="P2445" s="6" t="str">
        <f>HYPERLINK("https://ceds.ed.gov/elementComment.aspx?elementName=Other Middle Name &amp;elementID=6487", "Click here to submit comment")</f>
        <v>Click here to submit comment</v>
      </c>
    </row>
    <row r="2446" spans="1:16" ht="150">
      <c r="A2446" s="6" t="s">
        <v>6895</v>
      </c>
      <c r="B2446" s="6" t="s">
        <v>6896</v>
      </c>
      <c r="C2446" s="6" t="s">
        <v>6718</v>
      </c>
      <c r="D2446" s="6" t="s">
        <v>4390</v>
      </c>
      <c r="E2446" s="6" t="s">
        <v>4391</v>
      </c>
      <c r="F2446" s="6" t="s">
        <v>13</v>
      </c>
      <c r="G2446" s="6" t="s">
        <v>6179</v>
      </c>
      <c r="H2446" s="6" t="s">
        <v>3</v>
      </c>
      <c r="I2446" s="6" t="s">
        <v>149</v>
      </c>
      <c r="J2446" s="6"/>
      <c r="K2446" s="6"/>
      <c r="L2446" s="6" t="s">
        <v>4392</v>
      </c>
      <c r="M2446" s="6"/>
      <c r="N2446" s="6" t="s">
        <v>4393</v>
      </c>
      <c r="O2446" s="6" t="str">
        <f>HYPERLINK("https://ceds.ed.gov/cedselementdetails.aspx?termid=5206")</f>
        <v>https://ceds.ed.gov/cedselementdetails.aspx?termid=5206</v>
      </c>
      <c r="P2446" s="6" t="str">
        <f>HYPERLINK("https://ceds.ed.gov/elementComment.aspx?elementName=Other Name &amp;elementID=5206", "Click here to submit comment")</f>
        <v>Click here to submit comment</v>
      </c>
    </row>
    <row r="2447" spans="1:16" ht="90">
      <c r="A2447" s="6" t="s">
        <v>6895</v>
      </c>
      <c r="B2447" s="6" t="s">
        <v>6896</v>
      </c>
      <c r="C2447" s="6" t="s">
        <v>6718</v>
      </c>
      <c r="D2447" s="6" t="s">
        <v>4394</v>
      </c>
      <c r="E2447" s="6" t="s">
        <v>4395</v>
      </c>
      <c r="F2447" s="7" t="s">
        <v>6593</v>
      </c>
      <c r="G2447" s="6" t="s">
        <v>6273</v>
      </c>
      <c r="H2447" s="6" t="s">
        <v>3</v>
      </c>
      <c r="I2447" s="6" t="s">
        <v>100</v>
      </c>
      <c r="J2447" s="6"/>
      <c r="K2447" s="6"/>
      <c r="L2447" s="6" t="s">
        <v>4396</v>
      </c>
      <c r="M2447" s="6"/>
      <c r="N2447" s="6" t="s">
        <v>4397</v>
      </c>
      <c r="O2447" s="6" t="str">
        <f>HYPERLINK("https://ceds.ed.gov/cedselementdetails.aspx?termid=5627")</f>
        <v>https://ceds.ed.gov/cedselementdetails.aspx?termid=5627</v>
      </c>
      <c r="P2447" s="6" t="str">
        <f>HYPERLINK("https://ceds.ed.gov/elementComment.aspx?elementName=Other Name Type &amp;elementID=5627", "Click here to submit comment")</f>
        <v>Click here to submit comment</v>
      </c>
    </row>
    <row r="2448" spans="1:16" ht="390">
      <c r="A2448" s="6" t="s">
        <v>6895</v>
      </c>
      <c r="B2448" s="6" t="s">
        <v>6896</v>
      </c>
      <c r="C2448" s="6" t="s">
        <v>6719</v>
      </c>
      <c r="D2448" s="6" t="s">
        <v>5383</v>
      </c>
      <c r="E2448" s="6" t="s">
        <v>5384</v>
      </c>
      <c r="F2448" s="6" t="s">
        <v>13</v>
      </c>
      <c r="G2448" s="6" t="s">
        <v>6315</v>
      </c>
      <c r="H2448" s="6" t="s">
        <v>3</v>
      </c>
      <c r="I2448" s="6" t="s">
        <v>5385</v>
      </c>
      <c r="J2448" s="6"/>
      <c r="K2448" s="6" t="s">
        <v>5386</v>
      </c>
      <c r="L2448" s="6" t="s">
        <v>5387</v>
      </c>
      <c r="M2448" s="6" t="s">
        <v>5388</v>
      </c>
      <c r="N2448" s="6" t="s">
        <v>5389</v>
      </c>
      <c r="O2448" s="6" t="str">
        <f>HYPERLINK("https://ceds.ed.gov/cedselementdetails.aspx?termid=5259")</f>
        <v>https://ceds.ed.gov/cedselementdetails.aspx?termid=5259</v>
      </c>
      <c r="P2448" s="6" t="str">
        <f>HYPERLINK("https://ceds.ed.gov/elementComment.aspx?elementName=Social Security Number &amp;elementID=5259", "Click here to submit comment")</f>
        <v>Click here to submit comment</v>
      </c>
    </row>
    <row r="2449" spans="1:16" ht="375">
      <c r="A2449" s="6" t="s">
        <v>6895</v>
      </c>
      <c r="B2449" s="6" t="s">
        <v>6896</v>
      </c>
      <c r="C2449" s="6" t="s">
        <v>6719</v>
      </c>
      <c r="D2449" s="6" t="s">
        <v>4494</v>
      </c>
      <c r="E2449" s="6" t="s">
        <v>4495</v>
      </c>
      <c r="F2449" s="7" t="s">
        <v>6599</v>
      </c>
      <c r="G2449" s="6"/>
      <c r="H2449" s="6" t="s">
        <v>3</v>
      </c>
      <c r="I2449" s="6"/>
      <c r="J2449" s="6"/>
      <c r="K2449" s="6"/>
      <c r="L2449" s="6" t="s">
        <v>4496</v>
      </c>
      <c r="M2449" s="6"/>
      <c r="N2449" s="6" t="s">
        <v>4497</v>
      </c>
      <c r="O2449" s="6" t="str">
        <f>HYPERLINK("https://ceds.ed.gov/cedselementdetails.aspx?termid=5611")</f>
        <v>https://ceds.ed.gov/cedselementdetails.aspx?termid=5611</v>
      </c>
      <c r="P2449" s="6" t="str">
        <f>HYPERLINK("https://ceds.ed.gov/elementComment.aspx?elementName=Personal Information Verification &amp;elementID=5611", "Click here to submit comment")</f>
        <v>Click here to submit comment</v>
      </c>
    </row>
    <row r="2450" spans="1:16" ht="180">
      <c r="A2450" s="6" t="s">
        <v>6895</v>
      </c>
      <c r="B2450" s="6" t="s">
        <v>6896</v>
      </c>
      <c r="C2450" s="6" t="s">
        <v>6886</v>
      </c>
      <c r="D2450" s="6" t="s">
        <v>5945</v>
      </c>
      <c r="E2450" s="6" t="s">
        <v>5946</v>
      </c>
      <c r="F2450" s="6" t="s">
        <v>13</v>
      </c>
      <c r="G2450" s="6"/>
      <c r="H2450" s="6" t="s">
        <v>66</v>
      </c>
      <c r="I2450" s="6" t="s">
        <v>73</v>
      </c>
      <c r="J2450" s="6" t="s">
        <v>5947</v>
      </c>
      <c r="K2450" s="6" t="s">
        <v>5942</v>
      </c>
      <c r="L2450" s="6" t="s">
        <v>5948</v>
      </c>
      <c r="M2450" s="6"/>
      <c r="N2450" s="6" t="s">
        <v>5949</v>
      </c>
      <c r="O2450" s="6" t="str">
        <f>HYPERLINK("https://ceds.ed.gov/cedselementdetails.aspx?termid=6001")</f>
        <v>https://ceds.ed.gov/cedselementdetails.aspx?termid=6001</v>
      </c>
      <c r="P2450" s="6" t="str">
        <f>HYPERLINK("https://ceds.ed.gov/elementComment.aspx?elementName=Workforce Program Participation Start Date &amp;elementID=6001", "Click here to submit comment")</f>
        <v>Click here to submit comment</v>
      </c>
    </row>
    <row r="2451" spans="1:16" ht="180">
      <c r="A2451" s="6" t="s">
        <v>6895</v>
      </c>
      <c r="B2451" s="6" t="s">
        <v>6896</v>
      </c>
      <c r="C2451" s="6" t="s">
        <v>6886</v>
      </c>
      <c r="D2451" s="6" t="s">
        <v>5939</v>
      </c>
      <c r="E2451" s="6" t="s">
        <v>5940</v>
      </c>
      <c r="F2451" s="6" t="s">
        <v>13</v>
      </c>
      <c r="G2451" s="6"/>
      <c r="H2451" s="6" t="s">
        <v>66</v>
      </c>
      <c r="I2451" s="6" t="s">
        <v>73</v>
      </c>
      <c r="J2451" s="6" t="s">
        <v>5941</v>
      </c>
      <c r="K2451" s="6" t="s">
        <v>5942</v>
      </c>
      <c r="L2451" s="6" t="s">
        <v>5943</v>
      </c>
      <c r="M2451" s="6"/>
      <c r="N2451" s="6" t="s">
        <v>5944</v>
      </c>
      <c r="O2451" s="6" t="str">
        <f>HYPERLINK("https://ceds.ed.gov/cedselementdetails.aspx?termid=6002")</f>
        <v>https://ceds.ed.gov/cedselementdetails.aspx?termid=6002</v>
      </c>
      <c r="P2451" s="6" t="str">
        <f>HYPERLINK("https://ceds.ed.gov/elementComment.aspx?elementName=Workforce Program Participation End Date &amp;elementID=6002", "Click here to submit comment")</f>
        <v>Click here to submit comment</v>
      </c>
    </row>
    <row r="2452" spans="1:16" ht="409.5">
      <c r="A2452" s="6" t="s">
        <v>6895</v>
      </c>
      <c r="B2452" s="6" t="s">
        <v>6896</v>
      </c>
      <c r="C2452" s="6" t="s">
        <v>6886</v>
      </c>
      <c r="D2452" s="6" t="s">
        <v>5932</v>
      </c>
      <c r="E2452" s="6" t="s">
        <v>5933</v>
      </c>
      <c r="F2452" s="7" t="s">
        <v>6696</v>
      </c>
      <c r="G2452" s="6"/>
      <c r="H2452" s="6" t="s">
        <v>66</v>
      </c>
      <c r="I2452" s="6"/>
      <c r="J2452" s="6" t="s">
        <v>5935</v>
      </c>
      <c r="K2452" s="6" t="s">
        <v>5936</v>
      </c>
      <c r="L2452" s="6" t="s">
        <v>5937</v>
      </c>
      <c r="M2452" s="6"/>
      <c r="N2452" s="6" t="s">
        <v>5938</v>
      </c>
      <c r="O2452" s="6" t="str">
        <f>HYPERLINK("https://ceds.ed.gov/cedselementdetails.aspx?termid=6000")</f>
        <v>https://ceds.ed.gov/cedselementdetails.aspx?termid=6000</v>
      </c>
      <c r="P2452" s="6" t="str">
        <f>HYPERLINK("https://ceds.ed.gov/elementComment.aspx?elementName=Workforce Program Participation &amp;elementID=6000", "Click here to submit comment")</f>
        <v>Click here to submit comment</v>
      </c>
    </row>
    <row r="2453" spans="1:16" ht="270">
      <c r="A2453" s="6" t="s">
        <v>6895</v>
      </c>
      <c r="B2453" s="6" t="s">
        <v>6896</v>
      </c>
      <c r="C2453" s="6" t="s">
        <v>6806</v>
      </c>
      <c r="D2453" s="6" t="s">
        <v>4763</v>
      </c>
      <c r="E2453" s="6" t="s">
        <v>4764</v>
      </c>
      <c r="F2453" s="7" t="s">
        <v>6620</v>
      </c>
      <c r="G2453" s="6"/>
      <c r="H2453" s="6" t="s">
        <v>66</v>
      </c>
      <c r="I2453" s="6"/>
      <c r="J2453" s="6" t="s">
        <v>848</v>
      </c>
      <c r="K2453" s="6"/>
      <c r="L2453" s="6" t="s">
        <v>4765</v>
      </c>
      <c r="M2453" s="6"/>
      <c r="N2453" s="6" t="s">
        <v>4766</v>
      </c>
      <c r="O2453" s="6" t="str">
        <f>HYPERLINK("https://ceds.ed.gov/cedselementdetails.aspx?termid=5780")</f>
        <v>https://ceds.ed.gov/cedselementdetails.aspx?termid=5780</v>
      </c>
      <c r="P2453" s="6" t="str">
        <f>HYPERLINK("https://ceds.ed.gov/elementComment.aspx?elementName=Professional or Technical Credential Conferred &amp;elementID=5780", "Click here to submit comment")</f>
        <v>Click here to submit comment</v>
      </c>
    </row>
    <row r="2454" spans="1:16" ht="270">
      <c r="A2454" s="6" t="s">
        <v>6895</v>
      </c>
      <c r="B2454" s="6" t="s">
        <v>6897</v>
      </c>
      <c r="C2454" s="6"/>
      <c r="D2454" s="6" t="s">
        <v>2474</v>
      </c>
      <c r="E2454" s="6" t="s">
        <v>2475</v>
      </c>
      <c r="F2454" s="6" t="s">
        <v>6150</v>
      </c>
      <c r="G2454" s="6" t="s">
        <v>2476</v>
      </c>
      <c r="H2454" s="6" t="s">
        <v>66</v>
      </c>
      <c r="I2454" s="6"/>
      <c r="J2454" s="6" t="s">
        <v>2477</v>
      </c>
      <c r="K2454" s="6" t="s">
        <v>2478</v>
      </c>
      <c r="L2454" s="6" t="s">
        <v>2479</v>
      </c>
      <c r="M2454" s="6"/>
      <c r="N2454" s="6" t="s">
        <v>2480</v>
      </c>
      <c r="O2454" s="6" t="str">
        <f>HYPERLINK("https://ceds.ed.gov/cedselementdetails.aspx?termid=5990")</f>
        <v>https://ceds.ed.gov/cedselementdetails.aspx?termid=5990</v>
      </c>
      <c r="P2454" s="6" t="str">
        <f>HYPERLINK("https://ceds.ed.gov/elementComment.aspx?elementName=Employed After Exit &amp;elementID=5990", "Click here to submit comment")</f>
        <v>Click here to submit comment</v>
      </c>
    </row>
    <row r="2455" spans="1:16" ht="225">
      <c r="A2455" s="6" t="s">
        <v>6895</v>
      </c>
      <c r="B2455" s="6" t="s">
        <v>6897</v>
      </c>
      <c r="C2455" s="6"/>
      <c r="D2455" s="6" t="s">
        <v>2481</v>
      </c>
      <c r="E2455" s="6" t="s">
        <v>2482</v>
      </c>
      <c r="F2455" s="6" t="s">
        <v>6150</v>
      </c>
      <c r="G2455" s="6"/>
      <c r="H2455" s="6" t="s">
        <v>54</v>
      </c>
      <c r="I2455" s="6"/>
      <c r="J2455" s="6"/>
      <c r="K2455" s="6" t="s">
        <v>2484</v>
      </c>
      <c r="L2455" s="6" t="s">
        <v>2485</v>
      </c>
      <c r="M2455" s="6"/>
      <c r="N2455" s="6" t="s">
        <v>2486</v>
      </c>
      <c r="O2455" s="6" t="str">
        <f>HYPERLINK("https://ceds.ed.gov/cedselementdetails.aspx?termid=6309")</f>
        <v>https://ceds.ed.gov/cedselementdetails.aspx?termid=6309</v>
      </c>
      <c r="P2455" s="6" t="str">
        <f>HYPERLINK("https://ceds.ed.gov/elementComment.aspx?elementName=Employed Prior to Enrollment &amp;elementID=6309", "Click here to submit comment")</f>
        <v>Click here to submit comment</v>
      </c>
    </row>
    <row r="2456" spans="1:16" ht="225">
      <c r="A2456" s="6" t="s">
        <v>6895</v>
      </c>
      <c r="B2456" s="6" t="s">
        <v>6897</v>
      </c>
      <c r="C2456" s="6"/>
      <c r="D2456" s="6" t="s">
        <v>2487</v>
      </c>
      <c r="E2456" s="6" t="s">
        <v>2488</v>
      </c>
      <c r="F2456" s="6" t="s">
        <v>6150</v>
      </c>
      <c r="G2456" s="6" t="s">
        <v>2476</v>
      </c>
      <c r="H2456" s="6" t="s">
        <v>66</v>
      </c>
      <c r="I2456" s="6"/>
      <c r="J2456" s="6" t="s">
        <v>2477</v>
      </c>
      <c r="K2456" s="6" t="s">
        <v>2489</v>
      </c>
      <c r="L2456" s="6" t="s">
        <v>2490</v>
      </c>
      <c r="M2456" s="6"/>
      <c r="N2456" s="6" t="s">
        <v>2491</v>
      </c>
      <c r="O2456" s="6" t="str">
        <f>HYPERLINK("https://ceds.ed.gov/cedselementdetails.aspx?termid=5989")</f>
        <v>https://ceds.ed.gov/cedselementdetails.aspx?termid=5989</v>
      </c>
      <c r="P2456" s="6" t="str">
        <f>HYPERLINK("https://ceds.ed.gov/elementComment.aspx?elementName=Employed While Enrolled &amp;elementID=5989", "Click here to submit comment")</f>
        <v>Click here to submit comment</v>
      </c>
    </row>
    <row r="2457" spans="1:16" ht="409.5">
      <c r="A2457" s="6" t="s">
        <v>6895</v>
      </c>
      <c r="B2457" s="6" t="s">
        <v>6897</v>
      </c>
      <c r="C2457" s="6"/>
      <c r="D2457" s="6" t="s">
        <v>2496</v>
      </c>
      <c r="E2457" s="6" t="s">
        <v>2497</v>
      </c>
      <c r="F2457" s="7" t="s">
        <v>6492</v>
      </c>
      <c r="G2457" s="6"/>
      <c r="H2457" s="6" t="s">
        <v>66</v>
      </c>
      <c r="I2457" s="6"/>
      <c r="J2457" s="6" t="s">
        <v>2498</v>
      </c>
      <c r="K2457" s="6" t="s">
        <v>2499</v>
      </c>
      <c r="L2457" s="6" t="s">
        <v>2500</v>
      </c>
      <c r="M2457" s="6"/>
      <c r="N2457" s="6" t="s">
        <v>2501</v>
      </c>
      <c r="O2457" s="6" t="str">
        <f>HYPERLINK("https://ceds.ed.gov/cedselementdetails.aspx?termid=5992")</f>
        <v>https://ceds.ed.gov/cedselementdetails.aspx?termid=5992</v>
      </c>
      <c r="P2457" s="6" t="str">
        <f>HYPERLINK("https://ceds.ed.gov/elementComment.aspx?elementName=Employment Location &amp;elementID=5992", "Click here to submit comment")</f>
        <v>Click here to submit comment</v>
      </c>
    </row>
    <row r="2458" spans="1:16" ht="60">
      <c r="A2458" s="6" t="s">
        <v>6895</v>
      </c>
      <c r="B2458" s="6" t="s">
        <v>6897</v>
      </c>
      <c r="C2458" s="6"/>
      <c r="D2458" s="6" t="s">
        <v>2502</v>
      </c>
      <c r="E2458" s="6" t="s">
        <v>2503</v>
      </c>
      <c r="F2458" s="6" t="s">
        <v>2504</v>
      </c>
      <c r="G2458" s="6"/>
      <c r="H2458" s="6"/>
      <c r="I2458" s="6" t="s">
        <v>2505</v>
      </c>
      <c r="J2458" s="6"/>
      <c r="K2458" s="6"/>
      <c r="L2458" s="6" t="s">
        <v>2506</v>
      </c>
      <c r="M2458" s="6"/>
      <c r="N2458" s="6" t="s">
        <v>2507</v>
      </c>
      <c r="O2458" s="6" t="str">
        <f>HYPERLINK("https://ceds.ed.gov/cedselementdetails.aspx?termid=6070")</f>
        <v>https://ceds.ed.gov/cedselementdetails.aspx?termid=6070</v>
      </c>
      <c r="P2458" s="6" t="str">
        <f>HYPERLINK("https://ceds.ed.gov/elementComment.aspx?elementName=Employment NAICS Code &amp;elementID=6070", "Click here to submit comment")</f>
        <v>Click here to submit comment</v>
      </c>
    </row>
    <row r="2459" spans="1:16" ht="300">
      <c r="A2459" s="6" t="s">
        <v>6895</v>
      </c>
      <c r="B2459" s="6" t="s">
        <v>6897</v>
      </c>
      <c r="C2459" s="6"/>
      <c r="D2459" s="6" t="s">
        <v>2508</v>
      </c>
      <c r="E2459" s="6" t="s">
        <v>2509</v>
      </c>
      <c r="F2459" s="7" t="s">
        <v>6493</v>
      </c>
      <c r="G2459" s="6"/>
      <c r="H2459" s="6" t="s">
        <v>66</v>
      </c>
      <c r="I2459" s="6"/>
      <c r="J2459" s="6" t="s">
        <v>2510</v>
      </c>
      <c r="K2459" s="6" t="s">
        <v>2511</v>
      </c>
      <c r="L2459" s="6" t="s">
        <v>2512</v>
      </c>
      <c r="M2459" s="6"/>
      <c r="N2459" s="6" t="s">
        <v>2513</v>
      </c>
      <c r="O2459" s="6" t="str">
        <f>HYPERLINK("https://ceds.ed.gov/cedselementdetails.aspx?termid=5996")</f>
        <v>https://ceds.ed.gov/cedselementdetails.aspx?termid=5996</v>
      </c>
      <c r="P2459" s="6" t="str">
        <f>HYPERLINK("https://ceds.ed.gov/elementComment.aspx?elementName=Employment Record Administrative Data Source &amp;elementID=5996", "Click here to submit comment")</f>
        <v>Click here to submit comment</v>
      </c>
    </row>
    <row r="2460" spans="1:16" ht="360">
      <c r="A2460" s="6" t="s">
        <v>6895</v>
      </c>
      <c r="B2460" s="6" t="s">
        <v>6897</v>
      </c>
      <c r="C2460" s="6"/>
      <c r="D2460" s="6" t="s">
        <v>2514</v>
      </c>
      <c r="E2460" s="6" t="s">
        <v>2515</v>
      </c>
      <c r="F2460" s="6" t="s">
        <v>13</v>
      </c>
      <c r="G2460" s="6"/>
      <c r="H2460" s="6" t="s">
        <v>66</v>
      </c>
      <c r="I2460" s="6" t="s">
        <v>73</v>
      </c>
      <c r="J2460" s="6" t="s">
        <v>2516</v>
      </c>
      <c r="K2460" s="6" t="s">
        <v>2517</v>
      </c>
      <c r="L2460" s="6" t="s">
        <v>2518</v>
      </c>
      <c r="M2460" s="6"/>
      <c r="N2460" s="6" t="s">
        <v>2519</v>
      </c>
      <c r="O2460" s="6" t="str">
        <f>HYPERLINK("https://ceds.ed.gov/cedselementdetails.aspx?termid=5995")</f>
        <v>https://ceds.ed.gov/cedselementdetails.aspx?termid=5995</v>
      </c>
      <c r="P2460" s="6" t="str">
        <f>HYPERLINK("https://ceds.ed.gov/elementComment.aspx?elementName=Employment Record Reference Period End Date &amp;elementID=5995", "Click here to submit comment")</f>
        <v>Click here to submit comment</v>
      </c>
    </row>
    <row r="2461" spans="1:16" ht="360">
      <c r="A2461" s="6" t="s">
        <v>6895</v>
      </c>
      <c r="B2461" s="6" t="s">
        <v>6897</v>
      </c>
      <c r="C2461" s="6"/>
      <c r="D2461" s="6" t="s">
        <v>2520</v>
      </c>
      <c r="E2461" s="6" t="s">
        <v>2521</v>
      </c>
      <c r="F2461" s="6" t="s">
        <v>13</v>
      </c>
      <c r="G2461" s="6"/>
      <c r="H2461" s="6" t="s">
        <v>66</v>
      </c>
      <c r="I2461" s="6" t="s">
        <v>73</v>
      </c>
      <c r="J2461" s="6" t="s">
        <v>2522</v>
      </c>
      <c r="K2461" s="6" t="s">
        <v>2517</v>
      </c>
      <c r="L2461" s="6" t="s">
        <v>2523</v>
      </c>
      <c r="M2461" s="6"/>
      <c r="N2461" s="6" t="s">
        <v>2524</v>
      </c>
      <c r="O2461" s="6" t="str">
        <f>HYPERLINK("https://ceds.ed.gov/cedselementdetails.aspx?termid=5994")</f>
        <v>https://ceds.ed.gov/cedselementdetails.aspx?termid=5994</v>
      </c>
      <c r="P2461" s="6" t="str">
        <f>HYPERLINK("https://ceds.ed.gov/elementComment.aspx?elementName=Employment Record Reference Period Start Date &amp;elementID=5994", "Click here to submit comment")</f>
        <v>Click here to submit comment</v>
      </c>
    </row>
    <row r="2462" spans="1:16" ht="210">
      <c r="A2462" s="6" t="s">
        <v>6895</v>
      </c>
      <c r="B2462" s="6" t="s">
        <v>6897</v>
      </c>
      <c r="C2462" s="6"/>
      <c r="D2462" s="6" t="s">
        <v>4155</v>
      </c>
      <c r="E2462" s="6" t="s">
        <v>4156</v>
      </c>
      <c r="F2462" s="6" t="s">
        <v>5963</v>
      </c>
      <c r="G2462" s="6"/>
      <c r="H2462" s="6" t="s">
        <v>54</v>
      </c>
      <c r="I2462" s="6"/>
      <c r="J2462" s="6"/>
      <c r="K2462" s="6" t="s">
        <v>4157</v>
      </c>
      <c r="L2462" s="6" t="s">
        <v>4158</v>
      </c>
      <c r="M2462" s="6"/>
      <c r="N2462" s="6" t="s">
        <v>4159</v>
      </c>
      <c r="O2462" s="6" t="str">
        <f>HYPERLINK("https://ceds.ed.gov/cedselementdetails.aspx?termid=6381")</f>
        <v>https://ceds.ed.gov/cedselementdetails.aspx?termid=6381</v>
      </c>
      <c r="P2462" s="6" t="str">
        <f>HYPERLINK("https://ceds.ed.gov/elementComment.aspx?elementName=Military Enlistment After Exit &amp;elementID=6381", "Click here to submit comment")</f>
        <v>Click here to submit comment</v>
      </c>
    </row>
    <row r="2463" spans="1:16" ht="225">
      <c r="A2463" s="6" t="s">
        <v>6895</v>
      </c>
      <c r="B2463" s="6" t="s">
        <v>6897</v>
      </c>
      <c r="C2463" s="6"/>
      <c r="D2463" s="6" t="s">
        <v>4472</v>
      </c>
      <c r="E2463" s="6" t="s">
        <v>4473</v>
      </c>
      <c r="F2463" s="6" t="s">
        <v>13</v>
      </c>
      <c r="G2463" s="6"/>
      <c r="H2463" s="6" t="s">
        <v>66</v>
      </c>
      <c r="I2463" s="6" t="s">
        <v>575</v>
      </c>
      <c r="J2463" s="6" t="s">
        <v>4474</v>
      </c>
      <c r="K2463" s="6" t="s">
        <v>4475</v>
      </c>
      <c r="L2463" s="6" t="s">
        <v>4476</v>
      </c>
      <c r="M2463" s="6"/>
      <c r="N2463" s="6" t="s">
        <v>4477</v>
      </c>
      <c r="O2463" s="6" t="str">
        <f>HYPERLINK("https://ceds.ed.gov/cedselementdetails.aspx?termid=5993")</f>
        <v>https://ceds.ed.gov/cedselementdetails.aspx?termid=5993</v>
      </c>
      <c r="P2463" s="6" t="str">
        <f>HYPERLINK("https://ceds.ed.gov/elementComment.aspx?elementName=Person Employed in Multiple Jobs Count &amp;elementID=5993", "Click here to submit comment")</f>
        <v>Click here to submit comment</v>
      </c>
    </row>
    <row r="2464" spans="1:16" ht="210">
      <c r="A2464" s="6" t="s">
        <v>6895</v>
      </c>
      <c r="B2464" s="6" t="s">
        <v>6897</v>
      </c>
      <c r="C2464" s="6"/>
      <c r="D2464" s="6" t="s">
        <v>4961</v>
      </c>
      <c r="E2464" s="6" t="s">
        <v>4962</v>
      </c>
      <c r="F2464" s="6" t="s">
        <v>13</v>
      </c>
      <c r="G2464" s="6"/>
      <c r="H2464" s="6" t="s">
        <v>66</v>
      </c>
      <c r="I2464" s="6" t="s">
        <v>3496</v>
      </c>
      <c r="J2464" s="6" t="s">
        <v>4963</v>
      </c>
      <c r="K2464" s="6" t="s">
        <v>4964</v>
      </c>
      <c r="L2464" s="6" t="s">
        <v>4965</v>
      </c>
      <c r="M2464" s="6"/>
      <c r="N2464" s="6" t="s">
        <v>4966</v>
      </c>
      <c r="O2464" s="6" t="str">
        <f>HYPERLINK("https://ceds.ed.gov/cedselementdetails.aspx?termid=5991")</f>
        <v>https://ceds.ed.gov/cedselementdetails.aspx?termid=5991</v>
      </c>
      <c r="P2464" s="6" t="str">
        <f>HYPERLINK("https://ceds.ed.gov/elementComment.aspx?elementName=Quarterly Earnings &amp;elementID=5991", "Click here to submit comment")</f>
        <v>Click here to submit comment</v>
      </c>
    </row>
    <row r="2465" spans="1:16" ht="390">
      <c r="A2465" s="6" t="s">
        <v>6895</v>
      </c>
      <c r="B2465" s="6" t="s">
        <v>6897</v>
      </c>
      <c r="C2465" s="6"/>
      <c r="D2465" s="6" t="s">
        <v>5383</v>
      </c>
      <c r="E2465" s="6" t="s">
        <v>5384</v>
      </c>
      <c r="F2465" s="6" t="s">
        <v>13</v>
      </c>
      <c r="G2465" s="6" t="s">
        <v>6315</v>
      </c>
      <c r="H2465" s="6" t="s">
        <v>3</v>
      </c>
      <c r="I2465" s="6" t="s">
        <v>5385</v>
      </c>
      <c r="J2465" s="6"/>
      <c r="K2465" s="6" t="s">
        <v>5386</v>
      </c>
      <c r="L2465" s="6" t="s">
        <v>5387</v>
      </c>
      <c r="M2465" s="6" t="s">
        <v>5388</v>
      </c>
      <c r="N2465" s="6" t="s">
        <v>5389</v>
      </c>
      <c r="O2465" s="6" t="str">
        <f>HYPERLINK("https://ceds.ed.gov/cedselementdetails.aspx?termid=5259")</f>
        <v>https://ceds.ed.gov/cedselementdetails.aspx?termid=5259</v>
      </c>
      <c r="P2465" s="6" t="str">
        <f>HYPERLINK("https://ceds.ed.gov/elementComment.aspx?elementName=Social Security Number &amp;elementID=5259", "Click here to submit comment")</f>
        <v>Click here to submit comment</v>
      </c>
    </row>
    <row r="2466" spans="1:16" ht="60">
      <c r="A2466" s="6" t="s">
        <v>6784</v>
      </c>
      <c r="B2466" s="6" t="s">
        <v>6831</v>
      </c>
      <c r="C2466" s="6"/>
      <c r="D2466" s="6" t="s">
        <v>496</v>
      </c>
      <c r="E2466" s="6" t="s">
        <v>497</v>
      </c>
      <c r="F2466" s="6" t="s">
        <v>13</v>
      </c>
      <c r="G2466" s="6"/>
      <c r="H2466" s="6"/>
      <c r="I2466" s="6" t="s">
        <v>100</v>
      </c>
      <c r="J2466" s="6"/>
      <c r="K2466" s="6" t="s">
        <v>498</v>
      </c>
      <c r="L2466" s="6" t="s">
        <v>499</v>
      </c>
      <c r="M2466" s="6"/>
      <c r="N2466" s="6" t="s">
        <v>500</v>
      </c>
      <c r="O2466" s="6" t="str">
        <f>HYPERLINK("https://ceds.ed.gov/cedselementdetails.aspx?termid=5934")</f>
        <v>https://ceds.ed.gov/cedselementdetails.aspx?termid=5934</v>
      </c>
      <c r="P2466" s="6" t="str">
        <f>HYPERLINK("https://ceds.ed.gov/elementComment.aspx?elementName=Assessment Family Short Name &amp;elementID=5934", "Click here to submit comment")</f>
        <v>Click here to submit comment</v>
      </c>
    </row>
    <row r="2467" spans="1:16" ht="90">
      <c r="A2467" s="6" t="s">
        <v>6784</v>
      </c>
      <c r="B2467" s="6" t="s">
        <v>6831</v>
      </c>
      <c r="C2467" s="6"/>
      <c r="D2467" s="6" t="s">
        <v>501</v>
      </c>
      <c r="E2467" s="6" t="s">
        <v>502</v>
      </c>
      <c r="F2467" s="6" t="s">
        <v>13</v>
      </c>
      <c r="G2467" s="6"/>
      <c r="H2467" s="6"/>
      <c r="I2467" s="6" t="s">
        <v>106</v>
      </c>
      <c r="J2467" s="6"/>
      <c r="K2467" s="6"/>
      <c r="L2467" s="6" t="s">
        <v>503</v>
      </c>
      <c r="M2467" s="6"/>
      <c r="N2467" s="6" t="s">
        <v>504</v>
      </c>
      <c r="O2467" s="6" t="str">
        <f>HYPERLINK("https://ceds.ed.gov/cedselementdetails.aspx?termid=5933")</f>
        <v>https://ceds.ed.gov/cedselementdetails.aspx?termid=5933</v>
      </c>
      <c r="P2467" s="6" t="str">
        <f>HYPERLINK("https://ceds.ed.gov/elementComment.aspx?elementName=Assessment Family Title &amp;elementID=5933", "Click here to submit comment")</f>
        <v>Click here to submit comment</v>
      </c>
    </row>
    <row r="2468" spans="1:16" ht="240">
      <c r="A2468" s="6" t="s">
        <v>6784</v>
      </c>
      <c r="B2468" s="6" t="s">
        <v>6830</v>
      </c>
      <c r="C2468" s="6"/>
      <c r="D2468" s="6" t="s">
        <v>586</v>
      </c>
      <c r="E2468" s="6" t="s">
        <v>587</v>
      </c>
      <c r="F2468" s="7" t="s">
        <v>6382</v>
      </c>
      <c r="G2468" s="6" t="s">
        <v>6013</v>
      </c>
      <c r="H2468" s="6"/>
      <c r="I2468" s="6"/>
      <c r="J2468" s="6"/>
      <c r="K2468" s="6"/>
      <c r="L2468" s="6" t="s">
        <v>588</v>
      </c>
      <c r="M2468" s="6"/>
      <c r="N2468" s="6" t="s">
        <v>589</v>
      </c>
      <c r="O2468" s="6" t="str">
        <f>HYPERLINK("https://ceds.ed.gov/cedselementdetails.aspx?termid=5158")</f>
        <v>https://ceds.ed.gov/cedselementdetails.aspx?termid=5158</v>
      </c>
      <c r="P2468" s="6" t="str">
        <f>HYPERLINK("https://ceds.ed.gov/elementComment.aspx?elementName=Assessment Identification System &amp;elementID=5158", "Click here to submit comment")</f>
        <v>Click here to submit comment</v>
      </c>
    </row>
    <row r="2469" spans="1:16" ht="165">
      <c r="A2469" s="6" t="s">
        <v>6784</v>
      </c>
      <c r="B2469" s="6" t="s">
        <v>6830</v>
      </c>
      <c r="C2469" s="6"/>
      <c r="D2469" s="6" t="s">
        <v>590</v>
      </c>
      <c r="E2469" s="6" t="s">
        <v>591</v>
      </c>
      <c r="F2469" s="6" t="s">
        <v>13</v>
      </c>
      <c r="G2469" s="6" t="s">
        <v>6015</v>
      </c>
      <c r="H2469" s="6"/>
      <c r="I2469" s="6" t="s">
        <v>100</v>
      </c>
      <c r="J2469" s="6"/>
      <c r="K2469" s="6"/>
      <c r="L2469" s="6" t="s">
        <v>592</v>
      </c>
      <c r="M2469" s="6"/>
      <c r="N2469" s="6" t="s">
        <v>593</v>
      </c>
      <c r="O2469" s="6" t="str">
        <f>HYPERLINK("https://ceds.ed.gov/cedselementdetails.aspx?termid=5152")</f>
        <v>https://ceds.ed.gov/cedselementdetails.aspx?termid=5152</v>
      </c>
      <c r="P2469" s="6" t="str">
        <f>HYPERLINK("https://ceds.ed.gov/elementComment.aspx?elementName=Assessment Identifier &amp;elementID=5152", "Click here to submit comment")</f>
        <v>Click here to submit comment</v>
      </c>
    </row>
    <row r="2470" spans="1:16" ht="75">
      <c r="A2470" s="6" t="s">
        <v>6784</v>
      </c>
      <c r="B2470" s="6" t="s">
        <v>6830</v>
      </c>
      <c r="C2470" s="6"/>
      <c r="D2470" s="6" t="s">
        <v>582</v>
      </c>
      <c r="E2470" s="6" t="s">
        <v>583</v>
      </c>
      <c r="F2470" s="6" t="s">
        <v>13</v>
      </c>
      <c r="G2470" s="6"/>
      <c r="H2470" s="6"/>
      <c r="I2470" s="6" t="s">
        <v>528</v>
      </c>
      <c r="J2470" s="6"/>
      <c r="K2470" s="6"/>
      <c r="L2470" s="6" t="s">
        <v>584</v>
      </c>
      <c r="M2470" s="6"/>
      <c r="N2470" s="6" t="s">
        <v>585</v>
      </c>
      <c r="O2470" s="6" t="str">
        <f>HYPERLINK("https://ceds.ed.gov/cedselementdetails.aspx?termid=5982")</f>
        <v>https://ceds.ed.gov/cedselementdetails.aspx?termid=5982</v>
      </c>
      <c r="P2470" s="6" t="str">
        <f>HYPERLINK("https://ceds.ed.gov/elementComment.aspx?elementName=Assessment GUID &amp;elementID=5982", "Click here to submit comment")</f>
        <v>Click here to submit comment</v>
      </c>
    </row>
    <row r="2471" spans="1:16" ht="165">
      <c r="A2471" s="6" t="s">
        <v>6784</v>
      </c>
      <c r="B2471" s="6" t="s">
        <v>6830</v>
      </c>
      <c r="C2471" s="6"/>
      <c r="D2471" s="6" t="s">
        <v>1387</v>
      </c>
      <c r="E2471" s="6" t="s">
        <v>1388</v>
      </c>
      <c r="F2471" s="6" t="s">
        <v>13</v>
      </c>
      <c r="G2471" s="6" t="s">
        <v>6073</v>
      </c>
      <c r="H2471" s="6"/>
      <c r="I2471" s="6" t="s">
        <v>106</v>
      </c>
      <c r="J2471" s="6"/>
      <c r="K2471" s="6"/>
      <c r="L2471" s="6" t="s">
        <v>1389</v>
      </c>
      <c r="M2471" s="6"/>
      <c r="N2471" s="6" t="s">
        <v>1390</v>
      </c>
      <c r="O2471" s="6" t="str">
        <f>HYPERLINK("https://ceds.ed.gov/cedselementdetails.aspx?termid=5028")</f>
        <v>https://ceds.ed.gov/cedselementdetails.aspx?termid=5028</v>
      </c>
      <c r="P2471" s="6" t="str">
        <f>HYPERLINK("https://ceds.ed.gov/elementComment.aspx?elementName=Assessment Title &amp;elementID=5028", "Click here to submit comment")</f>
        <v>Click here to submit comment</v>
      </c>
    </row>
    <row r="2472" spans="1:16" ht="409.5">
      <c r="A2472" s="6" t="s">
        <v>6784</v>
      </c>
      <c r="B2472" s="6" t="s">
        <v>6830</v>
      </c>
      <c r="C2472" s="6"/>
      <c r="D2472" s="6" t="s">
        <v>1391</v>
      </c>
      <c r="E2472" s="6" t="s">
        <v>1392</v>
      </c>
      <c r="F2472" s="7" t="s">
        <v>6405</v>
      </c>
      <c r="G2472" s="6" t="s">
        <v>6000</v>
      </c>
      <c r="H2472" s="6"/>
      <c r="I2472" s="6"/>
      <c r="J2472" s="6"/>
      <c r="K2472" s="6"/>
      <c r="L2472" s="6" t="s">
        <v>1393</v>
      </c>
      <c r="M2472" s="6"/>
      <c r="N2472" s="6" t="s">
        <v>1394</v>
      </c>
      <c r="O2472" s="6" t="str">
        <f>HYPERLINK("https://ceds.ed.gov/cedselementdetails.aspx?termid=5029")</f>
        <v>https://ceds.ed.gov/cedselementdetails.aspx?termid=5029</v>
      </c>
      <c r="P2472" s="6" t="str">
        <f>HYPERLINK("https://ceds.ed.gov/elementComment.aspx?elementName=Assessment Type &amp;elementID=5029", "Click here to submit comment")</f>
        <v>Click here to submit comment</v>
      </c>
    </row>
    <row r="2473" spans="1:16" ht="30">
      <c r="A2473" s="6" t="s">
        <v>6784</v>
      </c>
      <c r="B2473" s="6" t="s">
        <v>6830</v>
      </c>
      <c r="C2473" s="6"/>
      <c r="D2473" s="6" t="s">
        <v>1290</v>
      </c>
      <c r="E2473" s="6" t="s">
        <v>1291</v>
      </c>
      <c r="F2473" s="6" t="s">
        <v>13</v>
      </c>
      <c r="G2473" s="6"/>
      <c r="H2473" s="6"/>
      <c r="I2473" s="6" t="s">
        <v>100</v>
      </c>
      <c r="J2473" s="6"/>
      <c r="K2473" s="6"/>
      <c r="L2473" s="6" t="s">
        <v>1292</v>
      </c>
      <c r="M2473" s="6"/>
      <c r="N2473" s="6" t="s">
        <v>1293</v>
      </c>
      <c r="O2473" s="6" t="str">
        <f>HYPERLINK("https://ceds.ed.gov/cedselementdetails.aspx?termid=5932")</f>
        <v>https://ceds.ed.gov/cedselementdetails.aspx?termid=5932</v>
      </c>
      <c r="P2473" s="6" t="str">
        <f>HYPERLINK("https://ceds.ed.gov/elementComment.aspx?elementName=Assessment Short Name &amp;elementID=5932", "Click here to submit comment")</f>
        <v>Click here to submit comment</v>
      </c>
    </row>
    <row r="2474" spans="1:16" ht="405">
      <c r="A2474" s="6" t="s">
        <v>6784</v>
      </c>
      <c r="B2474" s="6" t="s">
        <v>6830</v>
      </c>
      <c r="C2474" s="6"/>
      <c r="D2474" s="6" t="s">
        <v>395</v>
      </c>
      <c r="E2474" s="6" t="s">
        <v>396</v>
      </c>
      <c r="F2474" s="7" t="s">
        <v>6375</v>
      </c>
      <c r="G2474" s="6" t="s">
        <v>5990</v>
      </c>
      <c r="H2474" s="6"/>
      <c r="I2474" s="6"/>
      <c r="J2474" s="6"/>
      <c r="K2474" s="6"/>
      <c r="L2474" s="6" t="s">
        <v>397</v>
      </c>
      <c r="M2474" s="6"/>
      <c r="N2474" s="6" t="s">
        <v>398</v>
      </c>
      <c r="O2474" s="6" t="str">
        <f>HYPERLINK("https://ceds.ed.gov/cedselementdetails.aspx?termid=5021")</f>
        <v>https://ceds.ed.gov/cedselementdetails.aspx?termid=5021</v>
      </c>
      <c r="P2474" s="6" t="str">
        <f>HYPERLINK("https://ceds.ed.gov/elementComment.aspx?elementName=Assessment Academic Subject &amp;elementID=5021", "Click here to submit comment")</f>
        <v>Click here to submit comment</v>
      </c>
    </row>
    <row r="2475" spans="1:16" ht="375">
      <c r="A2475" s="6" t="s">
        <v>6784</v>
      </c>
      <c r="B2475" s="6" t="s">
        <v>6830</v>
      </c>
      <c r="C2475" s="6"/>
      <c r="D2475" s="6" t="s">
        <v>942</v>
      </c>
      <c r="E2475" s="6" t="s">
        <v>943</v>
      </c>
      <c r="F2475" s="7" t="s">
        <v>6390</v>
      </c>
      <c r="G2475" s="6" t="s">
        <v>6030</v>
      </c>
      <c r="H2475" s="6"/>
      <c r="I2475" s="6"/>
      <c r="J2475" s="6"/>
      <c r="K2475" s="6"/>
      <c r="L2475" s="6" t="s">
        <v>944</v>
      </c>
      <c r="M2475" s="6"/>
      <c r="N2475" s="6" t="s">
        <v>945</v>
      </c>
      <c r="O2475" s="6" t="str">
        <f>HYPERLINK("https://ceds.ed.gov/cedselementdetails.aspx?termid=5177")</f>
        <v>https://ceds.ed.gov/cedselementdetails.aspx?termid=5177</v>
      </c>
      <c r="P2475" s="6" t="str">
        <f>HYPERLINK("https://ceds.ed.gov/elementComment.aspx?elementName=Assessment Level for Which Designed &amp;elementID=5177", "Click here to submit comment")</f>
        <v>Click here to submit comment</v>
      </c>
    </row>
    <row r="2476" spans="1:16" ht="30">
      <c r="A2476" s="6" t="s">
        <v>6784</v>
      </c>
      <c r="B2476" s="6" t="s">
        <v>6830</v>
      </c>
      <c r="C2476" s="6"/>
      <c r="D2476" s="6" t="s">
        <v>1086</v>
      </c>
      <c r="E2476" s="6" t="s">
        <v>1087</v>
      </c>
      <c r="F2476" s="6" t="s">
        <v>13</v>
      </c>
      <c r="G2476" s="6" t="s">
        <v>6018</v>
      </c>
      <c r="H2476" s="6"/>
      <c r="I2476" s="6" t="s">
        <v>745</v>
      </c>
      <c r="J2476" s="6"/>
      <c r="K2476" s="6"/>
      <c r="L2476" s="6" t="s">
        <v>1088</v>
      </c>
      <c r="M2476" s="6"/>
      <c r="N2476" s="6" t="s">
        <v>1089</v>
      </c>
      <c r="O2476" s="6" t="str">
        <f>HYPERLINK("https://ceds.ed.gov/cedselementdetails.aspx?termid=5373")</f>
        <v>https://ceds.ed.gov/cedselementdetails.aspx?termid=5373</v>
      </c>
      <c r="P2476" s="6" t="str">
        <f>HYPERLINK("https://ceds.ed.gov/elementComment.aspx?elementName=Assessment Objective &amp;elementID=5373", "Click here to submit comment")</f>
        <v>Click here to submit comment</v>
      </c>
    </row>
    <row r="2477" spans="1:16" ht="409.5">
      <c r="A2477" s="6" t="s">
        <v>6784</v>
      </c>
      <c r="B2477" s="6" t="s">
        <v>6830</v>
      </c>
      <c r="C2477" s="6"/>
      <c r="D2477" s="6" t="s">
        <v>1156</v>
      </c>
      <c r="E2477" s="6" t="s">
        <v>1157</v>
      </c>
      <c r="F2477" s="7" t="s">
        <v>6399</v>
      </c>
      <c r="G2477" s="6" t="s">
        <v>6000</v>
      </c>
      <c r="H2477" s="6"/>
      <c r="I2477" s="6"/>
      <c r="J2477" s="6"/>
      <c r="K2477" s="6" t="s">
        <v>1158</v>
      </c>
      <c r="L2477" s="6" t="s">
        <v>1159</v>
      </c>
      <c r="M2477" s="6"/>
      <c r="N2477" s="6" t="s">
        <v>1160</v>
      </c>
      <c r="O2477" s="6" t="str">
        <f>HYPERLINK("https://ceds.ed.gov/cedselementdetails.aspx?termid=5026")</f>
        <v>https://ceds.ed.gov/cedselementdetails.aspx?termid=5026</v>
      </c>
      <c r="P2477" s="6" t="str">
        <f>HYPERLINK("https://ceds.ed.gov/elementComment.aspx?elementName=Assessment Purpose &amp;elementID=5026", "Click here to submit comment")</f>
        <v>Click here to submit comment</v>
      </c>
    </row>
    <row r="2478" spans="1:16" ht="409.5">
      <c r="A2478" s="6" t="s">
        <v>6784</v>
      </c>
      <c r="B2478" s="6" t="s">
        <v>6830</v>
      </c>
      <c r="C2478" s="6"/>
      <c r="D2478" s="6" t="s">
        <v>1395</v>
      </c>
      <c r="E2478" s="6" t="s">
        <v>1396</v>
      </c>
      <c r="F2478" s="7" t="s">
        <v>6406</v>
      </c>
      <c r="G2478" s="6" t="s">
        <v>6052</v>
      </c>
      <c r="H2478" s="6"/>
      <c r="I2478" s="6"/>
      <c r="J2478" s="6"/>
      <c r="K2478" s="6"/>
      <c r="L2478" s="6" t="s">
        <v>1397</v>
      </c>
      <c r="M2478" s="6"/>
      <c r="N2478" s="6" t="s">
        <v>1398</v>
      </c>
      <c r="O2478" s="6" t="str">
        <f>HYPERLINK("https://ceds.ed.gov/cedselementdetails.aspx?termid=5405")</f>
        <v>https://ceds.ed.gov/cedselementdetails.aspx?termid=5405</v>
      </c>
      <c r="P2478" s="6" t="str">
        <f>HYPERLINK("https://ceds.ed.gov/elementComment.aspx?elementName=Assessment Type Administered to Children With Disabilities &amp;elementID=5405", "Click here to submit comment")</f>
        <v>Click here to submit comment</v>
      </c>
    </row>
    <row r="2479" spans="1:16" ht="225">
      <c r="A2479" s="6" t="s">
        <v>6784</v>
      </c>
      <c r="B2479" s="6" t="s">
        <v>6830</v>
      </c>
      <c r="C2479" s="6"/>
      <c r="D2479" s="6" t="s">
        <v>491</v>
      </c>
      <c r="E2479" s="6" t="s">
        <v>492</v>
      </c>
      <c r="F2479" s="7" t="s">
        <v>6381</v>
      </c>
      <c r="G2479" s="6" t="s">
        <v>493</v>
      </c>
      <c r="H2479" s="6"/>
      <c r="I2479" s="6"/>
      <c r="J2479" s="6"/>
      <c r="K2479" s="6"/>
      <c r="L2479" s="6" t="s">
        <v>494</v>
      </c>
      <c r="M2479" s="6"/>
      <c r="N2479" s="6" t="s">
        <v>495</v>
      </c>
      <c r="O2479" s="6" t="str">
        <f>HYPERLINK("https://ceds.ed.gov/cedselementdetails.aspx?termid=6003")</f>
        <v>https://ceds.ed.gov/cedselementdetails.aspx?termid=6003</v>
      </c>
      <c r="P2479" s="6" t="str">
        <f>HYPERLINK("https://ceds.ed.gov/elementComment.aspx?elementName=Assessment Early Learning Developmental Domain &amp;elementID=6003", "Click here to submit comment")</f>
        <v>Click here to submit comment</v>
      </c>
    </row>
    <row r="2480" spans="1:16" ht="30">
      <c r="A2480" s="6" t="s">
        <v>6784</v>
      </c>
      <c r="B2480" s="6" t="s">
        <v>6830</v>
      </c>
      <c r="C2480" s="6"/>
      <c r="D2480" s="6" t="s">
        <v>1151</v>
      </c>
      <c r="E2480" s="6" t="s">
        <v>1152</v>
      </c>
      <c r="F2480" s="6" t="s">
        <v>13</v>
      </c>
      <c r="G2480" s="6"/>
      <c r="H2480" s="6"/>
      <c r="I2480" s="6" t="s">
        <v>100</v>
      </c>
      <c r="J2480" s="6"/>
      <c r="K2480" s="6" t="s">
        <v>1153</v>
      </c>
      <c r="L2480" s="6" t="s">
        <v>1154</v>
      </c>
      <c r="M2480" s="6"/>
      <c r="N2480" s="6" t="s">
        <v>1155</v>
      </c>
      <c r="O2480" s="6" t="str">
        <f>HYPERLINK("https://ceds.ed.gov/cedselementdetails.aspx?termid=6009")</f>
        <v>https://ceds.ed.gov/cedselementdetails.aspx?termid=6009</v>
      </c>
      <c r="P2480" s="6" t="str">
        <f>HYPERLINK("https://ceds.ed.gov/elementComment.aspx?elementName=Assessment Provider &amp;elementID=6009", "Click here to submit comment")</f>
        <v>Click here to submit comment</v>
      </c>
    </row>
    <row r="2481" spans="1:16" ht="409.5">
      <c r="A2481" s="6" t="s">
        <v>6784</v>
      </c>
      <c r="B2481" s="6" t="s">
        <v>6830</v>
      </c>
      <c r="C2481" s="6"/>
      <c r="D2481" s="6" t="s">
        <v>1375</v>
      </c>
      <c r="E2481" s="6" t="s">
        <v>1376</v>
      </c>
      <c r="F2481" s="7" t="s">
        <v>6398</v>
      </c>
      <c r="G2481" s="6" t="s">
        <v>6064</v>
      </c>
      <c r="H2481" s="6"/>
      <c r="I2481" s="6"/>
      <c r="J2481" s="6"/>
      <c r="K2481" s="6"/>
      <c r="L2481" s="6" t="s">
        <v>1377</v>
      </c>
      <c r="M2481" s="6"/>
      <c r="N2481" s="6" t="s">
        <v>1378</v>
      </c>
      <c r="O2481" s="6" t="str">
        <f>HYPERLINK("https://ceds.ed.gov/cedselementdetails.aspx?termid=5368")</f>
        <v>https://ceds.ed.gov/cedselementdetails.aspx?termid=5368</v>
      </c>
      <c r="P2481" s="6" t="str">
        <f>HYPERLINK("https://ceds.ed.gov/elementComment.aspx?elementName=Assessment Subtest Score Metric Type &amp;elementID=5368", "Click here to submit comment")</f>
        <v>Click here to submit comment</v>
      </c>
    </row>
    <row r="2482" spans="1:16" ht="90">
      <c r="A2482" s="6" t="s">
        <v>6784</v>
      </c>
      <c r="B2482" s="6" t="s">
        <v>6830</v>
      </c>
      <c r="C2482" s="6"/>
      <c r="D2482" s="6" t="s">
        <v>3406</v>
      </c>
      <c r="E2482" s="6" t="s">
        <v>3407</v>
      </c>
      <c r="F2482" s="5" t="s">
        <v>939</v>
      </c>
      <c r="G2482" s="6" t="s">
        <v>6214</v>
      </c>
      <c r="H2482" s="6" t="s">
        <v>66</v>
      </c>
      <c r="I2482" s="6"/>
      <c r="J2482" s="6" t="s">
        <v>2645</v>
      </c>
      <c r="K2482" s="6" t="s">
        <v>3408</v>
      </c>
      <c r="L2482" s="6" t="s">
        <v>3409</v>
      </c>
      <c r="M2482" s="6"/>
      <c r="N2482" s="6" t="s">
        <v>3410</v>
      </c>
      <c r="O2482" s="6" t="str">
        <f>HYPERLINK("https://ceds.ed.gov/cedselementdetails.aspx?termid=5317")</f>
        <v>https://ceds.ed.gov/cedselementdetails.aspx?termid=5317</v>
      </c>
      <c r="P2482" s="6" t="str">
        <f>HYPERLINK("https://ceds.ed.gov/elementComment.aspx?elementName=Language Code &amp;elementID=5317", "Click here to submit comment")</f>
        <v>Click here to submit comment</v>
      </c>
    </row>
    <row r="2483" spans="1:16" ht="150">
      <c r="A2483" s="6" t="s">
        <v>6784</v>
      </c>
      <c r="B2483" s="6" t="s">
        <v>6832</v>
      </c>
      <c r="C2483" s="6"/>
      <c r="D2483" s="6" t="s">
        <v>514</v>
      </c>
      <c r="E2483" s="6" t="s">
        <v>515</v>
      </c>
      <c r="F2483" s="6" t="s">
        <v>13</v>
      </c>
      <c r="G2483" s="6" t="s">
        <v>6006</v>
      </c>
      <c r="H2483" s="6"/>
      <c r="I2483" s="6" t="s">
        <v>149</v>
      </c>
      <c r="J2483" s="6"/>
      <c r="K2483" s="6"/>
      <c r="L2483" s="6" t="s">
        <v>516</v>
      </c>
      <c r="M2483" s="6"/>
      <c r="N2483" s="6" t="s">
        <v>517</v>
      </c>
      <c r="O2483" s="6" t="str">
        <f>HYPERLINK("https://ceds.ed.gov/cedselementdetails.aspx?termid=5024")</f>
        <v>https://ceds.ed.gov/cedselementdetails.aspx?termid=5024</v>
      </c>
      <c r="P2483" s="6" t="str">
        <f>HYPERLINK("https://ceds.ed.gov/elementComment.aspx?elementName=Assessment Form Name &amp;elementID=5024", "Click here to submit comment")</f>
        <v>Click here to submit comment</v>
      </c>
    </row>
    <row r="2484" spans="1:16" ht="45">
      <c r="A2484" s="6" t="s">
        <v>6784</v>
      </c>
      <c r="B2484" s="6" t="s">
        <v>6832</v>
      </c>
      <c r="C2484" s="6"/>
      <c r="D2484" s="6" t="s">
        <v>518</v>
      </c>
      <c r="E2484" s="6" t="s">
        <v>519</v>
      </c>
      <c r="F2484" s="6" t="s">
        <v>13</v>
      </c>
      <c r="G2484" s="6" t="s">
        <v>5992</v>
      </c>
      <c r="H2484" s="6"/>
      <c r="I2484" s="6" t="s">
        <v>100</v>
      </c>
      <c r="J2484" s="6"/>
      <c r="K2484" s="6"/>
      <c r="L2484" s="6" t="s">
        <v>520</v>
      </c>
      <c r="M2484" s="6"/>
      <c r="N2484" s="6" t="s">
        <v>521</v>
      </c>
      <c r="O2484" s="6" t="str">
        <f>HYPERLINK("https://ceds.ed.gov/cedselementdetails.aspx?termid=5365")</f>
        <v>https://ceds.ed.gov/cedselementdetails.aspx?termid=5365</v>
      </c>
      <c r="P2484" s="6" t="str">
        <f>HYPERLINK("https://ceds.ed.gov/elementComment.aspx?elementName=Assessment Form Number &amp;elementID=5365", "Click here to submit comment")</f>
        <v>Click here to submit comment</v>
      </c>
    </row>
    <row r="2485" spans="1:16" ht="405">
      <c r="A2485" s="6" t="s">
        <v>6784</v>
      </c>
      <c r="B2485" s="6" t="s">
        <v>6832</v>
      </c>
      <c r="C2485" s="6"/>
      <c r="D2485" s="6" t="s">
        <v>395</v>
      </c>
      <c r="E2485" s="6" t="s">
        <v>396</v>
      </c>
      <c r="F2485" s="7" t="s">
        <v>6375</v>
      </c>
      <c r="G2485" s="6" t="s">
        <v>5990</v>
      </c>
      <c r="H2485" s="6"/>
      <c r="I2485" s="6"/>
      <c r="J2485" s="6"/>
      <c r="K2485" s="6"/>
      <c r="L2485" s="6" t="s">
        <v>397</v>
      </c>
      <c r="M2485" s="6"/>
      <c r="N2485" s="6" t="s">
        <v>398</v>
      </c>
      <c r="O2485" s="6" t="str">
        <f>HYPERLINK("https://ceds.ed.gov/cedselementdetails.aspx?termid=5021")</f>
        <v>https://ceds.ed.gov/cedselementdetails.aspx?termid=5021</v>
      </c>
      <c r="P2485" s="6" t="str">
        <f>HYPERLINK("https://ceds.ed.gov/elementComment.aspx?elementName=Assessment Academic Subject &amp;elementID=5021", "Click here to submit comment")</f>
        <v>Click here to submit comment</v>
      </c>
    </row>
    <row r="2486" spans="1:16" ht="75">
      <c r="A2486" s="6" t="s">
        <v>6784</v>
      </c>
      <c r="B2486" s="6" t="s">
        <v>6832</v>
      </c>
      <c r="C2486" s="6"/>
      <c r="D2486" s="6" t="s">
        <v>505</v>
      </c>
      <c r="E2486" s="6" t="s">
        <v>506</v>
      </c>
      <c r="F2486" s="6" t="s">
        <v>13</v>
      </c>
      <c r="G2486" s="6"/>
      <c r="H2486" s="6"/>
      <c r="I2486" s="6" t="s">
        <v>319</v>
      </c>
      <c r="J2486" s="6"/>
      <c r="K2486" s="6"/>
      <c r="L2486" s="6" t="s">
        <v>507</v>
      </c>
      <c r="M2486" s="6"/>
      <c r="N2486" s="6" t="s">
        <v>508</v>
      </c>
      <c r="O2486" s="6" t="str">
        <f>HYPERLINK("https://ceds.ed.gov/cedselementdetails.aspx?termid=6136")</f>
        <v>https://ceds.ed.gov/cedselementdetails.aspx?termid=6136</v>
      </c>
      <c r="P2486" s="6" t="str">
        <f>HYPERLINK("https://ceds.ed.gov/elementComment.aspx?elementName=Assessment Form Accommodation List &amp;elementID=6136", "Click here to submit comment")</f>
        <v>Click here to submit comment</v>
      </c>
    </row>
    <row r="2487" spans="1:16" ht="75">
      <c r="A2487" s="6" t="s">
        <v>6784</v>
      </c>
      <c r="B2487" s="6" t="s">
        <v>6832</v>
      </c>
      <c r="C2487" s="6"/>
      <c r="D2487" s="6" t="s">
        <v>509</v>
      </c>
      <c r="E2487" s="6" t="s">
        <v>510</v>
      </c>
      <c r="F2487" s="6" t="s">
        <v>13</v>
      </c>
      <c r="G2487" s="6"/>
      <c r="H2487" s="6" t="s">
        <v>66</v>
      </c>
      <c r="I2487" s="6" t="s">
        <v>73</v>
      </c>
      <c r="J2487" s="6" t="s">
        <v>511</v>
      </c>
      <c r="K2487" s="6"/>
      <c r="L2487" s="6" t="s">
        <v>512</v>
      </c>
      <c r="M2487" s="6"/>
      <c r="N2487" s="6" t="s">
        <v>513</v>
      </c>
      <c r="O2487" s="6" t="str">
        <f>HYPERLINK("https://ceds.ed.gov/cedselementdetails.aspx?termid=6138")</f>
        <v>https://ceds.ed.gov/cedselementdetails.aspx?termid=6138</v>
      </c>
      <c r="P2487" s="6" t="str">
        <f>HYPERLINK("https://ceds.ed.gov/elementComment.aspx?elementName=Assessment Form Intended Administration End Date &amp;elementID=6138", "Click here to submit comment")</f>
        <v>Click here to submit comment</v>
      </c>
    </row>
    <row r="2488" spans="1:16" ht="45">
      <c r="A2488" s="6" t="s">
        <v>6784</v>
      </c>
      <c r="B2488" s="6" t="s">
        <v>6832</v>
      </c>
      <c r="C2488" s="6"/>
      <c r="D2488" s="6" t="s">
        <v>522</v>
      </c>
      <c r="E2488" s="6" t="s">
        <v>523</v>
      </c>
      <c r="F2488" s="6" t="s">
        <v>13</v>
      </c>
      <c r="G2488" s="6"/>
      <c r="H2488" s="6"/>
      <c r="I2488" s="6" t="s">
        <v>319</v>
      </c>
      <c r="J2488" s="6"/>
      <c r="K2488" s="6"/>
      <c r="L2488" s="6" t="s">
        <v>524</v>
      </c>
      <c r="M2488" s="6"/>
      <c r="N2488" s="6" t="s">
        <v>525</v>
      </c>
      <c r="O2488" s="6" t="str">
        <f>HYPERLINK("https://ceds.ed.gov/cedselementdetails.aspx?termid=6139")</f>
        <v>https://ceds.ed.gov/cedselementdetails.aspx?termid=6139</v>
      </c>
      <c r="P2488" s="6" t="str">
        <f>HYPERLINK("https://ceds.ed.gov/elementComment.aspx?elementName=Assessment Form Platforms Supported &amp;elementID=6139", "Click here to submit comment")</f>
        <v>Click here to submit comment</v>
      </c>
    </row>
    <row r="2489" spans="1:16" ht="30">
      <c r="A2489" s="6" t="s">
        <v>6784</v>
      </c>
      <c r="B2489" s="6" t="s">
        <v>6832</v>
      </c>
      <c r="C2489" s="6"/>
      <c r="D2489" s="6" t="s">
        <v>578</v>
      </c>
      <c r="E2489" s="6" t="s">
        <v>579</v>
      </c>
      <c r="F2489" s="6" t="s">
        <v>13</v>
      </c>
      <c r="G2489" s="6"/>
      <c r="H2489" s="6"/>
      <c r="I2489" s="6" t="s">
        <v>100</v>
      </c>
      <c r="J2489" s="6"/>
      <c r="K2489" s="6"/>
      <c r="L2489" s="6" t="s">
        <v>580</v>
      </c>
      <c r="M2489" s="6"/>
      <c r="N2489" s="6" t="s">
        <v>581</v>
      </c>
      <c r="O2489" s="6" t="str">
        <f>HYPERLINK("https://ceds.ed.gov/cedselementdetails.aspx?termid=6134")</f>
        <v>https://ceds.ed.gov/cedselementdetails.aspx?termid=6134</v>
      </c>
      <c r="P2489" s="6" t="str">
        <f>HYPERLINK("https://ceds.ed.gov/elementComment.aspx?elementName=Assessment Form Version &amp;elementID=6134", "Click here to submit comment")</f>
        <v>Click here to submit comment</v>
      </c>
    </row>
    <row r="2490" spans="1:16" ht="45">
      <c r="A2490" s="6" t="s">
        <v>6784</v>
      </c>
      <c r="B2490" s="6" t="s">
        <v>6832</v>
      </c>
      <c r="C2490" s="6"/>
      <c r="D2490" s="6" t="s">
        <v>937</v>
      </c>
      <c r="E2490" s="6" t="s">
        <v>938</v>
      </c>
      <c r="F2490" s="5" t="s">
        <v>939</v>
      </c>
      <c r="G2490" s="6"/>
      <c r="H2490" s="6"/>
      <c r="I2490" s="6"/>
      <c r="J2490" s="6"/>
      <c r="K2490" s="6"/>
      <c r="L2490" s="6" t="s">
        <v>940</v>
      </c>
      <c r="M2490" s="6"/>
      <c r="N2490" s="6" t="s">
        <v>941</v>
      </c>
      <c r="O2490" s="6" t="str">
        <f>HYPERLINK("https://ceds.ed.gov/cedselementdetails.aspx?termid=6073")</f>
        <v>https://ceds.ed.gov/cedselementdetails.aspx?termid=6073</v>
      </c>
      <c r="P2490" s="6" t="str">
        <f>HYPERLINK("https://ceds.ed.gov/elementComment.aspx?elementName=Assessment Language &amp;elementID=6073", "Click here to submit comment")</f>
        <v>Click here to submit comment</v>
      </c>
    </row>
    <row r="2491" spans="1:16" ht="45">
      <c r="A2491" s="6" t="s">
        <v>6784</v>
      </c>
      <c r="B2491" s="6" t="s">
        <v>6832</v>
      </c>
      <c r="C2491" s="6"/>
      <c r="D2491" s="6" t="s">
        <v>1224</v>
      </c>
      <c r="E2491" s="6" t="s">
        <v>1225</v>
      </c>
      <c r="F2491" s="6" t="s">
        <v>5963</v>
      </c>
      <c r="G2491" s="6" t="s">
        <v>5992</v>
      </c>
      <c r="H2491" s="6" t="s">
        <v>3</v>
      </c>
      <c r="I2491" s="6"/>
      <c r="J2491" s="6"/>
      <c r="K2491" s="6"/>
      <c r="L2491" s="6" t="s">
        <v>1226</v>
      </c>
      <c r="M2491" s="6"/>
      <c r="N2491" s="6" t="s">
        <v>1227</v>
      </c>
      <c r="O2491" s="6" t="str">
        <f>HYPERLINK("https://ceds.ed.gov/cedselementdetails.aspx?termid=5375")</f>
        <v>https://ceds.ed.gov/cedselementdetails.aspx?termid=5375</v>
      </c>
      <c r="P2491" s="6" t="str">
        <f>HYPERLINK("https://ceds.ed.gov/elementComment.aspx?elementName=Assessment Secure Indicator &amp;elementID=5375", "Click here to submit comment")</f>
        <v>Click here to submit comment</v>
      </c>
    </row>
    <row r="2492" spans="1:16" ht="45">
      <c r="A2492" s="6" t="s">
        <v>6784</v>
      </c>
      <c r="B2492" s="6" t="s">
        <v>6832</v>
      </c>
      <c r="C2492" s="6"/>
      <c r="D2492" s="6" t="s">
        <v>3347</v>
      </c>
      <c r="E2492" s="6" t="s">
        <v>3348</v>
      </c>
      <c r="F2492" s="6" t="s">
        <v>13</v>
      </c>
      <c r="G2492" s="6"/>
      <c r="H2492" s="6"/>
      <c r="I2492" s="6" t="s">
        <v>73</v>
      </c>
      <c r="J2492" s="6"/>
      <c r="K2492" s="6"/>
      <c r="L2492" s="6" t="s">
        <v>3349</v>
      </c>
      <c r="M2492" s="6"/>
      <c r="N2492" s="6" t="s">
        <v>3350</v>
      </c>
      <c r="O2492" s="6" t="str">
        <f>HYPERLINK("https://ceds.ed.gov/cedselementdetails.aspx?termid=6137")</f>
        <v>https://ceds.ed.gov/cedselementdetails.aspx?termid=6137</v>
      </c>
      <c r="P2492" s="6" t="str">
        <f>HYPERLINK("https://ceds.ed.gov/elementComment.aspx?elementName=Intended Administration Start Date &amp;elementID=6137", "Click here to submit comment")</f>
        <v>Click here to submit comment</v>
      </c>
    </row>
    <row r="2493" spans="1:16" ht="60">
      <c r="A2493" s="6" t="s">
        <v>6784</v>
      </c>
      <c r="B2493" s="6" t="s">
        <v>6832</v>
      </c>
      <c r="C2493" s="6"/>
      <c r="D2493" s="6" t="s">
        <v>3665</v>
      </c>
      <c r="E2493" s="6" t="s">
        <v>3666</v>
      </c>
      <c r="F2493" s="6" t="s">
        <v>13</v>
      </c>
      <c r="G2493" s="6"/>
      <c r="H2493" s="6"/>
      <c r="I2493" s="6" t="s">
        <v>73</v>
      </c>
      <c r="J2493" s="6"/>
      <c r="K2493" s="6"/>
      <c r="L2493" s="6" t="s">
        <v>3667</v>
      </c>
      <c r="M2493" s="6"/>
      <c r="N2493" s="6" t="s">
        <v>3668</v>
      </c>
      <c r="O2493" s="6" t="str">
        <f>HYPERLINK("https://ceds.ed.gov/cedselementdetails.aspx?termid=6135")</f>
        <v>https://ceds.ed.gov/cedselementdetails.aspx?termid=6135</v>
      </c>
      <c r="P2493" s="6" t="str">
        <f>HYPERLINK("https://ceds.ed.gov/elementComment.aspx?elementName=Learning Resource Published Date &amp;elementID=6135", "Click here to submit comment")</f>
        <v>Click here to submit comment</v>
      </c>
    </row>
    <row r="2494" spans="1:16" ht="75">
      <c r="A2494" s="6" t="s">
        <v>6784</v>
      </c>
      <c r="B2494" s="6" t="s">
        <v>6832</v>
      </c>
      <c r="C2494" s="6" t="s">
        <v>6898</v>
      </c>
      <c r="D2494" s="6" t="s">
        <v>526</v>
      </c>
      <c r="E2494" s="6" t="s">
        <v>527</v>
      </c>
      <c r="F2494" s="6" t="s">
        <v>13</v>
      </c>
      <c r="G2494" s="6"/>
      <c r="H2494" s="6"/>
      <c r="I2494" s="6" t="s">
        <v>528</v>
      </c>
      <c r="J2494" s="6"/>
      <c r="K2494" s="6"/>
      <c r="L2494" s="6" t="s">
        <v>529</v>
      </c>
      <c r="M2494" s="6"/>
      <c r="N2494" s="6" t="s">
        <v>530</v>
      </c>
      <c r="O2494" s="6" t="str">
        <f>HYPERLINK("https://ceds.ed.gov/cedselementdetails.aspx?termid=5981")</f>
        <v>https://ceds.ed.gov/cedselementdetails.aspx?termid=5981</v>
      </c>
      <c r="P2494" s="6" t="str">
        <f>HYPERLINK("https://ceds.ed.gov/elementComment.aspx?elementName=Assessment Form Section GUID &amp;elementID=5981", "Click here to submit comment")</f>
        <v>Click here to submit comment</v>
      </c>
    </row>
    <row r="2495" spans="1:16" ht="75">
      <c r="A2495" s="6" t="s">
        <v>6784</v>
      </c>
      <c r="B2495" s="6" t="s">
        <v>6832</v>
      </c>
      <c r="C2495" s="6" t="s">
        <v>6898</v>
      </c>
      <c r="D2495" s="6" t="s">
        <v>531</v>
      </c>
      <c r="E2495" s="6" t="s">
        <v>532</v>
      </c>
      <c r="F2495" s="6" t="s">
        <v>13</v>
      </c>
      <c r="G2495" s="6"/>
      <c r="H2495" s="6"/>
      <c r="I2495" s="6" t="s">
        <v>100</v>
      </c>
      <c r="J2495" s="6"/>
      <c r="K2495" s="6"/>
      <c r="L2495" s="6" t="s">
        <v>533</v>
      </c>
      <c r="M2495" s="6"/>
      <c r="N2495" s="6" t="s">
        <v>534</v>
      </c>
      <c r="O2495" s="6" t="str">
        <f>HYPERLINK("https://ceds.ed.gov/cedselementdetails.aspx?termid=6142")</f>
        <v>https://ceds.ed.gov/cedselementdetails.aspx?termid=6142</v>
      </c>
      <c r="P2495" s="6" t="str">
        <f>HYPERLINK("https://ceds.ed.gov/elementComment.aspx?elementName=Assessment Form Section Identifier &amp;elementID=6142", "Click here to submit comment")</f>
        <v>Click here to submit comment</v>
      </c>
    </row>
    <row r="2496" spans="1:16" ht="405">
      <c r="A2496" s="6" t="s">
        <v>6784</v>
      </c>
      <c r="B2496" s="6" t="s">
        <v>6832</v>
      </c>
      <c r="C2496" s="6" t="s">
        <v>6898</v>
      </c>
      <c r="D2496" s="6" t="s">
        <v>395</v>
      </c>
      <c r="E2496" s="6" t="s">
        <v>396</v>
      </c>
      <c r="F2496" s="7" t="s">
        <v>6375</v>
      </c>
      <c r="G2496" s="6" t="s">
        <v>5990</v>
      </c>
      <c r="H2496" s="6"/>
      <c r="I2496" s="6"/>
      <c r="J2496" s="6"/>
      <c r="K2496" s="6"/>
      <c r="L2496" s="6" t="s">
        <v>397</v>
      </c>
      <c r="M2496" s="6"/>
      <c r="N2496" s="6" t="s">
        <v>398</v>
      </c>
      <c r="O2496" s="6" t="str">
        <f>HYPERLINK("https://ceds.ed.gov/cedselementdetails.aspx?termid=5021")</f>
        <v>https://ceds.ed.gov/cedselementdetails.aspx?termid=5021</v>
      </c>
      <c r="P2496" s="6" t="str">
        <f>HYPERLINK("https://ceds.ed.gov/elementComment.aspx?elementName=Assessment Academic Subject &amp;elementID=5021", "Click here to submit comment")</f>
        <v>Click here to submit comment</v>
      </c>
    </row>
    <row r="2497" spans="1:16" ht="45">
      <c r="A2497" s="6" t="s">
        <v>6784</v>
      </c>
      <c r="B2497" s="6" t="s">
        <v>6832</v>
      </c>
      <c r="C2497" s="6" t="s">
        <v>6898</v>
      </c>
      <c r="D2497" s="6" t="s">
        <v>543</v>
      </c>
      <c r="E2497" s="6" t="s">
        <v>544</v>
      </c>
      <c r="F2497" s="6" t="s">
        <v>13</v>
      </c>
      <c r="G2497" s="6"/>
      <c r="H2497" s="6"/>
      <c r="I2497" s="6" t="s">
        <v>545</v>
      </c>
      <c r="J2497" s="6"/>
      <c r="K2497" s="6"/>
      <c r="L2497" s="6" t="s">
        <v>546</v>
      </c>
      <c r="M2497" s="6"/>
      <c r="N2497" s="6" t="s">
        <v>547</v>
      </c>
      <c r="O2497" s="6" t="str">
        <f>HYPERLINK("https://ceds.ed.gov/cedselementdetails.aspx?termid=5980")</f>
        <v>https://ceds.ed.gov/cedselementdetails.aspx?termid=5980</v>
      </c>
      <c r="P2497" s="6" t="str">
        <f>HYPERLINK("https://ceds.ed.gov/elementComment.aspx?elementName=Assessment Form Section Sequence Number &amp;elementID=5980", "Click here to submit comment")</f>
        <v>Click here to submit comment</v>
      </c>
    </row>
    <row r="2498" spans="1:16" ht="30">
      <c r="A2498" s="6" t="s">
        <v>6784</v>
      </c>
      <c r="B2498" s="6" t="s">
        <v>6832</v>
      </c>
      <c r="C2498" s="6" t="s">
        <v>6898</v>
      </c>
      <c r="D2498" s="6" t="s">
        <v>552</v>
      </c>
      <c r="E2498" s="6" t="s">
        <v>553</v>
      </c>
      <c r="F2498" s="6" t="s">
        <v>13</v>
      </c>
      <c r="G2498" s="6"/>
      <c r="H2498" s="6"/>
      <c r="I2498" s="6" t="s">
        <v>100</v>
      </c>
      <c r="J2498" s="6"/>
      <c r="K2498" s="6"/>
      <c r="L2498" s="6" t="s">
        <v>554</v>
      </c>
      <c r="M2498" s="6"/>
      <c r="N2498" s="6" t="s">
        <v>555</v>
      </c>
      <c r="O2498" s="6" t="str">
        <f>HYPERLINK("https://ceds.ed.gov/cedselementdetails.aspx?termid=6140")</f>
        <v>https://ceds.ed.gov/cedselementdetails.aspx?termid=6140</v>
      </c>
      <c r="P2498" s="6" t="str">
        <f>HYPERLINK("https://ceds.ed.gov/elementComment.aspx?elementName=Assessment Form Section Version &amp;elementID=6140", "Click here to submit comment")</f>
        <v>Click here to submit comment</v>
      </c>
    </row>
    <row r="2499" spans="1:16" ht="75">
      <c r="A2499" s="6" t="s">
        <v>6784</v>
      </c>
      <c r="B2499" s="6" t="s">
        <v>6832</v>
      </c>
      <c r="C2499" s="6" t="s">
        <v>6898</v>
      </c>
      <c r="D2499" s="6" t="s">
        <v>3080</v>
      </c>
      <c r="E2499" s="6" t="s">
        <v>3081</v>
      </c>
      <c r="F2499" s="6" t="s">
        <v>6065</v>
      </c>
      <c r="G2499" s="6"/>
      <c r="H2499" s="6"/>
      <c r="I2499" s="6"/>
      <c r="J2499" s="6"/>
      <c r="K2499" s="6"/>
      <c r="L2499" s="6" t="s">
        <v>3082</v>
      </c>
      <c r="M2499" s="6"/>
      <c r="N2499" s="6" t="s">
        <v>3083</v>
      </c>
      <c r="O2499" s="6" t="str">
        <f>HYPERLINK("https://ceds.ed.gov/cedselementdetails.aspx?termid=6141")</f>
        <v>https://ceds.ed.gov/cedselementdetails.aspx?termid=6141</v>
      </c>
      <c r="P2499" s="6" t="str">
        <f>HYPERLINK("https://ceds.ed.gov/elementComment.aspx?elementName=Identification System for Assessment Form Section &amp;elementID=6141", "Click here to submit comment")</f>
        <v>Click here to submit comment</v>
      </c>
    </row>
    <row r="2500" spans="1:16" ht="60">
      <c r="A2500" s="6" t="s">
        <v>6784</v>
      </c>
      <c r="B2500" s="6" t="s">
        <v>6832</v>
      </c>
      <c r="C2500" s="6" t="s">
        <v>6898</v>
      </c>
      <c r="D2500" s="6" t="s">
        <v>548</v>
      </c>
      <c r="E2500" s="6" t="s">
        <v>549</v>
      </c>
      <c r="F2500" s="6" t="s">
        <v>13</v>
      </c>
      <c r="G2500" s="6"/>
      <c r="H2500" s="6"/>
      <c r="I2500" s="6" t="s">
        <v>426</v>
      </c>
      <c r="J2500" s="6"/>
      <c r="K2500" s="6"/>
      <c r="L2500" s="6" t="s">
        <v>550</v>
      </c>
      <c r="M2500" s="6"/>
      <c r="N2500" s="6" t="s">
        <v>551</v>
      </c>
      <c r="O2500" s="6" t="str">
        <f>HYPERLINK("https://ceds.ed.gov/cedselementdetails.aspx?termid=6143")</f>
        <v>https://ceds.ed.gov/cedselementdetails.aspx?termid=6143</v>
      </c>
      <c r="P2500" s="6" t="str">
        <f>HYPERLINK("https://ceds.ed.gov/elementComment.aspx?elementName=Assessment Form Section Time Limit &amp;elementID=6143", "Click here to submit comment")</f>
        <v>Click here to submit comment</v>
      </c>
    </row>
    <row r="2501" spans="1:16" ht="60">
      <c r="A2501" s="6" t="s">
        <v>6784</v>
      </c>
      <c r="B2501" s="6" t="s">
        <v>6832</v>
      </c>
      <c r="C2501" s="6" t="s">
        <v>6898</v>
      </c>
      <c r="D2501" s="6" t="s">
        <v>539</v>
      </c>
      <c r="E2501" s="6" t="s">
        <v>540</v>
      </c>
      <c r="F2501" s="6" t="s">
        <v>5963</v>
      </c>
      <c r="G2501" s="6"/>
      <c r="H2501" s="6"/>
      <c r="I2501" s="6"/>
      <c r="J2501" s="6"/>
      <c r="K2501" s="6"/>
      <c r="L2501" s="6" t="s">
        <v>541</v>
      </c>
      <c r="M2501" s="6"/>
      <c r="N2501" s="6" t="s">
        <v>542</v>
      </c>
      <c r="O2501" s="6" t="str">
        <f>HYPERLINK("https://ceds.ed.gov/cedselementdetails.aspx?termid=6144")</f>
        <v>https://ceds.ed.gov/cedselementdetails.aspx?termid=6144</v>
      </c>
      <c r="P2501" s="6" t="str">
        <f>HYPERLINK("https://ceds.ed.gov/elementComment.aspx?elementName=Assessment Form Section Sealed &amp;elementID=6144", "Click here to submit comment")</f>
        <v>Click here to submit comment</v>
      </c>
    </row>
    <row r="2502" spans="1:16" ht="150">
      <c r="A2502" s="6" t="s">
        <v>6784</v>
      </c>
      <c r="B2502" s="6" t="s">
        <v>6832</v>
      </c>
      <c r="C2502" s="6" t="s">
        <v>6898</v>
      </c>
      <c r="D2502" s="6" t="s">
        <v>535</v>
      </c>
      <c r="E2502" s="6" t="s">
        <v>536</v>
      </c>
      <c r="F2502" s="6" t="s">
        <v>5963</v>
      </c>
      <c r="G2502" s="6"/>
      <c r="H2502" s="6"/>
      <c r="I2502" s="6"/>
      <c r="J2502" s="6"/>
      <c r="K2502" s="6"/>
      <c r="L2502" s="6" t="s">
        <v>537</v>
      </c>
      <c r="M2502" s="6"/>
      <c r="N2502" s="6" t="s">
        <v>538</v>
      </c>
      <c r="O2502" s="6" t="str">
        <f>HYPERLINK("https://ceds.ed.gov/cedselementdetails.aspx?termid=6145")</f>
        <v>https://ceds.ed.gov/cedselementdetails.aspx?termid=6145</v>
      </c>
      <c r="P2502" s="6" t="str">
        <f>HYPERLINK("https://ceds.ed.gov/elementComment.aspx?elementName=Assessment Form Section Reentry &amp;elementID=6145", "Click here to submit comment")</f>
        <v>Click here to submit comment</v>
      </c>
    </row>
    <row r="2503" spans="1:16" ht="60">
      <c r="A2503" s="6" t="s">
        <v>6784</v>
      </c>
      <c r="B2503" s="6" t="s">
        <v>6832</v>
      </c>
      <c r="C2503" s="6" t="s">
        <v>6898</v>
      </c>
      <c r="D2503" s="6" t="s">
        <v>3665</v>
      </c>
      <c r="E2503" s="6" t="s">
        <v>3666</v>
      </c>
      <c r="F2503" s="6" t="s">
        <v>13</v>
      </c>
      <c r="G2503" s="6"/>
      <c r="H2503" s="6"/>
      <c r="I2503" s="6" t="s">
        <v>73</v>
      </c>
      <c r="J2503" s="6"/>
      <c r="K2503" s="6"/>
      <c r="L2503" s="6" t="s">
        <v>3667</v>
      </c>
      <c r="M2503" s="6"/>
      <c r="N2503" s="6" t="s">
        <v>3668</v>
      </c>
      <c r="O2503" s="6" t="str">
        <f>HYPERLINK("https://ceds.ed.gov/cedselementdetails.aspx?termid=6135")</f>
        <v>https://ceds.ed.gov/cedselementdetails.aspx?termid=6135</v>
      </c>
      <c r="P2503" s="6" t="str">
        <f>HYPERLINK("https://ceds.ed.gov/elementComment.aspx?elementName=Learning Resource Published Date &amp;elementID=6135", "Click here to submit comment")</f>
        <v>Click here to submit comment</v>
      </c>
    </row>
    <row r="2504" spans="1:16" ht="150">
      <c r="A2504" s="6" t="s">
        <v>6784</v>
      </c>
      <c r="B2504" s="6" t="s">
        <v>6832</v>
      </c>
      <c r="C2504" s="6" t="s">
        <v>6899</v>
      </c>
      <c r="D2504" s="6" t="s">
        <v>561</v>
      </c>
      <c r="E2504" s="6" t="s">
        <v>562</v>
      </c>
      <c r="F2504" s="6" t="s">
        <v>13</v>
      </c>
      <c r="G2504" s="6"/>
      <c r="H2504" s="6"/>
      <c r="I2504" s="6" t="s">
        <v>545</v>
      </c>
      <c r="J2504" s="6"/>
      <c r="K2504" s="6"/>
      <c r="L2504" s="6" t="s">
        <v>563</v>
      </c>
      <c r="M2504" s="6"/>
      <c r="N2504" s="6" t="s">
        <v>564</v>
      </c>
      <c r="O2504" s="6" t="str">
        <f>HYPERLINK("https://ceds.ed.gov/cedselementdetails.aspx?termid=6013")</f>
        <v>https://ceds.ed.gov/cedselementdetails.aspx?termid=6013</v>
      </c>
      <c r="P2504" s="6" t="str">
        <f>HYPERLINK("https://ceds.ed.gov/elementComment.aspx?elementName=Assessment Form Subtest Item Weight Correct &amp;elementID=6013", "Click here to submit comment")</f>
        <v>Click here to submit comment</v>
      </c>
    </row>
    <row r="2505" spans="1:16" ht="90">
      <c r="A2505" s="6" t="s">
        <v>6784</v>
      </c>
      <c r="B2505" s="6" t="s">
        <v>6832</v>
      </c>
      <c r="C2505" s="6" t="s">
        <v>6899</v>
      </c>
      <c r="D2505" s="6" t="s">
        <v>565</v>
      </c>
      <c r="E2505" s="6" t="s">
        <v>566</v>
      </c>
      <c r="F2505" s="6" t="s">
        <v>13</v>
      </c>
      <c r="G2505" s="6"/>
      <c r="H2505" s="6"/>
      <c r="I2505" s="6" t="s">
        <v>545</v>
      </c>
      <c r="J2505" s="6"/>
      <c r="K2505" s="6"/>
      <c r="L2505" s="6" t="s">
        <v>567</v>
      </c>
      <c r="M2505" s="6"/>
      <c r="N2505" s="6" t="s">
        <v>568</v>
      </c>
      <c r="O2505" s="6" t="str">
        <f>HYPERLINK("https://ceds.ed.gov/cedselementdetails.aspx?termid=6014")</f>
        <v>https://ceds.ed.gov/cedselementdetails.aspx?termid=6014</v>
      </c>
      <c r="P2505" s="6" t="str">
        <f>HYPERLINK("https://ceds.ed.gov/elementComment.aspx?elementName=Assessment Form Subtest Item Weight Incorrect &amp;elementID=6014", "Click here to submit comment")</f>
        <v>Click here to submit comment</v>
      </c>
    </row>
    <row r="2506" spans="1:16" ht="105">
      <c r="A2506" s="6" t="s">
        <v>6784</v>
      </c>
      <c r="B2506" s="6" t="s">
        <v>6832</v>
      </c>
      <c r="C2506" s="6" t="s">
        <v>6899</v>
      </c>
      <c r="D2506" s="6" t="s">
        <v>569</v>
      </c>
      <c r="E2506" s="6" t="s">
        <v>570</v>
      </c>
      <c r="F2506" s="6" t="s">
        <v>13</v>
      </c>
      <c r="G2506" s="6"/>
      <c r="H2506" s="6"/>
      <c r="I2506" s="6" t="s">
        <v>545</v>
      </c>
      <c r="J2506" s="6"/>
      <c r="K2506" s="6"/>
      <c r="L2506" s="6" t="s">
        <v>571</v>
      </c>
      <c r="M2506" s="6"/>
      <c r="N2506" s="6" t="s">
        <v>572</v>
      </c>
      <c r="O2506" s="6" t="str">
        <f>HYPERLINK("https://ceds.ed.gov/cedselementdetails.aspx?termid=6015")</f>
        <v>https://ceds.ed.gov/cedselementdetails.aspx?termid=6015</v>
      </c>
      <c r="P2506" s="6" t="str">
        <f>HYPERLINK("https://ceds.ed.gov/elementComment.aspx?elementName=Assessment Form Subtest Item Weight Not Attempted &amp;elementID=6015", "Click here to submit comment")</f>
        <v>Click here to submit comment</v>
      </c>
    </row>
    <row r="2507" spans="1:16" ht="45">
      <c r="A2507" s="6" t="s">
        <v>6784</v>
      </c>
      <c r="B2507" s="6" t="s">
        <v>6835</v>
      </c>
      <c r="C2507" s="6"/>
      <c r="D2507" s="6" t="s">
        <v>1281</v>
      </c>
      <c r="E2507" s="6" t="s">
        <v>1282</v>
      </c>
      <c r="F2507" s="6" t="s">
        <v>6062</v>
      </c>
      <c r="G2507" s="6"/>
      <c r="H2507" s="6"/>
      <c r="I2507" s="6"/>
      <c r="J2507" s="6"/>
      <c r="K2507" s="6"/>
      <c r="L2507" s="6" t="s">
        <v>1283</v>
      </c>
      <c r="M2507" s="6"/>
      <c r="N2507" s="6" t="s">
        <v>1284</v>
      </c>
      <c r="O2507" s="6" t="str">
        <f>HYPERLINK("https://ceds.ed.gov/cedselementdetails.aspx?termid=6020")</f>
        <v>https://ceds.ed.gov/cedselementdetails.aspx?termid=6020</v>
      </c>
      <c r="P2507" s="6" t="str">
        <f>HYPERLINK("https://ceds.ed.gov/elementComment.aspx?elementName=Assessment Session Type &amp;elementID=6020", "Click here to submit comment")</f>
        <v>Click here to submit comment</v>
      </c>
    </row>
    <row r="2508" spans="1:16" ht="45">
      <c r="A2508" s="6" t="s">
        <v>6784</v>
      </c>
      <c r="B2508" s="6" t="s">
        <v>6835</v>
      </c>
      <c r="C2508" s="6"/>
      <c r="D2508" s="6" t="s">
        <v>1247</v>
      </c>
      <c r="E2508" s="6" t="s">
        <v>1248</v>
      </c>
      <c r="F2508" s="6" t="s">
        <v>13</v>
      </c>
      <c r="G2508" s="6" t="s">
        <v>5992</v>
      </c>
      <c r="H2508" s="6"/>
      <c r="I2508" s="6" t="s">
        <v>1249</v>
      </c>
      <c r="J2508" s="6"/>
      <c r="K2508" s="6"/>
      <c r="L2508" s="6" t="s">
        <v>1250</v>
      </c>
      <c r="M2508" s="6"/>
      <c r="N2508" s="6" t="s">
        <v>1251</v>
      </c>
      <c r="O2508" s="6" t="str">
        <f>HYPERLINK("https://ceds.ed.gov/cedselementdetails.aspx?termid=5590")</f>
        <v>https://ceds.ed.gov/cedselementdetails.aspx?termid=5590</v>
      </c>
      <c r="P2508" s="6" t="str">
        <f>HYPERLINK("https://ceds.ed.gov/elementComment.aspx?elementName=Assessment Session Location &amp;elementID=5590", "Click here to submit comment")</f>
        <v>Click here to submit comment</v>
      </c>
    </row>
    <row r="2509" spans="1:16" ht="45">
      <c r="A2509" s="6" t="s">
        <v>6784</v>
      </c>
      <c r="B2509" s="6" t="s">
        <v>6835</v>
      </c>
      <c r="C2509" s="6"/>
      <c r="D2509" s="6" t="s">
        <v>1261</v>
      </c>
      <c r="E2509" s="6" t="s">
        <v>1262</v>
      </c>
      <c r="F2509" s="6" t="s">
        <v>13</v>
      </c>
      <c r="G2509" s="6"/>
      <c r="H2509" s="6"/>
      <c r="I2509" s="6" t="s">
        <v>1168</v>
      </c>
      <c r="J2509" s="6"/>
      <c r="K2509" s="6"/>
      <c r="L2509" s="6" t="s">
        <v>1263</v>
      </c>
      <c r="M2509" s="6"/>
      <c r="N2509" s="6" t="s">
        <v>1264</v>
      </c>
      <c r="O2509" s="6" t="str">
        <f>HYPERLINK("https://ceds.ed.gov/cedselementdetails.aspx?termid=6021")</f>
        <v>https://ceds.ed.gov/cedselementdetails.aspx?termid=6021</v>
      </c>
      <c r="P2509" s="6" t="str">
        <f>HYPERLINK("https://ceds.ed.gov/elementComment.aspx?elementName=Assessment Session Scheduled Start Date Time &amp;elementID=6021", "Click here to submit comment")</f>
        <v>Click here to submit comment</v>
      </c>
    </row>
    <row r="2510" spans="1:16" ht="45">
      <c r="A2510" s="6" t="s">
        <v>6784</v>
      </c>
      <c r="B2510" s="6" t="s">
        <v>6835</v>
      </c>
      <c r="C2510" s="6"/>
      <c r="D2510" s="6" t="s">
        <v>1257</v>
      </c>
      <c r="E2510" s="6" t="s">
        <v>1258</v>
      </c>
      <c r="F2510" s="6" t="s">
        <v>13</v>
      </c>
      <c r="G2510" s="6"/>
      <c r="H2510" s="6"/>
      <c r="I2510" s="6" t="s">
        <v>1168</v>
      </c>
      <c r="J2510" s="6"/>
      <c r="K2510" s="6"/>
      <c r="L2510" s="6" t="s">
        <v>1259</v>
      </c>
      <c r="M2510" s="6"/>
      <c r="N2510" s="6" t="s">
        <v>1260</v>
      </c>
      <c r="O2510" s="6" t="str">
        <f>HYPERLINK("https://ceds.ed.gov/cedselementdetails.aspx?termid=6022")</f>
        <v>https://ceds.ed.gov/cedselementdetails.aspx?termid=6022</v>
      </c>
      <c r="P2510" s="6" t="str">
        <f>HYPERLINK("https://ceds.ed.gov/elementComment.aspx?elementName=Assessment Session Scheduled End Date Time &amp;elementID=6022", "Click here to submit comment")</f>
        <v>Click here to submit comment</v>
      </c>
    </row>
    <row r="2511" spans="1:16" ht="90">
      <c r="A2511" s="6" t="s">
        <v>6784</v>
      </c>
      <c r="B2511" s="6" t="s">
        <v>6835</v>
      </c>
      <c r="C2511" s="6"/>
      <c r="D2511" s="6" t="s">
        <v>1233</v>
      </c>
      <c r="E2511" s="6" t="s">
        <v>1234</v>
      </c>
      <c r="F2511" s="6" t="s">
        <v>13</v>
      </c>
      <c r="G2511" s="6"/>
      <c r="H2511" s="6"/>
      <c r="I2511" s="6" t="s">
        <v>1168</v>
      </c>
      <c r="J2511" s="6"/>
      <c r="K2511" s="6" t="s">
        <v>1235</v>
      </c>
      <c r="L2511" s="6" t="s">
        <v>1236</v>
      </c>
      <c r="M2511" s="6"/>
      <c r="N2511" s="6" t="s">
        <v>1237</v>
      </c>
      <c r="O2511" s="6" t="str">
        <f>HYPERLINK("https://ceds.ed.gov/cedselementdetails.aspx?termid=6023")</f>
        <v>https://ceds.ed.gov/cedselementdetails.aspx?termid=6023</v>
      </c>
      <c r="P2511" s="6" t="str">
        <f>HYPERLINK("https://ceds.ed.gov/elementComment.aspx?elementName=Assessment Session Actual Start Date Time &amp;elementID=6023", "Click here to submit comment")</f>
        <v>Click here to submit comment</v>
      </c>
    </row>
    <row r="2512" spans="1:16" ht="90">
      <c r="A2512" s="6" t="s">
        <v>6784</v>
      </c>
      <c r="B2512" s="6" t="s">
        <v>6835</v>
      </c>
      <c r="C2512" s="6"/>
      <c r="D2512" s="6" t="s">
        <v>1228</v>
      </c>
      <c r="E2512" s="6" t="s">
        <v>1229</v>
      </c>
      <c r="F2512" s="6" t="s">
        <v>13</v>
      </c>
      <c r="G2512" s="6"/>
      <c r="H2512" s="6"/>
      <c r="I2512" s="6" t="s">
        <v>1168</v>
      </c>
      <c r="J2512" s="6"/>
      <c r="K2512" s="6" t="s">
        <v>1230</v>
      </c>
      <c r="L2512" s="6" t="s">
        <v>1231</v>
      </c>
      <c r="M2512" s="6"/>
      <c r="N2512" s="6" t="s">
        <v>1232</v>
      </c>
      <c r="O2512" s="6" t="str">
        <f>HYPERLINK("https://ceds.ed.gov/cedselementdetails.aspx?termid=6024")</f>
        <v>https://ceds.ed.gov/cedselementdetails.aspx?termid=6024</v>
      </c>
      <c r="P2512" s="6" t="str">
        <f>HYPERLINK("https://ceds.ed.gov/elementComment.aspx?elementName=Assessment Session Actual End Date Time &amp;elementID=6024", "Click here to submit comment")</f>
        <v>Click here to submit comment</v>
      </c>
    </row>
    <row r="2513" spans="1:16" ht="75">
      <c r="A2513" s="6" t="s">
        <v>6784</v>
      </c>
      <c r="B2513" s="6" t="s">
        <v>6835</v>
      </c>
      <c r="C2513" s="6"/>
      <c r="D2513" s="6" t="s">
        <v>1238</v>
      </c>
      <c r="E2513" s="6" t="s">
        <v>1239</v>
      </c>
      <c r="F2513" s="6" t="s">
        <v>13</v>
      </c>
      <c r="G2513" s="6" t="s">
        <v>5992</v>
      </c>
      <c r="H2513" s="6"/>
      <c r="I2513" s="6" t="s">
        <v>1240</v>
      </c>
      <c r="J2513" s="6"/>
      <c r="K2513" s="6"/>
      <c r="L2513" s="6" t="s">
        <v>1241</v>
      </c>
      <c r="M2513" s="6"/>
      <c r="N2513" s="6" t="s">
        <v>1242</v>
      </c>
      <c r="O2513" s="6" t="str">
        <f>HYPERLINK("https://ceds.ed.gov/cedselementdetails.aspx?termid=5400")</f>
        <v>https://ceds.ed.gov/cedselementdetails.aspx?termid=5400</v>
      </c>
      <c r="P2513" s="6" t="str">
        <f>HYPERLINK("https://ceds.ed.gov/elementComment.aspx?elementName=Assessment Session Administrator Identifier &amp;elementID=5400", "Click here to submit comment")</f>
        <v>Click here to submit comment</v>
      </c>
    </row>
    <row r="2514" spans="1:16" ht="45">
      <c r="A2514" s="6" t="s">
        <v>6784</v>
      </c>
      <c r="B2514" s="6" t="s">
        <v>6835</v>
      </c>
      <c r="C2514" s="6"/>
      <c r="D2514" s="6" t="s">
        <v>1252</v>
      </c>
      <c r="E2514" s="6" t="s">
        <v>1253</v>
      </c>
      <c r="F2514" s="6" t="s">
        <v>13</v>
      </c>
      <c r="G2514" s="6" t="s">
        <v>5992</v>
      </c>
      <c r="H2514" s="6"/>
      <c r="I2514" s="6" t="s">
        <v>1240</v>
      </c>
      <c r="J2514" s="6"/>
      <c r="K2514" s="6" t="s">
        <v>1254</v>
      </c>
      <c r="L2514" s="6" t="s">
        <v>1255</v>
      </c>
      <c r="M2514" s="6"/>
      <c r="N2514" s="6" t="s">
        <v>1256</v>
      </c>
      <c r="O2514" s="6" t="str">
        <f>HYPERLINK("https://ceds.ed.gov/cedselementdetails.aspx?termid=5401")</f>
        <v>https://ceds.ed.gov/cedselementdetails.aspx?termid=5401</v>
      </c>
      <c r="P2514" s="6" t="str">
        <f>HYPERLINK("https://ceds.ed.gov/elementComment.aspx?elementName=Assessment Session Proctor Identifier &amp;elementID=5401", "Click here to submit comment")</f>
        <v>Click here to submit comment</v>
      </c>
    </row>
    <row r="2515" spans="1:16" ht="120">
      <c r="A2515" s="6" t="s">
        <v>6784</v>
      </c>
      <c r="B2515" s="6" t="s">
        <v>6835</v>
      </c>
      <c r="C2515" s="6"/>
      <c r="D2515" s="6" t="s">
        <v>1277</v>
      </c>
      <c r="E2515" s="6" t="s">
        <v>1278</v>
      </c>
      <c r="F2515" s="6" t="s">
        <v>6061</v>
      </c>
      <c r="G2515" s="6"/>
      <c r="H2515" s="6"/>
      <c r="I2515" s="6"/>
      <c r="J2515" s="6"/>
      <c r="K2515" s="6"/>
      <c r="L2515" s="6" t="s">
        <v>1279</v>
      </c>
      <c r="M2515" s="6"/>
      <c r="N2515" s="6" t="s">
        <v>1280</v>
      </c>
      <c r="O2515" s="6" t="str">
        <f>HYPERLINK("https://ceds.ed.gov/cedselementdetails.aspx?termid=6179")</f>
        <v>https://ceds.ed.gov/cedselementdetails.aspx?termid=6179</v>
      </c>
      <c r="P2515" s="6" t="str">
        <f>HYPERLINK("https://ceds.ed.gov/elementComment.aspx?elementName=Assessment Session Staff Role Type &amp;elementID=6179", "Click here to submit comment")</f>
        <v>Click here to submit comment</v>
      </c>
    </row>
    <row r="2516" spans="1:16" ht="285">
      <c r="A2516" s="6" t="s">
        <v>6784</v>
      </c>
      <c r="B2516" s="6" t="s">
        <v>6835</v>
      </c>
      <c r="C2516" s="6"/>
      <c r="D2516" s="6" t="s">
        <v>4017</v>
      </c>
      <c r="E2516" s="6" t="s">
        <v>4018</v>
      </c>
      <c r="F2516" s="7" t="s">
        <v>6577</v>
      </c>
      <c r="G2516" s="6" t="s">
        <v>6252</v>
      </c>
      <c r="H2516" s="6"/>
      <c r="I2516" s="6"/>
      <c r="J2516" s="6"/>
      <c r="K2516" s="6"/>
      <c r="L2516" s="6" t="s">
        <v>4019</v>
      </c>
      <c r="M2516" s="6" t="s">
        <v>4020</v>
      </c>
      <c r="N2516" s="6" t="s">
        <v>4021</v>
      </c>
      <c r="O2516" s="6" t="str">
        <f>HYPERLINK("https://ceds.ed.gov/cedselementdetails.aspx?termid=5159")</f>
        <v>https://ceds.ed.gov/cedselementdetails.aspx?termid=5159</v>
      </c>
      <c r="P2516" s="6" t="str">
        <f>HYPERLINK("https://ceds.ed.gov/elementComment.aspx?elementName=Local Education Agency Identification System &amp;elementID=5159", "Click here to submit comment")</f>
        <v>Click here to submit comment</v>
      </c>
    </row>
    <row r="2517" spans="1:16" ht="120">
      <c r="A2517" s="6" t="s">
        <v>6784</v>
      </c>
      <c r="B2517" s="6" t="s">
        <v>6835</v>
      </c>
      <c r="C2517" s="6"/>
      <c r="D2517" s="6" t="s">
        <v>4022</v>
      </c>
      <c r="E2517" s="6" t="s">
        <v>4023</v>
      </c>
      <c r="F2517" s="6" t="s">
        <v>13</v>
      </c>
      <c r="G2517" s="6" t="s">
        <v>6252</v>
      </c>
      <c r="H2517" s="6"/>
      <c r="I2517" s="6" t="s">
        <v>100</v>
      </c>
      <c r="J2517" s="6"/>
      <c r="K2517" s="6"/>
      <c r="L2517" s="6" t="s">
        <v>4024</v>
      </c>
      <c r="M2517" s="6" t="s">
        <v>4025</v>
      </c>
      <c r="N2517" s="6" t="s">
        <v>4026</v>
      </c>
      <c r="O2517" s="6" t="str">
        <f>HYPERLINK("https://ceds.ed.gov/cedselementdetails.aspx?termid=5153")</f>
        <v>https://ceds.ed.gov/cedselementdetails.aspx?termid=5153</v>
      </c>
      <c r="P2517" s="6" t="str">
        <f>HYPERLINK("https://ceds.ed.gov/elementComment.aspx?elementName=Local Education Agency Identifier &amp;elementID=5153", "Click here to submit comment")</f>
        <v>Click here to submit comment</v>
      </c>
    </row>
    <row r="2518" spans="1:16" ht="360">
      <c r="A2518" s="6" t="s">
        <v>6784</v>
      </c>
      <c r="B2518" s="6" t="s">
        <v>6835</v>
      </c>
      <c r="C2518" s="6"/>
      <c r="D2518" s="6" t="s">
        <v>5221</v>
      </c>
      <c r="E2518" s="6" t="s">
        <v>265</v>
      </c>
      <c r="F2518" s="7" t="s">
        <v>6645</v>
      </c>
      <c r="G2518" s="6" t="s">
        <v>6308</v>
      </c>
      <c r="H2518" s="6"/>
      <c r="I2518" s="6"/>
      <c r="J2518" s="6"/>
      <c r="K2518" s="6"/>
      <c r="L2518" s="6" t="s">
        <v>5222</v>
      </c>
      <c r="M2518" s="6"/>
      <c r="N2518" s="6" t="s">
        <v>5223</v>
      </c>
      <c r="O2518" s="6" t="str">
        <f>HYPERLINK("https://ceds.ed.gov/cedselementdetails.aspx?termid=5161")</f>
        <v>https://ceds.ed.gov/cedselementdetails.aspx?termid=5161</v>
      </c>
      <c r="P2518" s="6" t="str">
        <f>HYPERLINK("https://ceds.ed.gov/elementComment.aspx?elementName=School Identification System &amp;elementID=5161", "Click here to submit comment")</f>
        <v>Click here to submit comment</v>
      </c>
    </row>
    <row r="2519" spans="1:16" ht="165">
      <c r="A2519" s="6" t="s">
        <v>6784</v>
      </c>
      <c r="B2519" s="6" t="s">
        <v>6835</v>
      </c>
      <c r="C2519" s="6"/>
      <c r="D2519" s="6" t="s">
        <v>5224</v>
      </c>
      <c r="E2519" s="6" t="s">
        <v>269</v>
      </c>
      <c r="F2519" s="6" t="s">
        <v>13</v>
      </c>
      <c r="G2519" s="6" t="s">
        <v>6308</v>
      </c>
      <c r="H2519" s="6"/>
      <c r="I2519" s="6" t="s">
        <v>100</v>
      </c>
      <c r="J2519" s="6"/>
      <c r="K2519" s="6"/>
      <c r="L2519" s="6" t="s">
        <v>5225</v>
      </c>
      <c r="M2519" s="6"/>
      <c r="N2519" s="6" t="s">
        <v>5226</v>
      </c>
      <c r="O2519" s="6" t="str">
        <f>HYPERLINK("https://ceds.ed.gov/cedselementdetails.aspx?termid=5155")</f>
        <v>https://ceds.ed.gov/cedselementdetails.aspx?termid=5155</v>
      </c>
      <c r="P2519" s="6" t="str">
        <f>HYPERLINK("https://ceds.ed.gov/elementComment.aspx?elementName=School Identifier &amp;elementID=5155", "Click here to submit comment")</f>
        <v>Click here to submit comment</v>
      </c>
    </row>
    <row r="2520" spans="1:16" ht="45">
      <c r="A2520" s="6" t="s">
        <v>6784</v>
      </c>
      <c r="B2520" s="6" t="s">
        <v>6835</v>
      </c>
      <c r="C2520" s="6"/>
      <c r="D2520" s="6" t="s">
        <v>1243</v>
      </c>
      <c r="E2520" s="6" t="s">
        <v>1244</v>
      </c>
      <c r="F2520" s="6" t="s">
        <v>13</v>
      </c>
      <c r="G2520" s="6" t="s">
        <v>5992</v>
      </c>
      <c r="H2520" s="6"/>
      <c r="I2520" s="6" t="s">
        <v>808</v>
      </c>
      <c r="J2520" s="6"/>
      <c r="K2520" s="6"/>
      <c r="L2520" s="6" t="s">
        <v>1245</v>
      </c>
      <c r="M2520" s="6"/>
      <c r="N2520" s="6" t="s">
        <v>1246</v>
      </c>
      <c r="O2520" s="6" t="str">
        <f>HYPERLINK("https://ceds.ed.gov/cedselementdetails.aspx?termid=5399")</f>
        <v>https://ceds.ed.gov/cedselementdetails.aspx?termid=5399</v>
      </c>
      <c r="P2520" s="6" t="str">
        <f>HYPERLINK("https://ceds.ed.gov/elementComment.aspx?elementName=Assessment Session Allotted Time &amp;elementID=5399", "Click here to submit comment")</f>
        <v>Click here to submit comment</v>
      </c>
    </row>
    <row r="2521" spans="1:16" ht="150">
      <c r="A2521" s="6" t="s">
        <v>6784</v>
      </c>
      <c r="B2521" s="6" t="s">
        <v>6835</v>
      </c>
      <c r="C2521" s="6"/>
      <c r="D2521" s="6" t="s">
        <v>1265</v>
      </c>
      <c r="E2521" s="6" t="s">
        <v>1266</v>
      </c>
      <c r="F2521" s="6" t="s">
        <v>13</v>
      </c>
      <c r="G2521" s="6"/>
      <c r="H2521" s="6"/>
      <c r="I2521" s="6" t="s">
        <v>93</v>
      </c>
      <c r="J2521" s="6"/>
      <c r="K2521" s="6" t="s">
        <v>835</v>
      </c>
      <c r="L2521" s="6" t="s">
        <v>1267</v>
      </c>
      <c r="M2521" s="6"/>
      <c r="N2521" s="6" t="s">
        <v>1268</v>
      </c>
      <c r="O2521" s="6" t="str">
        <f>HYPERLINK("https://ceds.ed.gov/cedselementdetails.aspx?termid=5969")</f>
        <v>https://ceds.ed.gov/cedselementdetails.aspx?termid=5969</v>
      </c>
      <c r="P2521" s="6" t="str">
        <f>HYPERLINK("https://ceds.ed.gov/elementComment.aspx?elementName=Assessment Session Security Issue &amp;elementID=5969", "Click here to submit comment")</f>
        <v>Click here to submit comment</v>
      </c>
    </row>
    <row r="2522" spans="1:16" ht="409.5">
      <c r="A2522" s="6" t="s">
        <v>6784</v>
      </c>
      <c r="B2522" s="6" t="s">
        <v>6835</v>
      </c>
      <c r="C2522" s="6"/>
      <c r="D2522" s="6" t="s">
        <v>1269</v>
      </c>
      <c r="E2522" s="6" t="s">
        <v>1270</v>
      </c>
      <c r="F2522" s="7" t="s">
        <v>6403</v>
      </c>
      <c r="G2522" s="6" t="s">
        <v>5992</v>
      </c>
      <c r="H2522" s="6"/>
      <c r="I2522" s="6"/>
      <c r="J2522" s="6"/>
      <c r="K2522" s="6"/>
      <c r="L2522" s="6" t="s">
        <v>1271</v>
      </c>
      <c r="M2522" s="6"/>
      <c r="N2522" s="6" t="s">
        <v>1272</v>
      </c>
      <c r="O2522" s="6" t="str">
        <f>HYPERLINK("https://ceds.ed.gov/cedselementdetails.aspx?termid=5380")</f>
        <v>https://ceds.ed.gov/cedselementdetails.aspx?termid=5380</v>
      </c>
      <c r="P2522" s="6" t="str">
        <f>HYPERLINK("https://ceds.ed.gov/elementComment.aspx?elementName=Assessment Session Special Circumstance Type &amp;elementID=5380", "Click here to submit comment")</f>
        <v>Click here to submit comment</v>
      </c>
    </row>
    <row r="2523" spans="1:16" ht="90">
      <c r="A2523" s="6" t="s">
        <v>6784</v>
      </c>
      <c r="B2523" s="6" t="s">
        <v>6835</v>
      </c>
      <c r="C2523" s="6"/>
      <c r="D2523" s="6" t="s">
        <v>1273</v>
      </c>
      <c r="E2523" s="6" t="s">
        <v>1274</v>
      </c>
      <c r="F2523" s="6" t="s">
        <v>13</v>
      </c>
      <c r="G2523" s="6"/>
      <c r="H2523" s="6"/>
      <c r="I2523" s="6" t="s">
        <v>106</v>
      </c>
      <c r="J2523" s="6"/>
      <c r="K2523" s="6"/>
      <c r="L2523" s="6" t="s">
        <v>1275</v>
      </c>
      <c r="M2523" s="6"/>
      <c r="N2523" s="6" t="s">
        <v>1276</v>
      </c>
      <c r="O2523" s="6" t="str">
        <f>HYPERLINK("https://ceds.ed.gov/cedselementdetails.aspx?termid=6077")</f>
        <v>https://ceds.ed.gov/cedselementdetails.aspx?termid=6077</v>
      </c>
      <c r="P2523" s="6" t="str">
        <f>HYPERLINK("https://ceds.ed.gov/elementComment.aspx?elementName=Assessment Session Special Event Description &amp;elementID=6077", "Click here to submit comment")</f>
        <v>Click here to submit comment</v>
      </c>
    </row>
    <row r="2524" spans="1:16" ht="30">
      <c r="A2524" s="6" t="s">
        <v>6784</v>
      </c>
      <c r="B2524" s="6" t="s">
        <v>6836</v>
      </c>
      <c r="C2524" s="6"/>
      <c r="D2524" s="6" t="s">
        <v>748</v>
      </c>
      <c r="E2524" s="6" t="s">
        <v>749</v>
      </c>
      <c r="F2524" s="6" t="s">
        <v>13</v>
      </c>
      <c r="G2524" s="6" t="s">
        <v>6018</v>
      </c>
      <c r="H2524" s="6"/>
      <c r="I2524" s="6" t="s">
        <v>100</v>
      </c>
      <c r="J2524" s="6"/>
      <c r="K2524" s="6"/>
      <c r="L2524" s="6" t="s">
        <v>750</v>
      </c>
      <c r="M2524" s="6"/>
      <c r="N2524" s="6" t="s">
        <v>751</v>
      </c>
      <c r="O2524" s="6" t="str">
        <f>HYPERLINK("https://ceds.ed.gov/cedselementdetails.aspx?termid=5623")</f>
        <v>https://ceds.ed.gov/cedselementdetails.aspx?termid=5623</v>
      </c>
      <c r="P2524" s="6" t="str">
        <f>HYPERLINK("https://ceds.ed.gov/elementComment.aspx?elementName=Assessment Item Identifier &amp;elementID=5623", "Click here to submit comment")</f>
        <v>Click here to submit comment</v>
      </c>
    </row>
    <row r="2525" spans="1:16" ht="409.5">
      <c r="A2525" s="6" t="s">
        <v>6784</v>
      </c>
      <c r="B2525" s="6" t="s">
        <v>6836</v>
      </c>
      <c r="C2525" s="6"/>
      <c r="D2525" s="6" t="s">
        <v>933</v>
      </c>
      <c r="E2525" s="6" t="s">
        <v>934</v>
      </c>
      <c r="F2525" s="7" t="s">
        <v>6389</v>
      </c>
      <c r="G2525" s="6" t="s">
        <v>6018</v>
      </c>
      <c r="H2525" s="6"/>
      <c r="I2525" s="6"/>
      <c r="J2525" s="6"/>
      <c r="K2525" s="6"/>
      <c r="L2525" s="6" t="s">
        <v>935</v>
      </c>
      <c r="M2525" s="6"/>
      <c r="N2525" s="6" t="s">
        <v>936</v>
      </c>
      <c r="O2525" s="6" t="str">
        <f>HYPERLINK("https://ceds.ed.gov/cedselementdetails.aspx?termid=5382")</f>
        <v>https://ceds.ed.gov/cedselementdetails.aspx?termid=5382</v>
      </c>
      <c r="P2525" s="6" t="str">
        <f>HYPERLINK("https://ceds.ed.gov/elementComment.aspx?elementName=Assessment Item Type &amp;elementID=5382", "Click here to submit comment")</f>
        <v>Click here to submit comment</v>
      </c>
    </row>
    <row r="2526" spans="1:16" ht="405">
      <c r="A2526" s="6" t="s">
        <v>6784</v>
      </c>
      <c r="B2526" s="6" t="s">
        <v>6836</v>
      </c>
      <c r="C2526" s="6"/>
      <c r="D2526" s="6" t="s">
        <v>395</v>
      </c>
      <c r="E2526" s="6" t="s">
        <v>396</v>
      </c>
      <c r="F2526" s="7" t="s">
        <v>6375</v>
      </c>
      <c r="G2526" s="6" t="s">
        <v>5990</v>
      </c>
      <c r="H2526" s="6"/>
      <c r="I2526" s="6"/>
      <c r="J2526" s="6"/>
      <c r="K2526" s="6"/>
      <c r="L2526" s="6" t="s">
        <v>397</v>
      </c>
      <c r="M2526" s="6"/>
      <c r="N2526" s="6" t="s">
        <v>398</v>
      </c>
      <c r="O2526" s="6" t="str">
        <f>HYPERLINK("https://ceds.ed.gov/cedselementdetails.aspx?termid=5021")</f>
        <v>https://ceds.ed.gov/cedselementdetails.aspx?termid=5021</v>
      </c>
      <c r="P2526" s="6" t="str">
        <f>HYPERLINK("https://ceds.ed.gov/elementComment.aspx?elementName=Assessment Academic Subject &amp;elementID=5021", "Click here to submit comment")</f>
        <v>Click here to submit comment</v>
      </c>
    </row>
    <row r="2527" spans="1:16" ht="60">
      <c r="A2527" s="6" t="s">
        <v>6784</v>
      </c>
      <c r="B2527" s="6" t="s">
        <v>6836</v>
      </c>
      <c r="C2527" s="6"/>
      <c r="D2527" s="6" t="s">
        <v>718</v>
      </c>
      <c r="E2527" s="6" t="s">
        <v>719</v>
      </c>
      <c r="F2527" s="6" t="s">
        <v>13</v>
      </c>
      <c r="G2527" s="6"/>
      <c r="H2527" s="6"/>
      <c r="I2527" s="6" t="s">
        <v>319</v>
      </c>
      <c r="J2527" s="6"/>
      <c r="K2527" s="6"/>
      <c r="L2527" s="6" t="s">
        <v>720</v>
      </c>
      <c r="M2527" s="6"/>
      <c r="N2527" s="6" t="s">
        <v>721</v>
      </c>
      <c r="O2527" s="6" t="str">
        <f>HYPERLINK("https://ceds.ed.gov/cedselementdetails.aspx?termid=6233")</f>
        <v>https://ceds.ed.gov/cedselementdetails.aspx?termid=6233</v>
      </c>
      <c r="P2527" s="6" t="str">
        <f>HYPERLINK("https://ceds.ed.gov/elementComment.aspx?elementName=Assessment Item Body Text &amp;elementID=6233", "Click here to submit comment")</f>
        <v>Click here to submit comment</v>
      </c>
    </row>
    <row r="2528" spans="1:16" ht="90">
      <c r="A2528" s="6" t="s">
        <v>6784</v>
      </c>
      <c r="B2528" s="6" t="s">
        <v>6836</v>
      </c>
      <c r="C2528" s="6"/>
      <c r="D2528" s="6" t="s">
        <v>921</v>
      </c>
      <c r="E2528" s="6" t="s">
        <v>922</v>
      </c>
      <c r="F2528" s="6" t="s">
        <v>13</v>
      </c>
      <c r="G2528" s="6"/>
      <c r="H2528" s="6"/>
      <c r="I2528" s="6" t="s">
        <v>319</v>
      </c>
      <c r="J2528" s="6"/>
      <c r="K2528" s="6"/>
      <c r="L2528" s="6" t="s">
        <v>923</v>
      </c>
      <c r="M2528" s="6"/>
      <c r="N2528" s="6" t="s">
        <v>924</v>
      </c>
      <c r="O2528" s="6" t="str">
        <f>HYPERLINK("https://ceds.ed.gov/cedselementdetails.aspx?termid=6234")</f>
        <v>https://ceds.ed.gov/cedselementdetails.aspx?termid=6234</v>
      </c>
      <c r="P2528" s="6" t="str">
        <f>HYPERLINK("https://ceds.ed.gov/elementComment.aspx?elementName=Assessment Item Stimulus &amp;elementID=6234", "Click here to submit comment")</f>
        <v>Click here to submit comment</v>
      </c>
    </row>
    <row r="2529" spans="1:16" ht="45">
      <c r="A2529" s="6" t="s">
        <v>6784</v>
      </c>
      <c r="B2529" s="6" t="s">
        <v>6836</v>
      </c>
      <c r="C2529" s="6"/>
      <c r="D2529" s="6" t="s">
        <v>738</v>
      </c>
      <c r="E2529" s="6" t="s">
        <v>739</v>
      </c>
      <c r="F2529" s="6" t="s">
        <v>13</v>
      </c>
      <c r="G2529" s="6" t="s">
        <v>6018</v>
      </c>
      <c r="H2529" s="6"/>
      <c r="I2529" s="6" t="s">
        <v>740</v>
      </c>
      <c r="J2529" s="6"/>
      <c r="K2529" s="6"/>
      <c r="L2529" s="6" t="s">
        <v>741</v>
      </c>
      <c r="M2529" s="6"/>
      <c r="N2529" s="6" t="s">
        <v>742</v>
      </c>
      <c r="O2529" s="6" t="str">
        <f>HYPERLINK("https://ceds.ed.gov/cedselementdetails.aspx?termid=5383")</f>
        <v>https://ceds.ed.gov/cedselementdetails.aspx?termid=5383</v>
      </c>
      <c r="P2529" s="6" t="str">
        <f>HYPERLINK("https://ceds.ed.gov/elementComment.aspx?elementName=Assessment Item Difficulty &amp;elementID=5383", "Click here to submit comment")</f>
        <v>Click here to submit comment</v>
      </c>
    </row>
    <row r="2530" spans="1:16" ht="30">
      <c r="A2530" s="6" t="s">
        <v>6784</v>
      </c>
      <c r="B2530" s="6" t="s">
        <v>6836</v>
      </c>
      <c r="C2530" s="6"/>
      <c r="D2530" s="6" t="s">
        <v>743</v>
      </c>
      <c r="E2530" s="6" t="s">
        <v>744</v>
      </c>
      <c r="F2530" s="6" t="s">
        <v>13</v>
      </c>
      <c r="G2530" s="6" t="s">
        <v>6018</v>
      </c>
      <c r="H2530" s="6"/>
      <c r="I2530" s="6" t="s">
        <v>745</v>
      </c>
      <c r="J2530" s="6"/>
      <c r="K2530" s="6"/>
      <c r="L2530" s="6" t="s">
        <v>746</v>
      </c>
      <c r="M2530" s="6"/>
      <c r="N2530" s="6" t="s">
        <v>747</v>
      </c>
      <c r="O2530" s="6" t="str">
        <f>HYPERLINK("https://ceds.ed.gov/cedselementdetails.aspx?termid=5390")</f>
        <v>https://ceds.ed.gov/cedselementdetails.aspx?termid=5390</v>
      </c>
      <c r="P2530" s="6" t="str">
        <f>HYPERLINK("https://ceds.ed.gov/elementComment.aspx?elementName=Assessment Item Distractor Analysis &amp;elementID=5390", "Click here to submit comment")</f>
        <v>Click here to submit comment</v>
      </c>
    </row>
    <row r="2531" spans="1:16" ht="45">
      <c r="A2531" s="6" t="s">
        <v>6784</v>
      </c>
      <c r="B2531" s="6" t="s">
        <v>6836</v>
      </c>
      <c r="C2531" s="6"/>
      <c r="D2531" s="6" t="s">
        <v>917</v>
      </c>
      <c r="E2531" s="6" t="s">
        <v>918</v>
      </c>
      <c r="F2531" s="6" t="s">
        <v>13</v>
      </c>
      <c r="G2531" s="6" t="s">
        <v>6018</v>
      </c>
      <c r="H2531" s="6"/>
      <c r="I2531" s="6" t="s">
        <v>319</v>
      </c>
      <c r="J2531" s="6"/>
      <c r="K2531" s="6"/>
      <c r="L2531" s="6" t="s">
        <v>919</v>
      </c>
      <c r="M2531" s="6"/>
      <c r="N2531" s="6" t="s">
        <v>920</v>
      </c>
      <c r="O2531" s="6" t="str">
        <f>HYPERLINK("https://ceds.ed.gov/cedselementdetails.aspx?termid=5392")</f>
        <v>https://ceds.ed.gov/cedselementdetails.aspx?termid=5392</v>
      </c>
      <c r="P2531" s="6" t="str">
        <f>HYPERLINK("https://ceds.ed.gov/elementComment.aspx?elementName=Assessment Item Stem &amp;elementID=5392", "Click here to submit comment")</f>
        <v>Click here to submit comment</v>
      </c>
    </row>
    <row r="2532" spans="1:16" ht="30">
      <c r="A2532" s="6" t="s">
        <v>6784</v>
      </c>
      <c r="B2532" s="6" t="s">
        <v>6836</v>
      </c>
      <c r="C2532" s="6"/>
      <c r="D2532" s="6" t="s">
        <v>598</v>
      </c>
      <c r="E2532" s="6" t="s">
        <v>599</v>
      </c>
      <c r="F2532" s="6" t="s">
        <v>13</v>
      </c>
      <c r="G2532" s="6" t="s">
        <v>6018</v>
      </c>
      <c r="H2532" s="6"/>
      <c r="I2532" s="6" t="s">
        <v>426</v>
      </c>
      <c r="J2532" s="6"/>
      <c r="K2532" s="6"/>
      <c r="L2532" s="6" t="s">
        <v>600</v>
      </c>
      <c r="M2532" s="6"/>
      <c r="N2532" s="6" t="s">
        <v>601</v>
      </c>
      <c r="O2532" s="6" t="str">
        <f>HYPERLINK("https://ceds.ed.gov/cedselementdetails.aspx?termid=5395")</f>
        <v>https://ceds.ed.gov/cedselementdetails.aspx?termid=5395</v>
      </c>
      <c r="P2532" s="6" t="str">
        <f>HYPERLINK("https://ceds.ed.gov/elementComment.aspx?elementName=Assessment Item Allotted Time &amp;elementID=5395", "Click here to submit comment")</f>
        <v>Click here to submit comment</v>
      </c>
    </row>
    <row r="2533" spans="1:16" ht="30">
      <c r="A2533" s="6" t="s">
        <v>6784</v>
      </c>
      <c r="B2533" s="6" t="s">
        <v>6836</v>
      </c>
      <c r="C2533" s="6"/>
      <c r="D2533" s="6" t="s">
        <v>764</v>
      </c>
      <c r="E2533" s="6" t="s">
        <v>765</v>
      </c>
      <c r="F2533" s="6" t="s">
        <v>13</v>
      </c>
      <c r="G2533" s="6"/>
      <c r="H2533" s="6"/>
      <c r="I2533" s="6" t="s">
        <v>93</v>
      </c>
      <c r="J2533" s="6"/>
      <c r="K2533" s="6"/>
      <c r="L2533" s="6" t="s">
        <v>766</v>
      </c>
      <c r="M2533" s="6"/>
      <c r="N2533" s="6" t="s">
        <v>767</v>
      </c>
      <c r="O2533" s="6" t="str">
        <f>HYPERLINK("https://ceds.ed.gov/cedselementdetails.aspx?termid=5684")</f>
        <v>https://ceds.ed.gov/cedselementdetails.aspx?termid=5684</v>
      </c>
      <c r="P2533" s="6" t="str">
        <f>HYPERLINK("https://ceds.ed.gov/elementComment.aspx?elementName=Assessment Item Minimum Score &amp;elementID=5684", "Click here to submit comment")</f>
        <v>Click here to submit comment</v>
      </c>
    </row>
    <row r="2534" spans="1:16" ht="30">
      <c r="A2534" s="6" t="s">
        <v>6784</v>
      </c>
      <c r="B2534" s="6" t="s">
        <v>6836</v>
      </c>
      <c r="C2534" s="6"/>
      <c r="D2534" s="6" t="s">
        <v>760</v>
      </c>
      <c r="E2534" s="6" t="s">
        <v>761</v>
      </c>
      <c r="F2534" s="6" t="s">
        <v>13</v>
      </c>
      <c r="G2534" s="6"/>
      <c r="H2534" s="6"/>
      <c r="I2534" s="6" t="s">
        <v>93</v>
      </c>
      <c r="J2534" s="6"/>
      <c r="K2534" s="6"/>
      <c r="L2534" s="6" t="s">
        <v>762</v>
      </c>
      <c r="M2534" s="6"/>
      <c r="N2534" s="6" t="s">
        <v>763</v>
      </c>
      <c r="O2534" s="6" t="str">
        <f>HYPERLINK("https://ceds.ed.gov/cedselementdetails.aspx?termid=5683")</f>
        <v>https://ceds.ed.gov/cedselementdetails.aspx?termid=5683</v>
      </c>
      <c r="P2534" s="6" t="str">
        <f>HYPERLINK("https://ceds.ed.gov/elementComment.aspx?elementName=Assessment Item Maximum Score &amp;elementID=5683", "Click here to submit comment")</f>
        <v>Click here to submit comment</v>
      </c>
    </row>
    <row r="2535" spans="1:16" ht="75">
      <c r="A2535" s="6" t="s">
        <v>6784</v>
      </c>
      <c r="B2535" s="6" t="s">
        <v>6836</v>
      </c>
      <c r="C2535" s="6"/>
      <c r="D2535" s="6" t="s">
        <v>929</v>
      </c>
      <c r="E2535" s="6" t="s">
        <v>930</v>
      </c>
      <c r="F2535" s="6" t="s">
        <v>13</v>
      </c>
      <c r="G2535" s="6"/>
      <c r="H2535" s="6"/>
      <c r="I2535" s="6" t="s">
        <v>100</v>
      </c>
      <c r="J2535" s="6"/>
      <c r="K2535" s="6"/>
      <c r="L2535" s="6" t="s">
        <v>931</v>
      </c>
      <c r="M2535" s="6"/>
      <c r="N2535" s="6" t="s">
        <v>932</v>
      </c>
      <c r="O2535" s="6" t="str">
        <f>HYPERLINK("https://ceds.ed.gov/cedselementdetails.aspx?termid=5906")</f>
        <v>https://ceds.ed.gov/cedselementdetails.aspx?termid=5906</v>
      </c>
      <c r="P2535" s="6" t="str">
        <f>HYPERLINK("https://ceds.ed.gov/elementComment.aspx?elementName=Assessment Item Text Complexity Value &amp;elementID=5906", "Click here to submit comment")</f>
        <v>Click here to submit comment</v>
      </c>
    </row>
    <row r="2536" spans="1:16" ht="409.5">
      <c r="A2536" s="6" t="s">
        <v>6784</v>
      </c>
      <c r="B2536" s="6" t="s">
        <v>6836</v>
      </c>
      <c r="C2536" s="6"/>
      <c r="D2536" s="6" t="s">
        <v>925</v>
      </c>
      <c r="E2536" s="6" t="s">
        <v>926</v>
      </c>
      <c r="F2536" s="7" t="s">
        <v>6388</v>
      </c>
      <c r="G2536" s="6"/>
      <c r="H2536" s="6"/>
      <c r="I2536" s="6"/>
      <c r="J2536" s="6"/>
      <c r="K2536" s="6"/>
      <c r="L2536" s="6" t="s">
        <v>927</v>
      </c>
      <c r="M2536" s="6"/>
      <c r="N2536" s="6" t="s">
        <v>928</v>
      </c>
      <c r="O2536" s="6" t="str">
        <f>HYPERLINK("https://ceds.ed.gov/cedselementdetails.aspx?termid=5907")</f>
        <v>https://ceds.ed.gov/cedselementdetails.aspx?termid=5907</v>
      </c>
      <c r="P2536" s="6" t="str">
        <f>HYPERLINK("https://ceds.ed.gov/elementComment.aspx?elementName=Assessment Item Text Complexity System &amp;elementID=5907", "Click here to submit comment")</f>
        <v>Click here to submit comment</v>
      </c>
    </row>
    <row r="2537" spans="1:16" ht="150">
      <c r="A2537" s="6" t="s">
        <v>6784</v>
      </c>
      <c r="B2537" s="6" t="s">
        <v>6836</v>
      </c>
      <c r="C2537" s="6"/>
      <c r="D2537" s="6" t="s">
        <v>833</v>
      </c>
      <c r="E2537" s="6" t="s">
        <v>834</v>
      </c>
      <c r="F2537" s="6" t="s">
        <v>13</v>
      </c>
      <c r="G2537" s="6"/>
      <c r="H2537" s="6"/>
      <c r="I2537" s="6" t="s">
        <v>93</v>
      </c>
      <c r="J2537" s="6"/>
      <c r="K2537" s="6" t="s">
        <v>835</v>
      </c>
      <c r="L2537" s="6" t="s">
        <v>836</v>
      </c>
      <c r="M2537" s="6"/>
      <c r="N2537" s="6" t="s">
        <v>837</v>
      </c>
      <c r="O2537" s="6" t="str">
        <f>HYPERLINK("https://ceds.ed.gov/cedselementdetails.aspx?termid=5970")</f>
        <v>https://ceds.ed.gov/cedselementdetails.aspx?termid=5970</v>
      </c>
      <c r="P2537" s="6" t="str">
        <f>HYPERLINK("https://ceds.ed.gov/elementComment.aspx?elementName=Assessment Item Response Security Issue &amp;elementID=5970", "Click here to submit comment")</f>
        <v>Click here to submit comment</v>
      </c>
    </row>
    <row r="2538" spans="1:16" ht="60">
      <c r="A2538" s="6" t="s">
        <v>6784</v>
      </c>
      <c r="B2538" s="6" t="s">
        <v>6836</v>
      </c>
      <c r="C2538" s="6"/>
      <c r="D2538" s="6" t="s">
        <v>634</v>
      </c>
      <c r="E2538" s="6" t="s">
        <v>635</v>
      </c>
      <c r="F2538" s="6" t="s">
        <v>13</v>
      </c>
      <c r="G2538" s="6"/>
      <c r="H2538" s="6"/>
      <c r="I2538" s="6" t="s">
        <v>100</v>
      </c>
      <c r="J2538" s="6"/>
      <c r="K2538" s="6"/>
      <c r="L2538" s="6" t="s">
        <v>636</v>
      </c>
      <c r="M2538" s="6"/>
      <c r="N2538" s="6" t="s">
        <v>637</v>
      </c>
      <c r="O2538" s="6" t="str">
        <f>HYPERLINK("https://ceds.ed.gov/cedselementdetails.aspx?termid=6132")</f>
        <v>https://ceds.ed.gov/cedselementdetails.aspx?termid=6132</v>
      </c>
      <c r="P2538" s="6" t="str">
        <f>HYPERLINK("https://ceds.ed.gov/elementComment.aspx?elementName=Assessment Item Bank Identifier &amp;elementID=6132", "Click here to submit comment")</f>
        <v>Click here to submit comment</v>
      </c>
    </row>
    <row r="2539" spans="1:16" ht="45">
      <c r="A2539" s="6" t="s">
        <v>6784</v>
      </c>
      <c r="B2539" s="6" t="s">
        <v>6836</v>
      </c>
      <c r="C2539" s="6"/>
      <c r="D2539" s="6" t="s">
        <v>638</v>
      </c>
      <c r="E2539" s="6" t="s">
        <v>639</v>
      </c>
      <c r="F2539" s="6" t="s">
        <v>13</v>
      </c>
      <c r="G2539" s="6"/>
      <c r="H2539" s="6"/>
      <c r="I2539" s="6" t="s">
        <v>106</v>
      </c>
      <c r="J2539" s="6"/>
      <c r="K2539" s="6"/>
      <c r="L2539" s="6" t="s">
        <v>640</v>
      </c>
      <c r="M2539" s="6"/>
      <c r="N2539" s="6" t="s">
        <v>641</v>
      </c>
      <c r="O2539" s="6" t="str">
        <f>HYPERLINK("https://ceds.ed.gov/cedselementdetails.aspx?termid=6133")</f>
        <v>https://ceds.ed.gov/cedselementdetails.aspx?termid=6133</v>
      </c>
      <c r="P2539" s="6" t="str">
        <f>HYPERLINK("https://ceds.ed.gov/elementComment.aspx?elementName=Assessment Item Bank Name &amp;elementID=6133", "Click here to submit comment")</f>
        <v>Click here to submit comment</v>
      </c>
    </row>
    <row r="2540" spans="1:16" ht="150">
      <c r="A2540" s="6" t="s">
        <v>6784</v>
      </c>
      <c r="B2540" s="6" t="s">
        <v>6836</v>
      </c>
      <c r="C2540" s="6"/>
      <c r="D2540" s="6" t="s">
        <v>4181</v>
      </c>
      <c r="E2540" s="6" t="s">
        <v>4182</v>
      </c>
      <c r="F2540" s="7" t="s">
        <v>6588</v>
      </c>
      <c r="G2540" s="6"/>
      <c r="H2540" s="6"/>
      <c r="I2540" s="6"/>
      <c r="J2540" s="6"/>
      <c r="K2540" s="6"/>
      <c r="L2540" s="6" t="s">
        <v>4183</v>
      </c>
      <c r="M2540" s="6"/>
      <c r="N2540" s="6" t="s">
        <v>4184</v>
      </c>
      <c r="O2540" s="6" t="str">
        <f>HYPERLINK("https://ceds.ed.gov/cedselementdetails.aspx?termid=6166")</f>
        <v>https://ceds.ed.gov/cedselementdetails.aspx?termid=6166</v>
      </c>
      <c r="P2540" s="6" t="str">
        <f>HYPERLINK("https://ceds.ed.gov/elementComment.aspx?elementName=NAEP Aspects of Reading &amp;elementID=6166", "Click here to submit comment")</f>
        <v>Click here to submit comment</v>
      </c>
    </row>
    <row r="2541" spans="1:16" ht="105">
      <c r="A2541" s="6" t="s">
        <v>6784</v>
      </c>
      <c r="B2541" s="6" t="s">
        <v>6836</v>
      </c>
      <c r="C2541" s="6"/>
      <c r="D2541" s="6" t="s">
        <v>4185</v>
      </c>
      <c r="E2541" s="6" t="s">
        <v>4186</v>
      </c>
      <c r="F2541" s="7" t="s">
        <v>6589</v>
      </c>
      <c r="G2541" s="6"/>
      <c r="H2541" s="6"/>
      <c r="I2541" s="6"/>
      <c r="J2541" s="6"/>
      <c r="K2541" s="6"/>
      <c r="L2541" s="6" t="s">
        <v>4187</v>
      </c>
      <c r="M2541" s="6"/>
      <c r="N2541" s="6" t="s">
        <v>4188</v>
      </c>
      <c r="O2541" s="6" t="str">
        <f>HYPERLINK("https://ceds.ed.gov/cedselementdetails.aspx?termid=6072")</f>
        <v>https://ceds.ed.gov/cedselementdetails.aspx?termid=6072</v>
      </c>
      <c r="P2541" s="6" t="str">
        <f>HYPERLINK("https://ceds.ed.gov/elementComment.aspx?elementName=NAEP Mathematical Complexity Level &amp;elementID=6072", "Click here to submit comment")</f>
        <v>Click here to submit comment</v>
      </c>
    </row>
    <row r="2542" spans="1:16" ht="45">
      <c r="A2542" s="6" t="s">
        <v>6784</v>
      </c>
      <c r="B2542" s="6" t="s">
        <v>6836</v>
      </c>
      <c r="C2542" s="6"/>
      <c r="D2542" s="6" t="s">
        <v>789</v>
      </c>
      <c r="E2542" s="6" t="s">
        <v>790</v>
      </c>
      <c r="F2542" s="6" t="s">
        <v>5963</v>
      </c>
      <c r="G2542" s="6"/>
      <c r="H2542" s="6"/>
      <c r="I2542" s="6"/>
      <c r="J2542" s="6"/>
      <c r="K2542" s="6"/>
      <c r="L2542" s="6" t="s">
        <v>791</v>
      </c>
      <c r="M2542" s="6"/>
      <c r="N2542" s="6" t="s">
        <v>792</v>
      </c>
      <c r="O2542" s="6" t="str">
        <f>HYPERLINK("https://ceds.ed.gov/cedselementdetails.aspx?termid=6229")</f>
        <v>https://ceds.ed.gov/cedselementdetails.aspx?termid=6229</v>
      </c>
      <c r="P2542" s="6" t="str">
        <f>HYPERLINK("https://ceds.ed.gov/elementComment.aspx?elementName=Assessment Item Release Status &amp;elementID=6229", "Click here to submit comment")</f>
        <v>Click here to submit comment</v>
      </c>
    </row>
    <row r="2543" spans="1:16" ht="60">
      <c r="A2543" s="6" t="s">
        <v>6784</v>
      </c>
      <c r="B2543" s="6" t="s">
        <v>6836</v>
      </c>
      <c r="C2543" s="6"/>
      <c r="D2543" s="6" t="s">
        <v>756</v>
      </c>
      <c r="E2543" s="6" t="s">
        <v>757</v>
      </c>
      <c r="F2543" s="6" t="s">
        <v>5963</v>
      </c>
      <c r="G2543" s="6"/>
      <c r="H2543" s="6"/>
      <c r="I2543" s="6"/>
      <c r="J2543" s="6"/>
      <c r="K2543" s="6"/>
      <c r="L2543" s="6" t="s">
        <v>758</v>
      </c>
      <c r="M2543" s="6"/>
      <c r="N2543" s="6" t="s">
        <v>759</v>
      </c>
      <c r="O2543" s="6" t="str">
        <f>HYPERLINK("https://ceds.ed.gov/cedselementdetails.aspx?termid=6227")</f>
        <v>https://ceds.ed.gov/cedselementdetails.aspx?termid=6227</v>
      </c>
      <c r="P2543" s="6" t="str">
        <f>HYPERLINK("https://ceds.ed.gov/elementComment.aspx?elementName=Assessment Item Linking Item Indicator &amp;elementID=6227", "Click here to submit comment")</f>
        <v>Click here to submit comment</v>
      </c>
    </row>
    <row r="2544" spans="1:16" ht="45">
      <c r="A2544" s="6" t="s">
        <v>6784</v>
      </c>
      <c r="B2544" s="6" t="s">
        <v>6836</v>
      </c>
      <c r="C2544" s="6" t="s">
        <v>6900</v>
      </c>
      <c r="D2544" s="6" t="s">
        <v>781</v>
      </c>
      <c r="E2544" s="6" t="s">
        <v>782</v>
      </c>
      <c r="F2544" s="6" t="s">
        <v>13</v>
      </c>
      <c r="G2544" s="6"/>
      <c r="H2544" s="6"/>
      <c r="I2544" s="6" t="s">
        <v>308</v>
      </c>
      <c r="J2544" s="6"/>
      <c r="K2544" s="6"/>
      <c r="L2544" s="6" t="s">
        <v>783</v>
      </c>
      <c r="M2544" s="6"/>
      <c r="N2544" s="6" t="s">
        <v>784</v>
      </c>
      <c r="O2544" s="6" t="str">
        <f>HYPERLINK("https://ceds.ed.gov/cedselementdetails.aspx?termid=5905")</f>
        <v>https://ceds.ed.gov/cedselementdetails.aspx?termid=5905</v>
      </c>
      <c r="P2544" s="6" t="str">
        <f>HYPERLINK("https://ceds.ed.gov/elementComment.aspx?elementName=Assessment Item Possible Response Sequence Number &amp;elementID=5905", "Click here to submit comment")</f>
        <v>Click here to submit comment</v>
      </c>
    </row>
    <row r="2545" spans="1:16" ht="60">
      <c r="A2545" s="6" t="s">
        <v>6784</v>
      </c>
      <c r="B2545" s="6" t="s">
        <v>6836</v>
      </c>
      <c r="C2545" s="6" t="s">
        <v>6900</v>
      </c>
      <c r="D2545" s="6" t="s">
        <v>785</v>
      </c>
      <c r="E2545" s="6" t="s">
        <v>786</v>
      </c>
      <c r="F2545" s="6" t="s">
        <v>13</v>
      </c>
      <c r="G2545" s="6"/>
      <c r="H2545" s="6"/>
      <c r="I2545" s="6" t="s">
        <v>93</v>
      </c>
      <c r="J2545" s="6"/>
      <c r="K2545" s="6"/>
      <c r="L2545" s="6" t="s">
        <v>787</v>
      </c>
      <c r="M2545" s="6"/>
      <c r="N2545" s="6" t="s">
        <v>788</v>
      </c>
      <c r="O2545" s="6" t="str">
        <f>HYPERLINK("https://ceds.ed.gov/cedselementdetails.aspx?termid=5908")</f>
        <v>https://ceds.ed.gov/cedselementdetails.aspx?termid=5908</v>
      </c>
      <c r="P2545" s="6" t="str">
        <f>HYPERLINK("https://ceds.ed.gov/elementComment.aspx?elementName=Assessment Item Possible Response Value &amp;elementID=5908", "Click here to submit comment")</f>
        <v>Click here to submit comment</v>
      </c>
    </row>
    <row r="2546" spans="1:16" ht="60">
      <c r="A2546" s="6" t="s">
        <v>6784</v>
      </c>
      <c r="B2546" s="6" t="s">
        <v>6836</v>
      </c>
      <c r="C2546" s="6" t="s">
        <v>6900</v>
      </c>
      <c r="D2546" s="6" t="s">
        <v>777</v>
      </c>
      <c r="E2546" s="6" t="s">
        <v>778</v>
      </c>
      <c r="F2546" s="6" t="s">
        <v>13</v>
      </c>
      <c r="G2546" s="6"/>
      <c r="H2546" s="6"/>
      <c r="I2546" s="6" t="s">
        <v>319</v>
      </c>
      <c r="J2546" s="6"/>
      <c r="K2546" s="6"/>
      <c r="L2546" s="6" t="s">
        <v>779</v>
      </c>
      <c r="M2546" s="6"/>
      <c r="N2546" s="6" t="s">
        <v>780</v>
      </c>
      <c r="O2546" s="6" t="str">
        <f>HYPERLINK("https://ceds.ed.gov/cedselementdetails.aspx?termid=6235")</f>
        <v>https://ceds.ed.gov/cedselementdetails.aspx?termid=6235</v>
      </c>
      <c r="P2546" s="6" t="str">
        <f>HYPERLINK("https://ceds.ed.gov/elementComment.aspx?elementName=Assessment Item Possible Response Option &amp;elementID=6235", "Click here to submit comment")</f>
        <v>Click here to submit comment</v>
      </c>
    </row>
    <row r="2547" spans="1:16" ht="45">
      <c r="A2547" s="6" t="s">
        <v>6784</v>
      </c>
      <c r="B2547" s="6" t="s">
        <v>6836</v>
      </c>
      <c r="C2547" s="6" t="s">
        <v>6900</v>
      </c>
      <c r="D2547" s="6" t="s">
        <v>768</v>
      </c>
      <c r="E2547" s="6" t="s">
        <v>769</v>
      </c>
      <c r="F2547" s="6" t="s">
        <v>5963</v>
      </c>
      <c r="G2547" s="6"/>
      <c r="H2547" s="6"/>
      <c r="I2547" s="6"/>
      <c r="J2547" s="6"/>
      <c r="K2547" s="6"/>
      <c r="L2547" s="6" t="s">
        <v>770</v>
      </c>
      <c r="M2547" s="6"/>
      <c r="N2547" s="6" t="s">
        <v>771</v>
      </c>
      <c r="O2547" s="6" t="str">
        <f>HYPERLINK("https://ceds.ed.gov/cedselementdetails.aspx?termid=6183")</f>
        <v>https://ceds.ed.gov/cedselementdetails.aspx?termid=6183</v>
      </c>
      <c r="P2547" s="6" t="str">
        <f>HYPERLINK("https://ceds.ed.gov/elementComment.aspx?elementName=Assessment Item Possible Response Correct Indicator &amp;elementID=6183", "Click here to submit comment")</f>
        <v>Click here to submit comment</v>
      </c>
    </row>
    <row r="2548" spans="1:16" ht="120">
      <c r="A2548" s="6" t="s">
        <v>6784</v>
      </c>
      <c r="B2548" s="6" t="s">
        <v>6836</v>
      </c>
      <c r="C2548" s="6" t="s">
        <v>6900</v>
      </c>
      <c r="D2548" s="6" t="s">
        <v>772</v>
      </c>
      <c r="E2548" s="6" t="s">
        <v>773</v>
      </c>
      <c r="F2548" s="6" t="s">
        <v>13</v>
      </c>
      <c r="G2548" s="6" t="s">
        <v>493</v>
      </c>
      <c r="H2548" s="6"/>
      <c r="I2548" s="6" t="s">
        <v>93</v>
      </c>
      <c r="J2548" s="6"/>
      <c r="K2548" s="6" t="s">
        <v>774</v>
      </c>
      <c r="L2548" s="6" t="s">
        <v>775</v>
      </c>
      <c r="M2548" s="6"/>
      <c r="N2548" s="6" t="s">
        <v>776</v>
      </c>
      <c r="O2548" s="6" t="str">
        <f>HYPERLINK("https://ceds.ed.gov/cedselementdetails.aspx?termid=5904")</f>
        <v>https://ceds.ed.gov/cedselementdetails.aspx?termid=5904</v>
      </c>
      <c r="P2548" s="6" t="str">
        <f>HYPERLINK("https://ceds.ed.gov/elementComment.aspx?elementName=Assessment Item Possible Response Feedback Message &amp;elementID=5904", "Click here to submit comment")</f>
        <v>Click here to submit comment</v>
      </c>
    </row>
    <row r="2549" spans="1:16" ht="30">
      <c r="A2549" s="6" t="s">
        <v>6784</v>
      </c>
      <c r="B2549" s="6" t="s">
        <v>6836</v>
      </c>
      <c r="C2549" s="6" t="s">
        <v>6901</v>
      </c>
      <c r="D2549" s="6" t="s">
        <v>908</v>
      </c>
      <c r="E2549" s="6" t="s">
        <v>909</v>
      </c>
      <c r="F2549" s="6" t="s">
        <v>13</v>
      </c>
      <c r="G2549" s="6" t="s">
        <v>493</v>
      </c>
      <c r="H2549" s="6"/>
      <c r="I2549" s="6" t="s">
        <v>93</v>
      </c>
      <c r="J2549" s="6"/>
      <c r="K2549" s="6"/>
      <c r="L2549" s="6" t="s">
        <v>910</v>
      </c>
      <c r="M2549" s="6"/>
      <c r="N2549" s="6" t="s">
        <v>911</v>
      </c>
      <c r="O2549" s="6" t="str">
        <f>HYPERLINK("https://ceds.ed.gov/cedselementdetails.aspx?termid=6069")</f>
        <v>https://ceds.ed.gov/cedselementdetails.aspx?termid=6069</v>
      </c>
      <c r="P2549" s="6" t="str">
        <f>HYPERLINK("https://ceds.ed.gov/elementComment.aspx?elementName=Assessment Item Response Value &amp;elementID=6069", "Click here to submit comment")</f>
        <v>Click here to submit comment</v>
      </c>
    </row>
    <row r="2550" spans="1:16" ht="45">
      <c r="A2550" s="6" t="s">
        <v>6784</v>
      </c>
      <c r="B2550" s="6" t="s">
        <v>6836</v>
      </c>
      <c r="C2550" s="6" t="s">
        <v>6901</v>
      </c>
      <c r="D2550" s="6" t="s">
        <v>838</v>
      </c>
      <c r="E2550" s="6" t="s">
        <v>839</v>
      </c>
      <c r="F2550" s="6" t="s">
        <v>13</v>
      </c>
      <c r="G2550" s="6"/>
      <c r="H2550" s="6"/>
      <c r="I2550" s="6" t="s">
        <v>73</v>
      </c>
      <c r="J2550" s="6"/>
      <c r="K2550" s="6"/>
      <c r="L2550" s="6" t="s">
        <v>840</v>
      </c>
      <c r="M2550" s="6"/>
      <c r="N2550" s="6" t="s">
        <v>841</v>
      </c>
      <c r="O2550" s="6" t="str">
        <f>HYPERLINK("https://ceds.ed.gov/cedselementdetails.aspx?termid=5960")</f>
        <v>https://ceds.ed.gov/cedselementdetails.aspx?termid=5960</v>
      </c>
      <c r="P2550" s="6" t="str">
        <f>HYPERLINK("https://ceds.ed.gov/elementComment.aspx?elementName=Assessment Item Response Start Date &amp;elementID=5960", "Click here to submit comment")</f>
        <v>Click here to submit comment</v>
      </c>
    </row>
    <row r="2551" spans="1:16" ht="45">
      <c r="A2551" s="6" t="s">
        <v>6784</v>
      </c>
      <c r="B2551" s="6" t="s">
        <v>6836</v>
      </c>
      <c r="C2551" s="6" t="s">
        <v>6901</v>
      </c>
      <c r="D2551" s="6" t="s">
        <v>842</v>
      </c>
      <c r="E2551" s="6" t="s">
        <v>843</v>
      </c>
      <c r="F2551" s="6" t="s">
        <v>13</v>
      </c>
      <c r="G2551" s="6"/>
      <c r="H2551" s="6"/>
      <c r="I2551" s="6" t="s">
        <v>808</v>
      </c>
      <c r="J2551" s="6"/>
      <c r="K2551" s="6"/>
      <c r="L2551" s="6" t="s">
        <v>844</v>
      </c>
      <c r="M2551" s="6"/>
      <c r="N2551" s="6" t="s">
        <v>845</v>
      </c>
      <c r="O2551" s="6" t="str">
        <f>HYPERLINK("https://ceds.ed.gov/cedselementdetails.aspx?termid=5959")</f>
        <v>https://ceds.ed.gov/cedselementdetails.aspx?termid=5959</v>
      </c>
      <c r="P2551" s="6" t="str">
        <f>HYPERLINK("https://ceds.ed.gov/elementComment.aspx?elementName=Assessment Item Response Start Time &amp;elementID=5959", "Click here to submit comment")</f>
        <v>Click here to submit comment</v>
      </c>
    </row>
    <row r="2552" spans="1:16" ht="60">
      <c r="A2552" s="6" t="s">
        <v>6784</v>
      </c>
      <c r="B2552" s="6" t="s">
        <v>6836</v>
      </c>
      <c r="C2552" s="6" t="s">
        <v>6901</v>
      </c>
      <c r="D2552" s="6" t="s">
        <v>806</v>
      </c>
      <c r="E2552" s="6" t="s">
        <v>807</v>
      </c>
      <c r="F2552" s="6" t="s">
        <v>13</v>
      </c>
      <c r="G2552" s="6" t="s">
        <v>6018</v>
      </c>
      <c r="H2552" s="6"/>
      <c r="I2552" s="6" t="s">
        <v>808</v>
      </c>
      <c r="J2552" s="6"/>
      <c r="K2552" s="6"/>
      <c r="L2552" s="6" t="s">
        <v>809</v>
      </c>
      <c r="M2552" s="6"/>
      <c r="N2552" s="6" t="s">
        <v>810</v>
      </c>
      <c r="O2552" s="6" t="str">
        <f>HYPERLINK("https://ceds.ed.gov/cedselementdetails.aspx?termid=5394")</f>
        <v>https://ceds.ed.gov/cedselementdetails.aspx?termid=5394</v>
      </c>
      <c r="P2552" s="6" t="str">
        <f>HYPERLINK("https://ceds.ed.gov/elementComment.aspx?elementName=Assessment Item Response Duration &amp;elementID=5394", "Click here to submit comment")</f>
        <v>Click here to submit comment</v>
      </c>
    </row>
    <row r="2553" spans="1:16" ht="210">
      <c r="A2553" s="6" t="s">
        <v>6784</v>
      </c>
      <c r="B2553" s="6" t="s">
        <v>6836</v>
      </c>
      <c r="C2553" s="6" t="s">
        <v>6901</v>
      </c>
      <c r="D2553" s="6" t="s">
        <v>846</v>
      </c>
      <c r="E2553" s="6" t="s">
        <v>847</v>
      </c>
      <c r="F2553" s="7" t="s">
        <v>6385</v>
      </c>
      <c r="G2553" s="6" t="s">
        <v>6018</v>
      </c>
      <c r="H2553" s="6" t="s">
        <v>66</v>
      </c>
      <c r="I2553" s="6"/>
      <c r="J2553" s="6" t="s">
        <v>848</v>
      </c>
      <c r="K2553" s="6"/>
      <c r="L2553" s="6" t="s">
        <v>849</v>
      </c>
      <c r="M2553" s="6"/>
      <c r="N2553" s="6" t="s">
        <v>850</v>
      </c>
      <c r="O2553" s="6" t="str">
        <f>HYPERLINK("https://ceds.ed.gov/cedselementdetails.aspx?termid=5396")</f>
        <v>https://ceds.ed.gov/cedselementdetails.aspx?termid=5396</v>
      </c>
      <c r="P2553" s="6" t="str">
        <f>HYPERLINK("https://ceds.ed.gov/elementComment.aspx?elementName=Assessment Item Response Status &amp;elementID=5396", "Click here to submit comment")</f>
        <v>Click here to submit comment</v>
      </c>
    </row>
    <row r="2554" spans="1:16" ht="60">
      <c r="A2554" s="6" t="s">
        <v>6784</v>
      </c>
      <c r="B2554" s="6" t="s">
        <v>6836</v>
      </c>
      <c r="C2554" s="6" t="s">
        <v>6901</v>
      </c>
      <c r="D2554" s="6" t="s">
        <v>793</v>
      </c>
      <c r="E2554" s="6" t="s">
        <v>794</v>
      </c>
      <c r="F2554" s="6" t="s">
        <v>13</v>
      </c>
      <c r="G2554" s="6" t="s">
        <v>6018</v>
      </c>
      <c r="H2554" s="6"/>
      <c r="I2554" s="6" t="s">
        <v>100</v>
      </c>
      <c r="J2554" s="6"/>
      <c r="K2554" s="6" t="s">
        <v>795</v>
      </c>
      <c r="L2554" s="6" t="s">
        <v>796</v>
      </c>
      <c r="M2554" s="6"/>
      <c r="N2554" s="6" t="s">
        <v>797</v>
      </c>
      <c r="O2554" s="6" t="str">
        <f>HYPERLINK("https://ceds.ed.gov/cedselementdetails.aspx?termid=5397")</f>
        <v>https://ceds.ed.gov/cedselementdetails.aspx?termid=5397</v>
      </c>
      <c r="P2554" s="6" t="str">
        <f>HYPERLINK("https://ceds.ed.gov/elementComment.aspx?elementName=Assessment Item Response Aid Set Used &amp;elementID=5397", "Click here to submit comment")</f>
        <v>Click here to submit comment</v>
      </c>
    </row>
    <row r="2555" spans="1:16" ht="45">
      <c r="A2555" s="6" t="s">
        <v>6784</v>
      </c>
      <c r="B2555" s="6" t="s">
        <v>6836</v>
      </c>
      <c r="C2555" s="6" t="s">
        <v>6901</v>
      </c>
      <c r="D2555" s="6" t="s">
        <v>829</v>
      </c>
      <c r="E2555" s="6" t="s">
        <v>830</v>
      </c>
      <c r="F2555" s="6" t="s">
        <v>13</v>
      </c>
      <c r="G2555" s="6" t="s">
        <v>493</v>
      </c>
      <c r="H2555" s="6"/>
      <c r="I2555" s="6" t="s">
        <v>106</v>
      </c>
      <c r="J2555" s="6"/>
      <c r="K2555" s="6"/>
      <c r="L2555" s="6" t="s">
        <v>831</v>
      </c>
      <c r="M2555" s="6"/>
      <c r="N2555" s="6" t="s">
        <v>832</v>
      </c>
      <c r="O2555" s="6" t="str">
        <f>HYPERLINK("https://ceds.ed.gov/cedselementdetails.aspx?termid=5700")</f>
        <v>https://ceds.ed.gov/cedselementdetails.aspx?termid=5700</v>
      </c>
      <c r="P2555" s="6" t="str">
        <f>HYPERLINK("https://ceds.ed.gov/elementComment.aspx?elementName=Assessment Item Response Score Value &amp;elementID=5700", "Click here to submit comment")</f>
        <v>Click here to submit comment</v>
      </c>
    </row>
    <row r="2556" spans="1:16" ht="45">
      <c r="A2556" s="6" t="s">
        <v>6784</v>
      </c>
      <c r="B2556" s="6" t="s">
        <v>6836</v>
      </c>
      <c r="C2556" s="6" t="s">
        <v>6901</v>
      </c>
      <c r="D2556" s="6" t="s">
        <v>798</v>
      </c>
      <c r="E2556" s="6" t="s">
        <v>799</v>
      </c>
      <c r="F2556" s="6" t="s">
        <v>13</v>
      </c>
      <c r="G2556" s="6" t="s">
        <v>6018</v>
      </c>
      <c r="H2556" s="6"/>
      <c r="I2556" s="6" t="s">
        <v>745</v>
      </c>
      <c r="J2556" s="6"/>
      <c r="K2556" s="6"/>
      <c r="L2556" s="6" t="s">
        <v>800</v>
      </c>
      <c r="M2556" s="6"/>
      <c r="N2556" s="6" t="s">
        <v>801</v>
      </c>
      <c r="O2556" s="6" t="str">
        <f>HYPERLINK("https://ceds.ed.gov/cedselementdetails.aspx?termid=5385")</f>
        <v>https://ceds.ed.gov/cedselementdetails.aspx?termid=5385</v>
      </c>
      <c r="P2556" s="6" t="str">
        <f>HYPERLINK("https://ceds.ed.gov/elementComment.aspx?elementName=Assessment Item Response Choice Pattern &amp;elementID=5385", "Click here to submit comment")</f>
        <v>Click here to submit comment</v>
      </c>
    </row>
    <row r="2557" spans="1:16" ht="60">
      <c r="A2557" s="6" t="s">
        <v>6784</v>
      </c>
      <c r="B2557" s="6" t="s">
        <v>6836</v>
      </c>
      <c r="C2557" s="6" t="s">
        <v>6901</v>
      </c>
      <c r="D2557" s="6" t="s">
        <v>802</v>
      </c>
      <c r="E2557" s="6" t="s">
        <v>803</v>
      </c>
      <c r="F2557" s="6" t="s">
        <v>13</v>
      </c>
      <c r="G2557" s="6" t="s">
        <v>493</v>
      </c>
      <c r="H2557" s="6"/>
      <c r="I2557" s="6" t="s">
        <v>93</v>
      </c>
      <c r="J2557" s="6"/>
      <c r="K2557" s="6"/>
      <c r="L2557" s="6" t="s">
        <v>804</v>
      </c>
      <c r="M2557" s="6"/>
      <c r="N2557" s="6" t="s">
        <v>805</v>
      </c>
      <c r="O2557" s="6" t="str">
        <f>HYPERLINK("https://ceds.ed.gov/cedselementdetails.aspx?termid=5891")</f>
        <v>https://ceds.ed.gov/cedselementdetails.aspx?termid=5891</v>
      </c>
      <c r="P2557" s="6" t="str">
        <f>HYPERLINK("https://ceds.ed.gov/elementComment.aspx?elementName=Assessment Item Response Descriptive Feedback &amp;elementID=5891", "Click here to submit comment")</f>
        <v>Click here to submit comment</v>
      </c>
    </row>
    <row r="2558" spans="1:16" ht="135">
      <c r="A2558" s="6" t="s">
        <v>6784</v>
      </c>
      <c r="B2558" s="6" t="s">
        <v>6836</v>
      </c>
      <c r="C2558" s="6" t="s">
        <v>6901</v>
      </c>
      <c r="D2558" s="6" t="s">
        <v>825</v>
      </c>
      <c r="E2558" s="6" t="s">
        <v>826</v>
      </c>
      <c r="F2558" s="6" t="s">
        <v>5963</v>
      </c>
      <c r="G2558" s="6"/>
      <c r="H2558" s="6"/>
      <c r="I2558" s="6"/>
      <c r="J2558" s="6"/>
      <c r="K2558" s="6"/>
      <c r="L2558" s="6" t="s">
        <v>827</v>
      </c>
      <c r="M2558" s="6"/>
      <c r="N2558" s="6" t="s">
        <v>828</v>
      </c>
      <c r="O2558" s="6" t="str">
        <f>HYPERLINK("https://ceds.ed.gov/cedselementdetails.aspx?termid=5955")</f>
        <v>https://ceds.ed.gov/cedselementdetails.aspx?termid=5955</v>
      </c>
      <c r="P2558" s="6" t="str">
        <f>HYPERLINK("https://ceds.ed.gov/elementComment.aspx?elementName=Assessment Item Response Scaffolding Item Flag &amp;elementID=5955", "Click here to submit comment")</f>
        <v>Click here to submit comment</v>
      </c>
    </row>
    <row r="2559" spans="1:16" ht="135">
      <c r="A2559" s="6" t="s">
        <v>6784</v>
      </c>
      <c r="B2559" s="6" t="s">
        <v>6836</v>
      </c>
      <c r="C2559" s="6" t="s">
        <v>6901</v>
      </c>
      <c r="D2559" s="6" t="s">
        <v>816</v>
      </c>
      <c r="E2559" s="6" t="s">
        <v>817</v>
      </c>
      <c r="F2559" s="6" t="s">
        <v>13</v>
      </c>
      <c r="G2559" s="6"/>
      <c r="H2559" s="6"/>
      <c r="I2559" s="6" t="s">
        <v>308</v>
      </c>
      <c r="J2559" s="6"/>
      <c r="K2559" s="6"/>
      <c r="L2559" s="6" t="s">
        <v>818</v>
      </c>
      <c r="M2559" s="6"/>
      <c r="N2559" s="6" t="s">
        <v>819</v>
      </c>
      <c r="O2559" s="6" t="str">
        <f>HYPERLINK("https://ceds.ed.gov/cedselementdetails.aspx?termid=5956")</f>
        <v>https://ceds.ed.gov/cedselementdetails.aspx?termid=5956</v>
      </c>
      <c r="P2559" s="6" t="str">
        <f>HYPERLINK("https://ceds.ed.gov/elementComment.aspx?elementName=Assessment Item Response Hint Count &amp;elementID=5956", "Click here to submit comment")</f>
        <v>Click here to submit comment</v>
      </c>
    </row>
    <row r="2560" spans="1:16" ht="135">
      <c r="A2560" s="6" t="s">
        <v>6784</v>
      </c>
      <c r="B2560" s="6" t="s">
        <v>6836</v>
      </c>
      <c r="C2560" s="6" t="s">
        <v>6901</v>
      </c>
      <c r="D2560" s="6" t="s">
        <v>820</v>
      </c>
      <c r="E2560" s="6" t="s">
        <v>821</v>
      </c>
      <c r="F2560" s="6" t="s">
        <v>5963</v>
      </c>
      <c r="G2560" s="6"/>
      <c r="H2560" s="6"/>
      <c r="I2560" s="6"/>
      <c r="J2560" s="6"/>
      <c r="K2560" s="6" t="s">
        <v>822</v>
      </c>
      <c r="L2560" s="6" t="s">
        <v>823</v>
      </c>
      <c r="M2560" s="6"/>
      <c r="N2560" s="6" t="s">
        <v>824</v>
      </c>
      <c r="O2560" s="6" t="str">
        <f>HYPERLINK("https://ceds.ed.gov/cedselementdetails.aspx?termid=5957")</f>
        <v>https://ceds.ed.gov/cedselementdetails.aspx?termid=5957</v>
      </c>
      <c r="P2560" s="6" t="str">
        <f>HYPERLINK("https://ceds.ed.gov/elementComment.aspx?elementName=Assessment Item Response Hint Included Answer &amp;elementID=5957", "Click here to submit comment")</f>
        <v>Click here to submit comment</v>
      </c>
    </row>
    <row r="2561" spans="1:16" ht="105">
      <c r="A2561" s="6" t="s">
        <v>6784</v>
      </c>
      <c r="B2561" s="6" t="s">
        <v>6836</v>
      </c>
      <c r="C2561" s="6" t="s">
        <v>6901</v>
      </c>
      <c r="D2561" s="6" t="s">
        <v>811</v>
      </c>
      <c r="E2561" s="6" t="s">
        <v>812</v>
      </c>
      <c r="F2561" s="6" t="s">
        <v>13</v>
      </c>
      <c r="G2561" s="6"/>
      <c r="H2561" s="6"/>
      <c r="I2561" s="6" t="s">
        <v>808</v>
      </c>
      <c r="J2561" s="6"/>
      <c r="K2561" s="6" t="s">
        <v>813</v>
      </c>
      <c r="L2561" s="6" t="s">
        <v>814</v>
      </c>
      <c r="M2561" s="6"/>
      <c r="N2561" s="6" t="s">
        <v>815</v>
      </c>
      <c r="O2561" s="6" t="str">
        <f>HYPERLINK("https://ceds.ed.gov/cedselementdetails.aspx?termid=5958")</f>
        <v>https://ceds.ed.gov/cedselementdetails.aspx?termid=5958</v>
      </c>
      <c r="P2561" s="6" t="str">
        <f>HYPERLINK("https://ceds.ed.gov/elementComment.aspx?elementName=Assessment Item Response First Attempt Duration &amp;elementID=5958", "Click here to submit comment")</f>
        <v>Click here to submit comment</v>
      </c>
    </row>
    <row r="2562" spans="1:16" ht="60">
      <c r="A2562" s="6" t="s">
        <v>6784</v>
      </c>
      <c r="B2562" s="6" t="s">
        <v>6836</v>
      </c>
      <c r="C2562" s="6" t="s">
        <v>6901</v>
      </c>
      <c r="D2562" s="6" t="s">
        <v>4767</v>
      </c>
      <c r="E2562" s="6" t="s">
        <v>4768</v>
      </c>
      <c r="F2562" s="7" t="s">
        <v>6621</v>
      </c>
      <c r="G2562" s="6" t="s">
        <v>218</v>
      </c>
      <c r="H2562" s="6"/>
      <c r="I2562" s="6"/>
      <c r="J2562" s="6"/>
      <c r="K2562" s="6"/>
      <c r="L2562" s="6" t="s">
        <v>4769</v>
      </c>
      <c r="M2562" s="6"/>
      <c r="N2562" s="6" t="s">
        <v>4770</v>
      </c>
      <c r="O2562" s="6" t="str">
        <f>HYPERLINK("https://ceds.ed.gov/cedselementdetails.aspx?termid=5565")</f>
        <v>https://ceds.ed.gov/cedselementdetails.aspx?termid=5565</v>
      </c>
      <c r="P2562" s="6" t="str">
        <f>HYPERLINK("https://ceds.ed.gov/elementComment.aspx?elementName=Proficiency Status &amp;elementID=5565", "Click here to submit comment")</f>
        <v>Click here to submit comment</v>
      </c>
    </row>
    <row r="2563" spans="1:16" ht="120">
      <c r="A2563" s="6" t="s">
        <v>6784</v>
      </c>
      <c r="B2563" s="6" t="s">
        <v>6836</v>
      </c>
      <c r="C2563" s="6" t="s">
        <v>6902</v>
      </c>
      <c r="D2563" s="6" t="s">
        <v>863</v>
      </c>
      <c r="E2563" s="6" t="s">
        <v>864</v>
      </c>
      <c r="F2563" s="6" t="s">
        <v>13</v>
      </c>
      <c r="G2563" s="6"/>
      <c r="H2563" s="6"/>
      <c r="I2563" s="6" t="s">
        <v>545</v>
      </c>
      <c r="J2563" s="6"/>
      <c r="K2563" s="6"/>
      <c r="L2563" s="6" t="s">
        <v>865</v>
      </c>
      <c r="M2563" s="6"/>
      <c r="N2563" s="6" t="s">
        <v>866</v>
      </c>
      <c r="O2563" s="6" t="str">
        <f>HYPERLINK("https://ceds.ed.gov/cedselementdetails.aspx?termid=6217")</f>
        <v>https://ceds.ed.gov/cedselementdetails.aspx?termid=6217</v>
      </c>
      <c r="P2563" s="6" t="str">
        <f>HYPERLINK("https://ceds.ed.gov/elementComment.aspx?elementName=Assessment Item Response Theory Parameter A &amp;elementID=6217", "Click here to submit comment")</f>
        <v>Click here to submit comment</v>
      </c>
    </row>
    <row r="2564" spans="1:16" ht="75">
      <c r="A2564" s="6" t="s">
        <v>6784</v>
      </c>
      <c r="B2564" s="6" t="s">
        <v>6836</v>
      </c>
      <c r="C2564" s="6" t="s">
        <v>6902</v>
      </c>
      <c r="D2564" s="6" t="s">
        <v>867</v>
      </c>
      <c r="E2564" s="6" t="s">
        <v>868</v>
      </c>
      <c r="F2564" s="6" t="s">
        <v>13</v>
      </c>
      <c r="G2564" s="6"/>
      <c r="H2564" s="6"/>
      <c r="I2564" s="6" t="s">
        <v>545</v>
      </c>
      <c r="J2564" s="6"/>
      <c r="K2564" s="6"/>
      <c r="L2564" s="6" t="s">
        <v>869</v>
      </c>
      <c r="M2564" s="6"/>
      <c r="N2564" s="6" t="s">
        <v>870</v>
      </c>
      <c r="O2564" s="6" t="str">
        <f>HYPERLINK("https://ceds.ed.gov/cedselementdetails.aspx?termid=6218")</f>
        <v>https://ceds.ed.gov/cedselementdetails.aspx?termid=6218</v>
      </c>
      <c r="P2564" s="6" t="str">
        <f>HYPERLINK("https://ceds.ed.gov/elementComment.aspx?elementName=Assessment Item Response Theory Parameter B &amp;elementID=6218", "Click here to submit comment")</f>
        <v>Click here to submit comment</v>
      </c>
    </row>
    <row r="2565" spans="1:16" ht="180">
      <c r="A2565" s="6" t="s">
        <v>6784</v>
      </c>
      <c r="B2565" s="6" t="s">
        <v>6836</v>
      </c>
      <c r="C2565" s="6" t="s">
        <v>6902</v>
      </c>
      <c r="D2565" s="6" t="s">
        <v>899</v>
      </c>
      <c r="E2565" s="6" t="s">
        <v>900</v>
      </c>
      <c r="F2565" s="7" t="s">
        <v>6387</v>
      </c>
      <c r="G2565" s="6"/>
      <c r="H2565" s="6"/>
      <c r="I2565" s="6"/>
      <c r="J2565" s="6"/>
      <c r="K2565" s="6"/>
      <c r="L2565" s="6" t="s">
        <v>901</v>
      </c>
      <c r="M2565" s="6"/>
      <c r="N2565" s="6" t="s">
        <v>902</v>
      </c>
      <c r="O2565" s="6" t="str">
        <f>HYPERLINK("https://ceds.ed.gov/cedselementdetails.aspx?termid=6219")</f>
        <v>https://ceds.ed.gov/cedselementdetails.aspx?termid=6219</v>
      </c>
      <c r="P2565" s="6" t="str">
        <f>HYPERLINK("https://ceds.ed.gov/elementComment.aspx?elementName=Assessment Item Response Theory Parameter Difficulty Category &amp;elementID=6219", "Click here to submit comment")</f>
        <v>Click here to submit comment</v>
      </c>
    </row>
    <row r="2566" spans="1:16" ht="120">
      <c r="A2566" s="6" t="s">
        <v>6784</v>
      </c>
      <c r="B2566" s="6" t="s">
        <v>6836</v>
      </c>
      <c r="C2566" s="6" t="s">
        <v>6902</v>
      </c>
      <c r="D2566" s="6" t="s">
        <v>871</v>
      </c>
      <c r="E2566" s="6" t="s">
        <v>872</v>
      </c>
      <c r="F2566" s="6" t="s">
        <v>13</v>
      </c>
      <c r="G2566" s="6"/>
      <c r="H2566" s="6"/>
      <c r="I2566" s="6" t="s">
        <v>545</v>
      </c>
      <c r="J2566" s="6"/>
      <c r="K2566" s="6"/>
      <c r="L2566" s="6" t="s">
        <v>873</v>
      </c>
      <c r="M2566" s="6"/>
      <c r="N2566" s="6" t="s">
        <v>874</v>
      </c>
      <c r="O2566" s="6" t="str">
        <f>HYPERLINK("https://ceds.ed.gov/cedselementdetails.aspx?termid=6220")</f>
        <v>https://ceds.ed.gov/cedselementdetails.aspx?termid=6220</v>
      </c>
      <c r="P2566" s="6" t="str">
        <f>HYPERLINK("https://ceds.ed.gov/elementComment.aspx?elementName=Assessment Item Response Theory Parameter C &amp;elementID=6220", "Click here to submit comment")</f>
        <v>Click here to submit comment</v>
      </c>
    </row>
    <row r="2567" spans="1:16" ht="90">
      <c r="A2567" s="6" t="s">
        <v>6784</v>
      </c>
      <c r="B2567" s="6" t="s">
        <v>6836</v>
      </c>
      <c r="C2567" s="6" t="s">
        <v>6902</v>
      </c>
      <c r="D2567" s="6" t="s">
        <v>875</v>
      </c>
      <c r="E2567" s="6" t="s">
        <v>876</v>
      </c>
      <c r="F2567" s="6" t="s">
        <v>13</v>
      </c>
      <c r="G2567" s="6"/>
      <c r="H2567" s="6"/>
      <c r="I2567" s="6" t="s">
        <v>545</v>
      </c>
      <c r="J2567" s="6"/>
      <c r="K2567" s="6"/>
      <c r="L2567" s="6" t="s">
        <v>877</v>
      </c>
      <c r="M2567" s="6"/>
      <c r="N2567" s="6" t="s">
        <v>878</v>
      </c>
      <c r="O2567" s="6" t="str">
        <f>HYPERLINK("https://ceds.ed.gov/cedselementdetails.aspx?termid=6221")</f>
        <v>https://ceds.ed.gov/cedselementdetails.aspx?termid=6221</v>
      </c>
      <c r="P2567" s="6" t="str">
        <f>HYPERLINK("https://ceds.ed.gov/elementComment.aspx?elementName=Assessment Item Response Theory Parameter D1 &amp;elementID=6221", "Click here to submit comment")</f>
        <v>Click here to submit comment</v>
      </c>
    </row>
    <row r="2568" spans="1:16" ht="90">
      <c r="A2568" s="6" t="s">
        <v>6784</v>
      </c>
      <c r="B2568" s="6" t="s">
        <v>6836</v>
      </c>
      <c r="C2568" s="6" t="s">
        <v>6902</v>
      </c>
      <c r="D2568" s="6" t="s">
        <v>879</v>
      </c>
      <c r="E2568" s="6" t="s">
        <v>880</v>
      </c>
      <c r="F2568" s="6" t="s">
        <v>13</v>
      </c>
      <c r="G2568" s="6"/>
      <c r="H2568" s="6"/>
      <c r="I2568" s="6" t="s">
        <v>545</v>
      </c>
      <c r="J2568" s="6"/>
      <c r="K2568" s="6"/>
      <c r="L2568" s="6" t="s">
        <v>881</v>
      </c>
      <c r="M2568" s="6"/>
      <c r="N2568" s="6" t="s">
        <v>882</v>
      </c>
      <c r="O2568" s="6" t="str">
        <f>HYPERLINK("https://ceds.ed.gov/cedselementdetails.aspx?termid=6222")</f>
        <v>https://ceds.ed.gov/cedselementdetails.aspx?termid=6222</v>
      </c>
      <c r="P2568" s="6" t="str">
        <f>HYPERLINK("https://ceds.ed.gov/elementComment.aspx?elementName=Assessment Item Response Theory Parameter D2 &amp;elementID=6222", "Click here to submit comment")</f>
        <v>Click here to submit comment</v>
      </c>
    </row>
    <row r="2569" spans="1:16" ht="90">
      <c r="A2569" s="6" t="s">
        <v>6784</v>
      </c>
      <c r="B2569" s="6" t="s">
        <v>6836</v>
      </c>
      <c r="C2569" s="6" t="s">
        <v>6902</v>
      </c>
      <c r="D2569" s="6" t="s">
        <v>883</v>
      </c>
      <c r="E2569" s="6" t="s">
        <v>884</v>
      </c>
      <c r="F2569" s="6" t="s">
        <v>13</v>
      </c>
      <c r="G2569" s="6"/>
      <c r="H2569" s="6"/>
      <c r="I2569" s="6" t="s">
        <v>545</v>
      </c>
      <c r="J2569" s="6"/>
      <c r="K2569" s="6"/>
      <c r="L2569" s="6" t="s">
        <v>885</v>
      </c>
      <c r="M2569" s="6"/>
      <c r="N2569" s="6" t="s">
        <v>886</v>
      </c>
      <c r="O2569" s="6" t="str">
        <f>HYPERLINK("https://ceds.ed.gov/cedselementdetails.aspx?termid=6223")</f>
        <v>https://ceds.ed.gov/cedselementdetails.aspx?termid=6223</v>
      </c>
      <c r="P2569" s="6" t="str">
        <f>HYPERLINK("https://ceds.ed.gov/elementComment.aspx?elementName=Assessment Item Response Theory Parameter D3 &amp;elementID=6223", "Click here to submit comment")</f>
        <v>Click here to submit comment</v>
      </c>
    </row>
    <row r="2570" spans="1:16" ht="90">
      <c r="A2570" s="6" t="s">
        <v>6784</v>
      </c>
      <c r="B2570" s="6" t="s">
        <v>6836</v>
      </c>
      <c r="C2570" s="6" t="s">
        <v>6902</v>
      </c>
      <c r="D2570" s="6" t="s">
        <v>887</v>
      </c>
      <c r="E2570" s="6" t="s">
        <v>888</v>
      </c>
      <c r="F2570" s="6" t="s">
        <v>13</v>
      </c>
      <c r="G2570" s="6"/>
      <c r="H2570" s="6"/>
      <c r="I2570" s="6" t="s">
        <v>545</v>
      </c>
      <c r="J2570" s="6"/>
      <c r="K2570" s="6"/>
      <c r="L2570" s="6" t="s">
        <v>889</v>
      </c>
      <c r="M2570" s="6"/>
      <c r="N2570" s="6" t="s">
        <v>890</v>
      </c>
      <c r="O2570" s="6" t="str">
        <f>HYPERLINK("https://ceds.ed.gov/cedselementdetails.aspx?termid=6224")</f>
        <v>https://ceds.ed.gov/cedselementdetails.aspx?termid=6224</v>
      </c>
      <c r="P2570" s="6" t="str">
        <f>HYPERLINK("https://ceds.ed.gov/elementComment.aspx?elementName=Assessment Item Response Theory Parameter D4 &amp;elementID=6224", "Click here to submit comment")</f>
        <v>Click here to submit comment</v>
      </c>
    </row>
    <row r="2571" spans="1:16" ht="90">
      <c r="A2571" s="6" t="s">
        <v>6784</v>
      </c>
      <c r="B2571" s="6" t="s">
        <v>6836</v>
      </c>
      <c r="C2571" s="6" t="s">
        <v>6902</v>
      </c>
      <c r="D2571" s="6" t="s">
        <v>891</v>
      </c>
      <c r="E2571" s="6" t="s">
        <v>892</v>
      </c>
      <c r="F2571" s="6" t="s">
        <v>13</v>
      </c>
      <c r="G2571" s="6"/>
      <c r="H2571" s="6"/>
      <c r="I2571" s="6" t="s">
        <v>545</v>
      </c>
      <c r="J2571" s="6"/>
      <c r="K2571" s="6"/>
      <c r="L2571" s="6" t="s">
        <v>893</v>
      </c>
      <c r="M2571" s="6"/>
      <c r="N2571" s="6" t="s">
        <v>894</v>
      </c>
      <c r="O2571" s="6" t="str">
        <f>HYPERLINK("https://ceds.ed.gov/cedselementdetails.aspx?termid=6225")</f>
        <v>https://ceds.ed.gov/cedselementdetails.aspx?termid=6225</v>
      </c>
      <c r="P2571" s="6" t="str">
        <f>HYPERLINK("https://ceds.ed.gov/elementComment.aspx?elementName=Assessment Item Response Theory Parameter D5 &amp;elementID=6225", "Click here to submit comment")</f>
        <v>Click here to submit comment</v>
      </c>
    </row>
    <row r="2572" spans="1:16" ht="90">
      <c r="A2572" s="6" t="s">
        <v>6784</v>
      </c>
      <c r="B2572" s="6" t="s">
        <v>6836</v>
      </c>
      <c r="C2572" s="6" t="s">
        <v>6902</v>
      </c>
      <c r="D2572" s="6" t="s">
        <v>895</v>
      </c>
      <c r="E2572" s="6" t="s">
        <v>896</v>
      </c>
      <c r="F2572" s="6" t="s">
        <v>13</v>
      </c>
      <c r="G2572" s="6"/>
      <c r="H2572" s="6"/>
      <c r="I2572" s="6" t="s">
        <v>545</v>
      </c>
      <c r="J2572" s="6"/>
      <c r="K2572" s="6"/>
      <c r="L2572" s="6" t="s">
        <v>897</v>
      </c>
      <c r="M2572" s="6"/>
      <c r="N2572" s="6" t="s">
        <v>898</v>
      </c>
      <c r="O2572" s="6" t="str">
        <f>HYPERLINK("https://ceds.ed.gov/cedselementdetails.aspx?termid=6226")</f>
        <v>https://ceds.ed.gov/cedselementdetails.aspx?termid=6226</v>
      </c>
      <c r="P2572" s="6" t="str">
        <f>HYPERLINK("https://ceds.ed.gov/elementComment.aspx?elementName=Assessment Item Response Theory Parameter D6 &amp;elementID=6226", "Click here to submit comment")</f>
        <v>Click here to submit comment</v>
      </c>
    </row>
    <row r="2573" spans="1:16" ht="60">
      <c r="A2573" s="6" t="s">
        <v>6784</v>
      </c>
      <c r="B2573" s="6" t="s">
        <v>6836</v>
      </c>
      <c r="C2573" s="6" t="s">
        <v>6902</v>
      </c>
      <c r="D2573" s="6" t="s">
        <v>903</v>
      </c>
      <c r="E2573" s="6" t="s">
        <v>904</v>
      </c>
      <c r="F2573" s="6" t="s">
        <v>13</v>
      </c>
      <c r="G2573" s="6"/>
      <c r="H2573" s="6"/>
      <c r="I2573" s="6" t="s">
        <v>545</v>
      </c>
      <c r="J2573" s="6"/>
      <c r="K2573" s="6"/>
      <c r="L2573" s="6" t="s">
        <v>906</v>
      </c>
      <c r="M2573" s="6"/>
      <c r="N2573" s="6" t="s">
        <v>907</v>
      </c>
      <c r="O2573" s="6" t="str">
        <f>HYPERLINK("https://ceds.ed.gov/cedselementdetails.aspx?termid=6228")</f>
        <v>https://ceds.ed.gov/cedselementdetails.aspx?termid=6228</v>
      </c>
      <c r="P2573" s="6" t="str">
        <f>HYPERLINK("https://ceds.ed.gov/elementComment.aspx?elementName=Assessment Item Response Theory Point Biserial Correlation Value &amp;elementID=6228", "Click here to submit comment")</f>
        <v>Click here to submit comment</v>
      </c>
    </row>
    <row r="2574" spans="1:16" ht="165">
      <c r="A2574" s="6" t="s">
        <v>6784</v>
      </c>
      <c r="B2574" s="6" t="s">
        <v>6836</v>
      </c>
      <c r="C2574" s="6" t="s">
        <v>6902</v>
      </c>
      <c r="D2574" s="6" t="s">
        <v>851</v>
      </c>
      <c r="E2574" s="6" t="s">
        <v>852</v>
      </c>
      <c r="F2574" s="6" t="s">
        <v>13</v>
      </c>
      <c r="G2574" s="6"/>
      <c r="H2574" s="6"/>
      <c r="I2574" s="6" t="s">
        <v>545</v>
      </c>
      <c r="J2574" s="6"/>
      <c r="K2574" s="6"/>
      <c r="L2574" s="6" t="s">
        <v>853</v>
      </c>
      <c r="M2574" s="6"/>
      <c r="N2574" s="6" t="s">
        <v>854</v>
      </c>
      <c r="O2574" s="6" t="str">
        <f>HYPERLINK("https://ceds.ed.gov/cedselementdetails.aspx?termid=6230")</f>
        <v>https://ceds.ed.gov/cedselementdetails.aspx?termid=6230</v>
      </c>
      <c r="P2574" s="6" t="str">
        <f>HYPERLINK("https://ceds.ed.gov/elementComment.aspx?elementName=Assessment Item Response Theory DIF Value &amp;elementID=6230", "Click here to submit comment")</f>
        <v>Click here to submit comment</v>
      </c>
    </row>
    <row r="2575" spans="1:16" ht="45">
      <c r="A2575" s="6" t="s">
        <v>6784</v>
      </c>
      <c r="B2575" s="6" t="s">
        <v>6836</v>
      </c>
      <c r="C2575" s="6" t="s">
        <v>6902</v>
      </c>
      <c r="D2575" s="6" t="s">
        <v>859</v>
      </c>
      <c r="E2575" s="6" t="s">
        <v>860</v>
      </c>
      <c r="F2575" s="6" t="s">
        <v>13</v>
      </c>
      <c r="G2575" s="6"/>
      <c r="H2575" s="6"/>
      <c r="I2575" s="6" t="s">
        <v>545</v>
      </c>
      <c r="J2575" s="6"/>
      <c r="K2575" s="6"/>
      <c r="L2575" s="6" t="s">
        <v>861</v>
      </c>
      <c r="M2575" s="6"/>
      <c r="N2575" s="6" t="s">
        <v>862</v>
      </c>
      <c r="O2575" s="6" t="str">
        <f>HYPERLINK("https://ceds.ed.gov/cedselementdetails.aspx?termid=6231")</f>
        <v>https://ceds.ed.gov/cedselementdetails.aspx?termid=6231</v>
      </c>
      <c r="P2575" s="6" t="str">
        <f>HYPERLINK("https://ceds.ed.gov/elementComment.aspx?elementName=Assessment Item Response Theory Kappa Value &amp;elementID=6231", "Click here to submit comment")</f>
        <v>Click here to submit comment</v>
      </c>
    </row>
    <row r="2576" spans="1:16" ht="135">
      <c r="A2576" s="6" t="s">
        <v>6784</v>
      </c>
      <c r="B2576" s="6" t="s">
        <v>6836</v>
      </c>
      <c r="C2576" s="6" t="s">
        <v>6902</v>
      </c>
      <c r="D2576" s="6" t="s">
        <v>855</v>
      </c>
      <c r="E2576" s="6" t="s">
        <v>856</v>
      </c>
      <c r="F2576" s="7" t="s">
        <v>6386</v>
      </c>
      <c r="G2576" s="6"/>
      <c r="H2576" s="6"/>
      <c r="I2576" s="6"/>
      <c r="J2576" s="6"/>
      <c r="K2576" s="6"/>
      <c r="L2576" s="6" t="s">
        <v>857</v>
      </c>
      <c r="M2576" s="6"/>
      <c r="N2576" s="6" t="s">
        <v>858</v>
      </c>
      <c r="O2576" s="6" t="str">
        <f>HYPERLINK("https://ceds.ed.gov/cedselementdetails.aspx?termid=6232")</f>
        <v>https://ceds.ed.gov/cedselementdetails.aspx?termid=6232</v>
      </c>
      <c r="P2576" s="6" t="str">
        <f>HYPERLINK("https://ceds.ed.gov/elementComment.aspx?elementName=Assessment Item Response Theory Kappa Algorithm &amp;elementID=6232", "Click here to submit comment")</f>
        <v>Click here to submit comment</v>
      </c>
    </row>
    <row r="2577" spans="1:16" ht="90">
      <c r="A2577" s="6" t="s">
        <v>6784</v>
      </c>
      <c r="B2577" s="6" t="s">
        <v>6836</v>
      </c>
      <c r="C2577" s="6" t="s">
        <v>6903</v>
      </c>
      <c r="D2577" s="6" t="s">
        <v>650</v>
      </c>
      <c r="E2577" s="6" t="s">
        <v>651</v>
      </c>
      <c r="F2577" s="6" t="s">
        <v>13</v>
      </c>
      <c r="G2577" s="6"/>
      <c r="H2577" s="6"/>
      <c r="I2577" s="6" t="s">
        <v>319</v>
      </c>
      <c r="J2577" s="6"/>
      <c r="K2577" s="6"/>
      <c r="L2577" s="6" t="s">
        <v>652</v>
      </c>
      <c r="M2577" s="6"/>
      <c r="N2577" s="6" t="s">
        <v>653</v>
      </c>
      <c r="O2577" s="6" t="str">
        <f>HYPERLINK("https://ceds.ed.gov/cedselementdetails.aspx?termid=6079")</f>
        <v>https://ceds.ed.gov/cedselementdetails.aspx?termid=6079</v>
      </c>
      <c r="P2577" s="6" t="str">
        <f>HYPERLINK("https://ceds.ed.gov/elementComment.aspx?elementName=Assessment Item Body Custom Interaction XML &amp;elementID=6079", "Click here to submit comment")</f>
        <v>Click here to submit comment</v>
      </c>
    </row>
    <row r="2578" spans="1:16" ht="409.5">
      <c r="A2578" s="6" t="s">
        <v>6784</v>
      </c>
      <c r="B2578" s="6" t="s">
        <v>6836</v>
      </c>
      <c r="C2578" s="6" t="s">
        <v>6904</v>
      </c>
      <c r="D2578" s="6" t="s">
        <v>730</v>
      </c>
      <c r="E2578" s="6" t="s">
        <v>731</v>
      </c>
      <c r="F2578" s="7" t="s">
        <v>6383</v>
      </c>
      <c r="G2578" s="6" t="s">
        <v>6018</v>
      </c>
      <c r="H2578" s="6"/>
      <c r="I2578" s="6"/>
      <c r="J2578" s="6"/>
      <c r="K2578" s="6"/>
      <c r="L2578" s="6" t="s">
        <v>732</v>
      </c>
      <c r="M2578" s="6"/>
      <c r="N2578" s="6" t="s">
        <v>733</v>
      </c>
      <c r="O2578" s="6" t="str">
        <f>HYPERLINK("https://ceds.ed.gov/cedselementdetails.aspx?termid=5384")</f>
        <v>https://ceds.ed.gov/cedselementdetails.aspx?termid=5384</v>
      </c>
      <c r="P2578" s="6" t="str">
        <f>HYPERLINK("https://ceds.ed.gov/elementComment.aspx?elementName=Assessment Item Characteristic Type &amp;elementID=5384", "Click here to submit comment")</f>
        <v>Click here to submit comment</v>
      </c>
    </row>
    <row r="2579" spans="1:16" ht="45">
      <c r="A2579" s="6" t="s">
        <v>6784</v>
      </c>
      <c r="B2579" s="6" t="s">
        <v>6836</v>
      </c>
      <c r="C2579" s="6" t="s">
        <v>6904</v>
      </c>
      <c r="D2579" s="6" t="s">
        <v>734</v>
      </c>
      <c r="E2579" s="6" t="s">
        <v>735</v>
      </c>
      <c r="F2579" s="6" t="s">
        <v>13</v>
      </c>
      <c r="G2579" s="6"/>
      <c r="H2579" s="6"/>
      <c r="I2579" s="6" t="s">
        <v>100</v>
      </c>
      <c r="J2579" s="6"/>
      <c r="K2579" s="6"/>
      <c r="L2579" s="6" t="s">
        <v>736</v>
      </c>
      <c r="M2579" s="6"/>
      <c r="N2579" s="6" t="s">
        <v>737</v>
      </c>
      <c r="O2579" s="6" t="str">
        <f>HYPERLINK("https://ceds.ed.gov/cedselementdetails.aspx?termid=5685")</f>
        <v>https://ceds.ed.gov/cedselementdetails.aspx?termid=5685</v>
      </c>
      <c r="P2579" s="6" t="str">
        <f>HYPERLINK("https://ceds.ed.gov/elementComment.aspx?elementName=Assessment Item Characteristic Value &amp;elementID=5685", "Click here to submit comment")</f>
        <v>Click here to submit comment</v>
      </c>
    </row>
    <row r="2580" spans="1:16" ht="30">
      <c r="A2580" s="6" t="s">
        <v>6784</v>
      </c>
      <c r="B2580" s="6" t="s">
        <v>6836</v>
      </c>
      <c r="C2580" s="6" t="s">
        <v>6860</v>
      </c>
      <c r="D2580" s="6" t="s">
        <v>1209</v>
      </c>
      <c r="E2580" s="6" t="s">
        <v>1210</v>
      </c>
      <c r="F2580" s="6" t="s">
        <v>13</v>
      </c>
      <c r="G2580" s="6" t="s">
        <v>6018</v>
      </c>
      <c r="H2580" s="6" t="s">
        <v>66</v>
      </c>
      <c r="I2580" s="6" t="s">
        <v>100</v>
      </c>
      <c r="J2580" s="6" t="s">
        <v>1211</v>
      </c>
      <c r="K2580" s="6"/>
      <c r="L2580" s="6" t="s">
        <v>1212</v>
      </c>
      <c r="M2580" s="6"/>
      <c r="N2580" s="6" t="s">
        <v>1213</v>
      </c>
      <c r="O2580" s="6" t="str">
        <f>HYPERLINK("https://ceds.ed.gov/cedselementdetails.aspx?termid=5412")</f>
        <v>https://ceds.ed.gov/cedselementdetails.aspx?termid=5412</v>
      </c>
      <c r="P2580" s="6" t="str">
        <f>HYPERLINK("https://ceds.ed.gov/elementComment.aspx?elementName=Assessment Rubric Identifier &amp;elementID=5412", "Click here to submit comment")</f>
        <v>Click here to submit comment</v>
      </c>
    </row>
    <row r="2581" spans="1:16" ht="30">
      <c r="A2581" s="6" t="s">
        <v>6784</v>
      </c>
      <c r="B2581" s="6" t="s">
        <v>6836</v>
      </c>
      <c r="C2581" s="6" t="s">
        <v>6860</v>
      </c>
      <c r="D2581" s="6" t="s">
        <v>1214</v>
      </c>
      <c r="E2581" s="6" t="s">
        <v>1215</v>
      </c>
      <c r="F2581" s="6" t="s">
        <v>13</v>
      </c>
      <c r="G2581" s="6" t="s">
        <v>6018</v>
      </c>
      <c r="H2581" s="6" t="s">
        <v>66</v>
      </c>
      <c r="I2581" s="6" t="s">
        <v>100</v>
      </c>
      <c r="J2581" s="6" t="s">
        <v>1216</v>
      </c>
      <c r="K2581" s="6"/>
      <c r="L2581" s="6" t="s">
        <v>1217</v>
      </c>
      <c r="M2581" s="6"/>
      <c r="N2581" s="6" t="s">
        <v>1218</v>
      </c>
      <c r="O2581" s="6" t="str">
        <f>HYPERLINK("https://ceds.ed.gov/cedselementdetails.aspx?termid=5411")</f>
        <v>https://ceds.ed.gov/cedselementdetails.aspx?termid=5411</v>
      </c>
      <c r="P2581" s="6" t="str">
        <f>HYPERLINK("https://ceds.ed.gov/elementComment.aspx?elementName=Assessment Rubric Title &amp;elementID=5411", "Click here to submit comment")</f>
        <v>Click here to submit comment</v>
      </c>
    </row>
    <row r="2582" spans="1:16" ht="30">
      <c r="A2582" s="6" t="s">
        <v>6784</v>
      </c>
      <c r="B2582" s="6" t="s">
        <v>6836</v>
      </c>
      <c r="C2582" s="6" t="s">
        <v>6860</v>
      </c>
      <c r="D2582" s="6" t="s">
        <v>1219</v>
      </c>
      <c r="E2582" s="6" t="s">
        <v>1220</v>
      </c>
      <c r="F2582" s="6" t="s">
        <v>13</v>
      </c>
      <c r="G2582" s="6" t="s">
        <v>6018</v>
      </c>
      <c r="H2582" s="6" t="s">
        <v>66</v>
      </c>
      <c r="I2582" s="6" t="s">
        <v>100</v>
      </c>
      <c r="J2582" s="6" t="s">
        <v>1221</v>
      </c>
      <c r="K2582" s="6"/>
      <c r="L2582" s="6" t="s">
        <v>1222</v>
      </c>
      <c r="M2582" s="6"/>
      <c r="N2582" s="6" t="s">
        <v>1223</v>
      </c>
      <c r="O2582" s="6" t="str">
        <f>HYPERLINK("https://ceds.ed.gov/cedselementdetails.aspx?termid=5413")</f>
        <v>https://ceds.ed.gov/cedselementdetails.aspx?termid=5413</v>
      </c>
      <c r="P2582" s="6" t="str">
        <f>HYPERLINK("https://ceds.ed.gov/elementComment.aspx?elementName=Assessment Rubric URL Reference &amp;elementID=5413", "Click here to submit comment")</f>
        <v>Click here to submit comment</v>
      </c>
    </row>
    <row r="2583" spans="1:16" ht="30">
      <c r="A2583" s="6" t="s">
        <v>6784</v>
      </c>
      <c r="B2583" s="6" t="s">
        <v>6836</v>
      </c>
      <c r="C2583" s="6" t="s">
        <v>6860</v>
      </c>
      <c r="D2583" s="6" t="s">
        <v>5082</v>
      </c>
      <c r="E2583" s="6" t="s">
        <v>5083</v>
      </c>
      <c r="F2583" s="6" t="s">
        <v>13</v>
      </c>
      <c r="G2583" s="6"/>
      <c r="H2583" s="6" t="s">
        <v>54</v>
      </c>
      <c r="I2583" s="6" t="s">
        <v>100</v>
      </c>
      <c r="J2583" s="6"/>
      <c r="K2583" s="6"/>
      <c r="L2583" s="6" t="s">
        <v>5084</v>
      </c>
      <c r="M2583" s="6"/>
      <c r="N2583" s="6" t="s">
        <v>5085</v>
      </c>
      <c r="O2583" s="6" t="str">
        <f>HYPERLINK("https://ceds.ed.gov/cedselementdetails.aspx?termid=6441")</f>
        <v>https://ceds.ed.gov/cedselementdetails.aspx?termid=6441</v>
      </c>
      <c r="P2583" s="6" t="str">
        <f>HYPERLINK("https://ceds.ed.gov/elementComment.aspx?elementName=Rubric Criterion Category &amp;elementID=6441", "Click here to submit comment")</f>
        <v>Click here to submit comment</v>
      </c>
    </row>
    <row r="2584" spans="1:16" ht="45">
      <c r="A2584" s="6" t="s">
        <v>6784</v>
      </c>
      <c r="B2584" s="6" t="s">
        <v>6836</v>
      </c>
      <c r="C2584" s="6" t="s">
        <v>6860</v>
      </c>
      <c r="D2584" s="6" t="s">
        <v>5086</v>
      </c>
      <c r="E2584" s="6" t="s">
        <v>5087</v>
      </c>
      <c r="F2584" s="6" t="s">
        <v>13</v>
      </c>
      <c r="G2584" s="6"/>
      <c r="H2584" s="6" t="s">
        <v>54</v>
      </c>
      <c r="I2584" s="6" t="s">
        <v>319</v>
      </c>
      <c r="J2584" s="6"/>
      <c r="K2584" s="6"/>
      <c r="L2584" s="6" t="s">
        <v>5088</v>
      </c>
      <c r="M2584" s="6"/>
      <c r="N2584" s="6" t="s">
        <v>5089</v>
      </c>
      <c r="O2584" s="6" t="str">
        <f>HYPERLINK("https://ceds.ed.gov/cedselementdetails.aspx?termid=6442")</f>
        <v>https://ceds.ed.gov/cedselementdetails.aspx?termid=6442</v>
      </c>
      <c r="P2584" s="6" t="str">
        <f>HYPERLINK("https://ceds.ed.gov/elementComment.aspx?elementName=Rubric Criterion Description &amp;elementID=6442", "Click here to submit comment")</f>
        <v>Click here to submit comment</v>
      </c>
    </row>
    <row r="2585" spans="1:16" ht="60">
      <c r="A2585" s="6" t="s">
        <v>6784</v>
      </c>
      <c r="B2585" s="6" t="s">
        <v>6836</v>
      </c>
      <c r="C2585" s="6" t="s">
        <v>6860</v>
      </c>
      <c r="D2585" s="6" t="s">
        <v>5090</v>
      </c>
      <c r="E2585" s="6" t="s">
        <v>5091</v>
      </c>
      <c r="F2585" s="6" t="s">
        <v>13</v>
      </c>
      <c r="G2585" s="6"/>
      <c r="H2585" s="6" t="s">
        <v>54</v>
      </c>
      <c r="I2585" s="6" t="s">
        <v>319</v>
      </c>
      <c r="J2585" s="6"/>
      <c r="K2585" s="6"/>
      <c r="L2585" s="6" t="s">
        <v>5092</v>
      </c>
      <c r="M2585" s="6"/>
      <c r="N2585" s="6" t="s">
        <v>5093</v>
      </c>
      <c r="O2585" s="6" t="str">
        <f>HYPERLINK("https://ceds.ed.gov/cedselementdetails.aspx?termid=6443")</f>
        <v>https://ceds.ed.gov/cedselementdetails.aspx?termid=6443</v>
      </c>
      <c r="P2585" s="6" t="str">
        <f>HYPERLINK("https://ceds.ed.gov/elementComment.aspx?elementName=Rubric Criterion Level Description &amp;elementID=6443", "Click here to submit comment")</f>
        <v>Click here to submit comment</v>
      </c>
    </row>
    <row r="2586" spans="1:16" ht="75">
      <c r="A2586" s="6" t="s">
        <v>6784</v>
      </c>
      <c r="B2586" s="6" t="s">
        <v>6836</v>
      </c>
      <c r="C2586" s="6" t="s">
        <v>6860</v>
      </c>
      <c r="D2586" s="6" t="s">
        <v>5094</v>
      </c>
      <c r="E2586" s="6" t="s">
        <v>5095</v>
      </c>
      <c r="F2586" s="6" t="s">
        <v>13</v>
      </c>
      <c r="G2586" s="6"/>
      <c r="H2586" s="6" t="s">
        <v>54</v>
      </c>
      <c r="I2586" s="6" t="s">
        <v>319</v>
      </c>
      <c r="J2586" s="6"/>
      <c r="K2586" s="6"/>
      <c r="L2586" s="6" t="s">
        <v>5096</v>
      </c>
      <c r="M2586" s="6"/>
      <c r="N2586" s="6" t="s">
        <v>5097</v>
      </c>
      <c r="O2586" s="6" t="str">
        <f>HYPERLINK("https://ceds.ed.gov/cedselementdetails.aspx?termid=6444")</f>
        <v>https://ceds.ed.gov/cedselementdetails.aspx?termid=6444</v>
      </c>
      <c r="P2586" s="6" t="str">
        <f>HYPERLINK("https://ceds.ed.gov/elementComment.aspx?elementName=Rubric Criterion Level Feedback &amp;elementID=6444", "Click here to submit comment")</f>
        <v>Click here to submit comment</v>
      </c>
    </row>
    <row r="2587" spans="1:16" ht="45">
      <c r="A2587" s="6" t="s">
        <v>6784</v>
      </c>
      <c r="B2587" s="6" t="s">
        <v>6836</v>
      </c>
      <c r="C2587" s="6" t="s">
        <v>6860</v>
      </c>
      <c r="D2587" s="6" t="s">
        <v>5098</v>
      </c>
      <c r="E2587" s="6" t="s">
        <v>5099</v>
      </c>
      <c r="F2587" s="6" t="s">
        <v>13</v>
      </c>
      <c r="G2587" s="6"/>
      <c r="H2587" s="6" t="s">
        <v>54</v>
      </c>
      <c r="I2587" s="6" t="s">
        <v>545</v>
      </c>
      <c r="J2587" s="6"/>
      <c r="K2587" s="6"/>
      <c r="L2587" s="6" t="s">
        <v>5100</v>
      </c>
      <c r="M2587" s="6"/>
      <c r="N2587" s="6" t="s">
        <v>5101</v>
      </c>
      <c r="O2587" s="6" t="str">
        <f>HYPERLINK("https://ceds.ed.gov/cedselementdetails.aspx?termid=6445")</f>
        <v>https://ceds.ed.gov/cedselementdetails.aspx?termid=6445</v>
      </c>
      <c r="P2587" s="6" t="str">
        <f>HYPERLINK("https://ceds.ed.gov/elementComment.aspx?elementName=Rubric Criterion Level Position &amp;elementID=6445", "Click here to submit comment")</f>
        <v>Click here to submit comment</v>
      </c>
    </row>
    <row r="2588" spans="1:16" ht="60">
      <c r="A2588" s="6" t="s">
        <v>6784</v>
      </c>
      <c r="B2588" s="6" t="s">
        <v>6836</v>
      </c>
      <c r="C2588" s="6" t="s">
        <v>6860</v>
      </c>
      <c r="D2588" s="6" t="s">
        <v>5102</v>
      </c>
      <c r="E2588" s="6" t="s">
        <v>5103</v>
      </c>
      <c r="F2588" s="6" t="s">
        <v>13</v>
      </c>
      <c r="G2588" s="6"/>
      <c r="H2588" s="6" t="s">
        <v>54</v>
      </c>
      <c r="I2588" s="6" t="s">
        <v>106</v>
      </c>
      <c r="J2588" s="6"/>
      <c r="K2588" s="6"/>
      <c r="L2588" s="6" t="s">
        <v>5104</v>
      </c>
      <c r="M2588" s="6"/>
      <c r="N2588" s="6" t="s">
        <v>5105</v>
      </c>
      <c r="O2588" s="6" t="str">
        <f>HYPERLINK("https://ceds.ed.gov/cedselementdetails.aspx?termid=6446")</f>
        <v>https://ceds.ed.gov/cedselementdetails.aspx?termid=6446</v>
      </c>
      <c r="P2588" s="6" t="str">
        <f>HYPERLINK("https://ceds.ed.gov/elementComment.aspx?elementName=Rubric Criterion Level Quality Label &amp;elementID=6446", "Click here to submit comment")</f>
        <v>Click here to submit comment</v>
      </c>
    </row>
    <row r="2589" spans="1:16" ht="30">
      <c r="A2589" s="6" t="s">
        <v>6784</v>
      </c>
      <c r="B2589" s="6" t="s">
        <v>6836</v>
      </c>
      <c r="C2589" s="6" t="s">
        <v>6860</v>
      </c>
      <c r="D2589" s="6" t="s">
        <v>5106</v>
      </c>
      <c r="E2589" s="6" t="s">
        <v>5107</v>
      </c>
      <c r="F2589" s="6" t="s">
        <v>13</v>
      </c>
      <c r="G2589" s="6"/>
      <c r="H2589" s="6" t="s">
        <v>54</v>
      </c>
      <c r="I2589" s="6" t="s">
        <v>545</v>
      </c>
      <c r="J2589" s="6"/>
      <c r="K2589" s="6"/>
      <c r="L2589" s="6" t="s">
        <v>5108</v>
      </c>
      <c r="M2589" s="6"/>
      <c r="N2589" s="6" t="s">
        <v>5109</v>
      </c>
      <c r="O2589" s="6" t="str">
        <f>HYPERLINK("https://ceds.ed.gov/cedselementdetails.aspx?termid=6447")</f>
        <v>https://ceds.ed.gov/cedselementdetails.aspx?termid=6447</v>
      </c>
      <c r="P2589" s="6" t="str">
        <f>HYPERLINK("https://ceds.ed.gov/elementComment.aspx?elementName=Rubric Criterion Level Score &amp;elementID=6447", "Click here to submit comment")</f>
        <v>Click here to submit comment</v>
      </c>
    </row>
    <row r="2590" spans="1:16" ht="45">
      <c r="A2590" s="6" t="s">
        <v>6784</v>
      </c>
      <c r="B2590" s="6" t="s">
        <v>6836</v>
      </c>
      <c r="C2590" s="6" t="s">
        <v>6860</v>
      </c>
      <c r="D2590" s="6" t="s">
        <v>5110</v>
      </c>
      <c r="E2590" s="6" t="s">
        <v>5111</v>
      </c>
      <c r="F2590" s="6" t="s">
        <v>13</v>
      </c>
      <c r="G2590" s="6"/>
      <c r="H2590" s="6" t="s">
        <v>54</v>
      </c>
      <c r="I2590" s="6" t="s">
        <v>545</v>
      </c>
      <c r="J2590" s="6"/>
      <c r="K2590" s="6"/>
      <c r="L2590" s="6" t="s">
        <v>5112</v>
      </c>
      <c r="M2590" s="6"/>
      <c r="N2590" s="6" t="s">
        <v>5113</v>
      </c>
      <c r="O2590" s="6" t="str">
        <f>HYPERLINK("https://ceds.ed.gov/cedselementdetails.aspx?termid=6448")</f>
        <v>https://ceds.ed.gov/cedselementdetails.aspx?termid=6448</v>
      </c>
      <c r="P2590" s="6" t="str">
        <f>HYPERLINK("https://ceds.ed.gov/elementComment.aspx?elementName=Rubric Criterion Position &amp;elementID=6448", "Click here to submit comment")</f>
        <v>Click here to submit comment</v>
      </c>
    </row>
    <row r="2591" spans="1:16" ht="30">
      <c r="A2591" s="6" t="s">
        <v>6784</v>
      </c>
      <c r="B2591" s="6" t="s">
        <v>6836</v>
      </c>
      <c r="C2591" s="6" t="s">
        <v>6860</v>
      </c>
      <c r="D2591" s="6" t="s">
        <v>5114</v>
      </c>
      <c r="E2591" s="6" t="s">
        <v>5115</v>
      </c>
      <c r="F2591" s="6" t="s">
        <v>13</v>
      </c>
      <c r="G2591" s="6"/>
      <c r="H2591" s="6" t="s">
        <v>54</v>
      </c>
      <c r="I2591" s="6" t="s">
        <v>106</v>
      </c>
      <c r="J2591" s="6"/>
      <c r="K2591" s="6"/>
      <c r="L2591" s="6" t="s">
        <v>5116</v>
      </c>
      <c r="M2591" s="6"/>
      <c r="N2591" s="6" t="s">
        <v>5117</v>
      </c>
      <c r="O2591" s="6" t="str">
        <f>HYPERLINK("https://ceds.ed.gov/cedselementdetails.aspx?termid=6449")</f>
        <v>https://ceds.ed.gov/cedselementdetails.aspx?termid=6449</v>
      </c>
      <c r="P2591" s="6" t="str">
        <f>HYPERLINK("https://ceds.ed.gov/elementComment.aspx?elementName=Rubric Criterion Title &amp;elementID=6449", "Click here to submit comment")</f>
        <v>Click here to submit comment</v>
      </c>
    </row>
    <row r="2592" spans="1:16" ht="45">
      <c r="A2592" s="6" t="s">
        <v>6784</v>
      </c>
      <c r="B2592" s="6" t="s">
        <v>6836</v>
      </c>
      <c r="C2592" s="6" t="s">
        <v>6860</v>
      </c>
      <c r="D2592" s="6" t="s">
        <v>5118</v>
      </c>
      <c r="E2592" s="6" t="s">
        <v>5119</v>
      </c>
      <c r="F2592" s="6" t="s">
        <v>13</v>
      </c>
      <c r="G2592" s="6"/>
      <c r="H2592" s="6" t="s">
        <v>54</v>
      </c>
      <c r="I2592" s="6" t="s">
        <v>545</v>
      </c>
      <c r="J2592" s="6"/>
      <c r="K2592" s="6"/>
      <c r="L2592" s="6" t="s">
        <v>5120</v>
      </c>
      <c r="M2592" s="6"/>
      <c r="N2592" s="6" t="s">
        <v>5121</v>
      </c>
      <c r="O2592" s="6" t="str">
        <f>HYPERLINK("https://ceds.ed.gov/cedselementdetails.aspx?termid=6450")</f>
        <v>https://ceds.ed.gov/cedselementdetails.aspx?termid=6450</v>
      </c>
      <c r="P2592" s="6" t="str">
        <f>HYPERLINK("https://ceds.ed.gov/elementComment.aspx?elementName=Rubric Criterion Weight &amp;elementID=6450", "Click here to submit comment")</f>
        <v>Click here to submit comment</v>
      </c>
    </row>
    <row r="2593" spans="1:16" ht="30">
      <c r="A2593" s="6" t="s">
        <v>6784</v>
      </c>
      <c r="B2593" s="6" t="s">
        <v>6836</v>
      </c>
      <c r="C2593" s="6" t="s">
        <v>6860</v>
      </c>
      <c r="D2593" s="6" t="s">
        <v>5122</v>
      </c>
      <c r="E2593" s="6" t="s">
        <v>5123</v>
      </c>
      <c r="F2593" s="6" t="s">
        <v>13</v>
      </c>
      <c r="G2593" s="6"/>
      <c r="H2593" s="6" t="s">
        <v>54</v>
      </c>
      <c r="I2593" s="6" t="s">
        <v>319</v>
      </c>
      <c r="J2593" s="6"/>
      <c r="K2593" s="6"/>
      <c r="L2593" s="6" t="s">
        <v>5124</v>
      </c>
      <c r="M2593" s="6"/>
      <c r="N2593" s="6" t="s">
        <v>5125</v>
      </c>
      <c r="O2593" s="6" t="str">
        <f>HYPERLINK("https://ceds.ed.gov/cedselementdetails.aspx?termid=6451")</f>
        <v>https://ceds.ed.gov/cedselementdetails.aspx?termid=6451</v>
      </c>
      <c r="P2593" s="6" t="str">
        <f>HYPERLINK("https://ceds.ed.gov/elementComment.aspx?elementName=Rubric Description &amp;elementID=6451", "Click here to submit comment")</f>
        <v>Click here to submit comment</v>
      </c>
    </row>
    <row r="2594" spans="1:16" ht="45">
      <c r="A2594" s="6" t="s">
        <v>6784</v>
      </c>
      <c r="B2594" s="6" t="s">
        <v>6836</v>
      </c>
      <c r="C2594" s="6" t="s">
        <v>6905</v>
      </c>
      <c r="D2594" s="6" t="s">
        <v>594</v>
      </c>
      <c r="E2594" s="6" t="s">
        <v>595</v>
      </c>
      <c r="F2594" s="6" t="s">
        <v>5963</v>
      </c>
      <c r="G2594" s="6"/>
      <c r="H2594" s="6"/>
      <c r="I2594" s="6"/>
      <c r="J2594" s="6"/>
      <c r="K2594" s="6"/>
      <c r="L2594" s="6" t="s">
        <v>596</v>
      </c>
      <c r="M2594" s="6"/>
      <c r="N2594" s="6" t="s">
        <v>597</v>
      </c>
      <c r="O2594" s="6" t="str">
        <f>HYPERLINK("https://ceds.ed.gov/cedselementdetails.aspx?termid=6111")</f>
        <v>https://ceds.ed.gov/cedselementdetails.aspx?termid=6111</v>
      </c>
      <c r="P2594" s="6" t="str">
        <f>HYPERLINK("https://ceds.ed.gov/elementComment.aspx?elementName=Assessment Item Adaptive Indicator &amp;elementID=6111", "Click here to submit comment")</f>
        <v>Click here to submit comment</v>
      </c>
    </row>
    <row r="2595" spans="1:16" ht="195">
      <c r="A2595" s="6" t="s">
        <v>6784</v>
      </c>
      <c r="B2595" s="6" t="s">
        <v>6836</v>
      </c>
      <c r="C2595" s="6" t="s">
        <v>6905</v>
      </c>
      <c r="D2595" s="6" t="s">
        <v>602</v>
      </c>
      <c r="E2595" s="6" t="s">
        <v>603</v>
      </c>
      <c r="F2595" s="6" t="s">
        <v>13</v>
      </c>
      <c r="G2595" s="6"/>
      <c r="H2595" s="6"/>
      <c r="I2595" s="6" t="s">
        <v>319</v>
      </c>
      <c r="J2595" s="6"/>
      <c r="K2595" s="6"/>
      <c r="L2595" s="6" t="s">
        <v>604</v>
      </c>
      <c r="M2595" s="6"/>
      <c r="N2595" s="6" t="s">
        <v>605</v>
      </c>
      <c r="O2595" s="6" t="str">
        <f>HYPERLINK("https://ceds.ed.gov/cedselementdetails.aspx?termid=6110")</f>
        <v>https://ceds.ed.gov/cedselementdetails.aspx?termid=6110</v>
      </c>
      <c r="P2595" s="6" t="str">
        <f>HYPERLINK("https://ceds.ed.gov/elementComment.aspx?elementName=Assessment Item APIP Item Body XML &amp;elementID=6110", "Click here to submit comment")</f>
        <v>Click here to submit comment</v>
      </c>
    </row>
    <row r="2596" spans="1:16" ht="150">
      <c r="A2596" s="6" t="s">
        <v>6784</v>
      </c>
      <c r="B2596" s="6" t="s">
        <v>6836</v>
      </c>
      <c r="C2596" s="6" t="s">
        <v>6905</v>
      </c>
      <c r="D2596" s="6" t="s">
        <v>606</v>
      </c>
      <c r="E2596" s="6" t="s">
        <v>607</v>
      </c>
      <c r="F2596" s="6" t="s">
        <v>13</v>
      </c>
      <c r="G2596" s="6"/>
      <c r="H2596" s="6"/>
      <c r="I2596" s="6" t="s">
        <v>319</v>
      </c>
      <c r="J2596" s="6"/>
      <c r="K2596" s="6"/>
      <c r="L2596" s="6" t="s">
        <v>608</v>
      </c>
      <c r="M2596" s="6"/>
      <c r="N2596" s="6" t="s">
        <v>609</v>
      </c>
      <c r="O2596" s="6" t="str">
        <f>HYPERLINK("https://ceds.ed.gov/cedselementdetails.aspx?termid=6109")</f>
        <v>https://ceds.ed.gov/cedselementdetails.aspx?termid=6109</v>
      </c>
      <c r="P2596" s="6" t="str">
        <f>HYPERLINK("https://ceds.ed.gov/elementComment.aspx?elementName=Assessment Item APIP Modal Feedback XML &amp;elementID=6109", "Click here to submit comment")</f>
        <v>Click here to submit comment</v>
      </c>
    </row>
    <row r="2597" spans="1:16" ht="105">
      <c r="A2597" s="6" t="s">
        <v>6784</v>
      </c>
      <c r="B2597" s="6" t="s">
        <v>6836</v>
      </c>
      <c r="C2597" s="6" t="s">
        <v>6905</v>
      </c>
      <c r="D2597" s="6" t="s">
        <v>610</v>
      </c>
      <c r="E2597" s="6" t="s">
        <v>611</v>
      </c>
      <c r="F2597" s="6" t="s">
        <v>13</v>
      </c>
      <c r="G2597" s="6"/>
      <c r="H2597" s="6"/>
      <c r="I2597" s="6" t="s">
        <v>319</v>
      </c>
      <c r="J2597" s="6"/>
      <c r="K2597" s="6"/>
      <c r="L2597" s="6" t="s">
        <v>612</v>
      </c>
      <c r="M2597" s="6"/>
      <c r="N2597" s="6" t="s">
        <v>613</v>
      </c>
      <c r="O2597" s="6" t="str">
        <f>HYPERLINK("https://ceds.ed.gov/cedselementdetails.aspx?termid=6106")</f>
        <v>https://ceds.ed.gov/cedselementdetails.aspx?termid=6106</v>
      </c>
      <c r="P2597" s="6" t="str">
        <f>HYPERLINK("https://ceds.ed.gov/elementComment.aspx?elementName=Assessment Item APIP Outcome Declaration XML &amp;elementID=6106", "Click here to submit comment")</f>
        <v>Click here to submit comment</v>
      </c>
    </row>
    <row r="2598" spans="1:16" ht="90">
      <c r="A2598" s="6" t="s">
        <v>6784</v>
      </c>
      <c r="B2598" s="6" t="s">
        <v>6836</v>
      </c>
      <c r="C2598" s="6" t="s">
        <v>6905</v>
      </c>
      <c r="D2598" s="6" t="s">
        <v>614</v>
      </c>
      <c r="E2598" s="6" t="s">
        <v>615</v>
      </c>
      <c r="F2598" s="6" t="s">
        <v>13</v>
      </c>
      <c r="G2598" s="6"/>
      <c r="H2598" s="6"/>
      <c r="I2598" s="6" t="s">
        <v>319</v>
      </c>
      <c r="J2598" s="6"/>
      <c r="K2598" s="6"/>
      <c r="L2598" s="6" t="s">
        <v>616</v>
      </c>
      <c r="M2598" s="6"/>
      <c r="N2598" s="6" t="s">
        <v>617</v>
      </c>
      <c r="O2598" s="6" t="str">
        <f>HYPERLINK("https://ceds.ed.gov/cedselementdetails.aspx?termid=6105")</f>
        <v>https://ceds.ed.gov/cedselementdetails.aspx?termid=6105</v>
      </c>
      <c r="P2598" s="6" t="str">
        <f>HYPERLINK("https://ceds.ed.gov/elementComment.aspx?elementName=Assessment Item APIP Response Declaration XML &amp;elementID=6105", "Click here to submit comment")</f>
        <v>Click here to submit comment</v>
      </c>
    </row>
    <row r="2599" spans="1:16" ht="180">
      <c r="A2599" s="6" t="s">
        <v>6784</v>
      </c>
      <c r="B2599" s="6" t="s">
        <v>6836</v>
      </c>
      <c r="C2599" s="6" t="s">
        <v>6905</v>
      </c>
      <c r="D2599" s="6" t="s">
        <v>618</v>
      </c>
      <c r="E2599" s="6" t="s">
        <v>619</v>
      </c>
      <c r="F2599" s="6" t="s">
        <v>13</v>
      </c>
      <c r="G2599" s="6"/>
      <c r="H2599" s="6"/>
      <c r="I2599" s="6" t="s">
        <v>319</v>
      </c>
      <c r="J2599" s="6"/>
      <c r="K2599" s="6"/>
      <c r="L2599" s="6" t="s">
        <v>620</v>
      </c>
      <c r="M2599" s="6"/>
      <c r="N2599" s="6" t="s">
        <v>621</v>
      </c>
      <c r="O2599" s="6" t="str">
        <f>HYPERLINK("https://ceds.ed.gov/cedselementdetails.aspx?termid=6103")</f>
        <v>https://ceds.ed.gov/cedselementdetails.aspx?termid=6103</v>
      </c>
      <c r="P2599" s="6" t="str">
        <f>HYPERLINK("https://ceds.ed.gov/elementComment.aspx?elementName=Assessment Item APIP Response Processing Template URL &amp;elementID=6103", "Click here to submit comment")</f>
        <v>Click here to submit comment</v>
      </c>
    </row>
    <row r="2600" spans="1:16" ht="180">
      <c r="A2600" s="6" t="s">
        <v>6784</v>
      </c>
      <c r="B2600" s="6" t="s">
        <v>6836</v>
      </c>
      <c r="C2600" s="6" t="s">
        <v>6905</v>
      </c>
      <c r="D2600" s="6" t="s">
        <v>622</v>
      </c>
      <c r="E2600" s="6" t="s">
        <v>623</v>
      </c>
      <c r="F2600" s="6" t="s">
        <v>13</v>
      </c>
      <c r="G2600" s="6"/>
      <c r="H2600" s="6"/>
      <c r="I2600" s="6" t="s">
        <v>319</v>
      </c>
      <c r="J2600" s="6"/>
      <c r="K2600" s="6"/>
      <c r="L2600" s="6" t="s">
        <v>624</v>
      </c>
      <c r="M2600" s="6"/>
      <c r="N2600" s="6" t="s">
        <v>625</v>
      </c>
      <c r="O2600" s="6" t="str">
        <f>HYPERLINK("https://ceds.ed.gov/cedselementdetails.aspx?termid=6104")</f>
        <v>https://ceds.ed.gov/cedselementdetails.aspx?termid=6104</v>
      </c>
      <c r="P2600" s="6" t="str">
        <f>HYPERLINK("https://ceds.ed.gov/elementComment.aspx?elementName=Assessment Item APIP Response Processing XML &amp;elementID=6104", "Click here to submit comment")</f>
        <v>Click here to submit comment</v>
      </c>
    </row>
    <row r="2601" spans="1:16" ht="180">
      <c r="A2601" s="6" t="s">
        <v>6784</v>
      </c>
      <c r="B2601" s="6" t="s">
        <v>6836</v>
      </c>
      <c r="C2601" s="6" t="s">
        <v>6905</v>
      </c>
      <c r="D2601" s="6" t="s">
        <v>626</v>
      </c>
      <c r="E2601" s="6" t="s">
        <v>627</v>
      </c>
      <c r="F2601" s="6" t="s">
        <v>13</v>
      </c>
      <c r="G2601" s="6"/>
      <c r="H2601" s="6"/>
      <c r="I2601" s="6" t="s">
        <v>319</v>
      </c>
      <c r="J2601" s="6"/>
      <c r="K2601" s="6"/>
      <c r="L2601" s="6" t="s">
        <v>628</v>
      </c>
      <c r="M2601" s="6"/>
      <c r="N2601" s="6" t="s">
        <v>629</v>
      </c>
      <c r="O2601" s="6" t="str">
        <f>HYPERLINK("https://ceds.ed.gov/cedselementdetails.aspx?termid=6107")</f>
        <v>https://ceds.ed.gov/cedselementdetails.aspx?termid=6107</v>
      </c>
      <c r="P2601" s="6" t="str">
        <f>HYPERLINK("https://ceds.ed.gov/elementComment.aspx?elementName=Assessment Item APIP Template Declaration XML &amp;elementID=6107", "Click here to submit comment")</f>
        <v>Click here to submit comment</v>
      </c>
    </row>
    <row r="2602" spans="1:16" ht="165">
      <c r="A2602" s="6" t="s">
        <v>6784</v>
      </c>
      <c r="B2602" s="6" t="s">
        <v>6836</v>
      </c>
      <c r="C2602" s="6" t="s">
        <v>6905</v>
      </c>
      <c r="D2602" s="6" t="s">
        <v>630</v>
      </c>
      <c r="E2602" s="6" t="s">
        <v>631</v>
      </c>
      <c r="F2602" s="6" t="s">
        <v>13</v>
      </c>
      <c r="G2602" s="6"/>
      <c r="H2602" s="6"/>
      <c r="I2602" s="6" t="s">
        <v>319</v>
      </c>
      <c r="J2602" s="6"/>
      <c r="K2602" s="6"/>
      <c r="L2602" s="6" t="s">
        <v>632</v>
      </c>
      <c r="M2602" s="6"/>
      <c r="N2602" s="6" t="s">
        <v>633</v>
      </c>
      <c r="O2602" s="6" t="str">
        <f>HYPERLINK("https://ceds.ed.gov/cedselementdetails.aspx?termid=6108")</f>
        <v>https://ceds.ed.gov/cedselementdetails.aspx?termid=6108</v>
      </c>
      <c r="P2602" s="6" t="str">
        <f>HYPERLINK("https://ceds.ed.gov/elementComment.aspx?elementName=Assessment Item APIP Template Processing XML &amp;elementID=6108", "Click here to submit comment")</f>
        <v>Click here to submit comment</v>
      </c>
    </row>
    <row r="2603" spans="1:16" ht="60">
      <c r="A2603" s="6" t="s">
        <v>6784</v>
      </c>
      <c r="B2603" s="6" t="s">
        <v>6836</v>
      </c>
      <c r="C2603" s="6" t="s">
        <v>6905</v>
      </c>
      <c r="D2603" s="6" t="s">
        <v>912</v>
      </c>
      <c r="E2603" s="6" t="s">
        <v>913</v>
      </c>
      <c r="F2603" s="6" t="s">
        <v>13</v>
      </c>
      <c r="G2603" s="6"/>
      <c r="H2603" s="6" t="s">
        <v>54</v>
      </c>
      <c r="I2603" s="6" t="s">
        <v>319</v>
      </c>
      <c r="J2603" s="6"/>
      <c r="K2603" s="6" t="s">
        <v>914</v>
      </c>
      <c r="L2603" s="6" t="s">
        <v>915</v>
      </c>
      <c r="M2603" s="6"/>
      <c r="N2603" s="6" t="s">
        <v>916</v>
      </c>
      <c r="O2603" s="6" t="str">
        <f>HYPERLINK("https://ceds.ed.gov/cedselementdetails.aspx?termid=6250")</f>
        <v>https://ceds.ed.gov/cedselementdetails.aspx?termid=6250</v>
      </c>
      <c r="P2603" s="6" t="str">
        <f>HYPERLINK("https://ceds.ed.gov/elementComment.aspx?elementName=Assessment Item Result XML &amp;elementID=6250", "Click here to submit comment")</f>
        <v>Click here to submit comment</v>
      </c>
    </row>
    <row r="2604" spans="1:16" ht="90">
      <c r="A2604" s="6" t="s">
        <v>6784</v>
      </c>
      <c r="B2604" s="6" t="s">
        <v>6836</v>
      </c>
      <c r="C2604" s="6" t="s">
        <v>6906</v>
      </c>
      <c r="D2604" s="6" t="s">
        <v>642</v>
      </c>
      <c r="E2604" s="6" t="s">
        <v>643</v>
      </c>
      <c r="F2604" s="6" t="s">
        <v>13</v>
      </c>
      <c r="G2604" s="6"/>
      <c r="H2604" s="6"/>
      <c r="I2604" s="6" t="s">
        <v>319</v>
      </c>
      <c r="J2604" s="6"/>
      <c r="K2604" s="6"/>
      <c r="L2604" s="6" t="s">
        <v>644</v>
      </c>
      <c r="M2604" s="6"/>
      <c r="N2604" s="6" t="s">
        <v>645</v>
      </c>
      <c r="O2604" s="6" t="str">
        <f>HYPERLINK("https://ceds.ed.gov/cedselementdetails.aspx?termid=6100")</f>
        <v>https://ceds.ed.gov/cedselementdetails.aspx?termid=6100</v>
      </c>
      <c r="P2604" s="6" t="str">
        <f>HYPERLINK("https://ceds.ed.gov/elementComment.aspx?elementName=Assessment Item Body Associate Interaction XML &amp;elementID=6100", "Click here to submit comment")</f>
        <v>Click here to submit comment</v>
      </c>
    </row>
    <row r="2605" spans="1:16" ht="120">
      <c r="A2605" s="6" t="s">
        <v>6784</v>
      </c>
      <c r="B2605" s="6" t="s">
        <v>6836</v>
      </c>
      <c r="C2605" s="6" t="s">
        <v>6906</v>
      </c>
      <c r="D2605" s="6" t="s">
        <v>646</v>
      </c>
      <c r="E2605" s="6" t="s">
        <v>647</v>
      </c>
      <c r="F2605" s="6" t="s">
        <v>13</v>
      </c>
      <c r="G2605" s="6"/>
      <c r="H2605" s="6"/>
      <c r="I2605" s="6" t="s">
        <v>319</v>
      </c>
      <c r="J2605" s="6"/>
      <c r="K2605" s="6"/>
      <c r="L2605" s="6" t="s">
        <v>648</v>
      </c>
      <c r="M2605" s="6"/>
      <c r="N2605" s="6" t="s">
        <v>649</v>
      </c>
      <c r="O2605" s="6" t="str">
        <f>HYPERLINK("https://ceds.ed.gov/cedselementdetails.aspx?termid=6090")</f>
        <v>https://ceds.ed.gov/cedselementdetails.aspx?termid=6090</v>
      </c>
      <c r="P2605" s="6" t="str">
        <f>HYPERLINK("https://ceds.ed.gov/elementComment.aspx?elementName=Assessment Item Body Choice Interaction XML &amp;elementID=6090", "Click here to submit comment")</f>
        <v>Click here to submit comment</v>
      </c>
    </row>
    <row r="2606" spans="1:16" ht="150">
      <c r="A2606" s="6" t="s">
        <v>6784</v>
      </c>
      <c r="B2606" s="6" t="s">
        <v>6836</v>
      </c>
      <c r="C2606" s="6" t="s">
        <v>6906</v>
      </c>
      <c r="D2606" s="6" t="s">
        <v>654</v>
      </c>
      <c r="E2606" s="6" t="s">
        <v>655</v>
      </c>
      <c r="F2606" s="6" t="s">
        <v>13</v>
      </c>
      <c r="G2606" s="6"/>
      <c r="H2606" s="6"/>
      <c r="I2606" s="6" t="s">
        <v>319</v>
      </c>
      <c r="J2606" s="6"/>
      <c r="K2606" s="6"/>
      <c r="L2606" s="6" t="s">
        <v>656</v>
      </c>
      <c r="M2606" s="6"/>
      <c r="N2606" s="6" t="s">
        <v>657</v>
      </c>
      <c r="O2606" s="6" t="str">
        <f>HYPERLINK("https://ceds.ed.gov/cedselementdetails.aspx?termid=6080")</f>
        <v>https://ceds.ed.gov/cedselementdetails.aspx?termid=6080</v>
      </c>
      <c r="P2606" s="6" t="str">
        <f>HYPERLINK("https://ceds.ed.gov/elementComment.aspx?elementName=Assessment Item Body Drawing Interaction XML &amp;elementID=6080", "Click here to submit comment")</f>
        <v>Click here to submit comment</v>
      </c>
    </row>
    <row r="2607" spans="1:16" ht="195">
      <c r="A2607" s="6" t="s">
        <v>6784</v>
      </c>
      <c r="B2607" s="6" t="s">
        <v>6836</v>
      </c>
      <c r="C2607" s="6" t="s">
        <v>6906</v>
      </c>
      <c r="D2607" s="6" t="s">
        <v>658</v>
      </c>
      <c r="E2607" s="6" t="s">
        <v>659</v>
      </c>
      <c r="F2607" s="6" t="s">
        <v>13</v>
      </c>
      <c r="G2607" s="6"/>
      <c r="H2607" s="6"/>
      <c r="I2607" s="6" t="s">
        <v>319</v>
      </c>
      <c r="J2607" s="6"/>
      <c r="K2607" s="6"/>
      <c r="L2607" s="6" t="s">
        <v>660</v>
      </c>
      <c r="M2607" s="6"/>
      <c r="N2607" s="6" t="s">
        <v>661</v>
      </c>
      <c r="O2607" s="6" t="str">
        <f>HYPERLINK("https://ceds.ed.gov/cedselementdetails.aspx?termid=6098")</f>
        <v>https://ceds.ed.gov/cedselementdetails.aspx?termid=6098</v>
      </c>
      <c r="P2607" s="6" t="str">
        <f>HYPERLINK("https://ceds.ed.gov/elementComment.aspx?elementName=Assessment Item Body End Attempt Interaction XML &amp;elementID=6098", "Click here to submit comment")</f>
        <v>Click here to submit comment</v>
      </c>
    </row>
    <row r="2608" spans="1:16" ht="75">
      <c r="A2608" s="6" t="s">
        <v>6784</v>
      </c>
      <c r="B2608" s="6" t="s">
        <v>6836</v>
      </c>
      <c r="C2608" s="6" t="s">
        <v>6906</v>
      </c>
      <c r="D2608" s="6" t="s">
        <v>662</v>
      </c>
      <c r="E2608" s="6" t="s">
        <v>663</v>
      </c>
      <c r="F2608" s="6" t="s">
        <v>13</v>
      </c>
      <c r="G2608" s="6"/>
      <c r="H2608" s="6"/>
      <c r="I2608" s="6" t="s">
        <v>319</v>
      </c>
      <c r="J2608" s="6"/>
      <c r="K2608" s="6"/>
      <c r="L2608" s="6" t="s">
        <v>664</v>
      </c>
      <c r="M2608" s="6"/>
      <c r="N2608" s="6" t="s">
        <v>665</v>
      </c>
      <c r="O2608" s="6" t="str">
        <f>HYPERLINK("https://ceds.ed.gov/cedselementdetails.aspx?termid=6097")</f>
        <v>https://ceds.ed.gov/cedselementdetails.aspx?termid=6097</v>
      </c>
      <c r="P2608" s="6" t="str">
        <f>HYPERLINK("https://ceds.ed.gov/elementComment.aspx?elementName=Assessment Item Body Extended Text Interaction XML &amp;elementID=6097", "Click here to submit comment")</f>
        <v>Click here to submit comment</v>
      </c>
    </row>
    <row r="2609" spans="1:16" ht="120">
      <c r="A2609" s="6" t="s">
        <v>6784</v>
      </c>
      <c r="B2609" s="6" t="s">
        <v>6836</v>
      </c>
      <c r="C2609" s="6" t="s">
        <v>6906</v>
      </c>
      <c r="D2609" s="6" t="s">
        <v>666</v>
      </c>
      <c r="E2609" s="6" t="s">
        <v>667</v>
      </c>
      <c r="F2609" s="6" t="s">
        <v>13</v>
      </c>
      <c r="G2609" s="6"/>
      <c r="H2609" s="6"/>
      <c r="I2609" s="6" t="s">
        <v>319</v>
      </c>
      <c r="J2609" s="6"/>
      <c r="K2609" s="6"/>
      <c r="L2609" s="6" t="s">
        <v>668</v>
      </c>
      <c r="M2609" s="6"/>
      <c r="N2609" s="6" t="s">
        <v>669</v>
      </c>
      <c r="O2609" s="6" t="str">
        <f>HYPERLINK("https://ceds.ed.gov/cedselementdetails.aspx?termid=6081")</f>
        <v>https://ceds.ed.gov/cedselementdetails.aspx?termid=6081</v>
      </c>
      <c r="P2609" s="6" t="str">
        <f>HYPERLINK("https://ceds.ed.gov/elementComment.aspx?elementName=Assessment Item Body Gap Match Interaction XML &amp;elementID=6081", "Click here to submit comment")</f>
        <v>Click here to submit comment</v>
      </c>
    </row>
    <row r="2610" spans="1:16" ht="409.5">
      <c r="A2610" s="6" t="s">
        <v>6784</v>
      </c>
      <c r="B2610" s="6" t="s">
        <v>6836</v>
      </c>
      <c r="C2610" s="6" t="s">
        <v>6906</v>
      </c>
      <c r="D2610" s="6" t="s">
        <v>670</v>
      </c>
      <c r="E2610" s="6" t="s">
        <v>671</v>
      </c>
      <c r="F2610" s="6" t="s">
        <v>13</v>
      </c>
      <c r="G2610" s="6"/>
      <c r="H2610" s="6"/>
      <c r="I2610" s="6" t="s">
        <v>319</v>
      </c>
      <c r="J2610" s="6"/>
      <c r="K2610" s="6"/>
      <c r="L2610" s="6" t="s">
        <v>672</v>
      </c>
      <c r="M2610" s="6"/>
      <c r="N2610" s="6" t="s">
        <v>673</v>
      </c>
      <c r="O2610" s="6" t="str">
        <f>HYPERLINK("https://ceds.ed.gov/cedselementdetails.aspx?termid=6083")</f>
        <v>https://ceds.ed.gov/cedselementdetails.aspx?termid=6083</v>
      </c>
      <c r="P2610" s="6" t="str">
        <f>HYPERLINK("https://ceds.ed.gov/elementComment.aspx?elementName=Assessment Item Body Graphic Gap Match Interaction XML &amp;elementID=6083", "Click here to submit comment")</f>
        <v>Click here to submit comment</v>
      </c>
    </row>
    <row r="2611" spans="1:16" ht="240">
      <c r="A2611" s="6" t="s">
        <v>6784</v>
      </c>
      <c r="B2611" s="6" t="s">
        <v>6836</v>
      </c>
      <c r="C2611" s="6" t="s">
        <v>6906</v>
      </c>
      <c r="D2611" s="6" t="s">
        <v>674</v>
      </c>
      <c r="E2611" s="6" t="s">
        <v>675</v>
      </c>
      <c r="F2611" s="6" t="s">
        <v>13</v>
      </c>
      <c r="G2611" s="6"/>
      <c r="H2611" s="6"/>
      <c r="I2611" s="6" t="s">
        <v>319</v>
      </c>
      <c r="J2611" s="6"/>
      <c r="K2611" s="6"/>
      <c r="L2611" s="6" t="s">
        <v>676</v>
      </c>
      <c r="M2611" s="6"/>
      <c r="N2611" s="6" t="s">
        <v>677</v>
      </c>
      <c r="O2611" s="6" t="str">
        <f>HYPERLINK("https://ceds.ed.gov/cedselementdetails.aspx?termid=6085")</f>
        <v>https://ceds.ed.gov/cedselementdetails.aspx?termid=6085</v>
      </c>
      <c r="P2611" s="6" t="str">
        <f>HYPERLINK("https://ceds.ed.gov/elementComment.aspx?elementName=Assessment Item Body Graphic Order Interaction XML &amp;elementID=6085", "Click here to submit comment")</f>
        <v>Click here to submit comment</v>
      </c>
    </row>
    <row r="2612" spans="1:16" ht="225">
      <c r="A2612" s="6" t="s">
        <v>6784</v>
      </c>
      <c r="B2612" s="6" t="s">
        <v>6836</v>
      </c>
      <c r="C2612" s="6" t="s">
        <v>6906</v>
      </c>
      <c r="D2612" s="6" t="s">
        <v>678</v>
      </c>
      <c r="E2612" s="6" t="s">
        <v>679</v>
      </c>
      <c r="F2612" s="6" t="s">
        <v>13</v>
      </c>
      <c r="G2612" s="6"/>
      <c r="H2612" s="6"/>
      <c r="I2612" s="6" t="s">
        <v>319</v>
      </c>
      <c r="J2612" s="6"/>
      <c r="K2612" s="6"/>
      <c r="L2612" s="6" t="s">
        <v>680</v>
      </c>
      <c r="M2612" s="6"/>
      <c r="N2612" s="6" t="s">
        <v>681</v>
      </c>
      <c r="O2612" s="6" t="str">
        <f>HYPERLINK("https://ceds.ed.gov/cedselementdetails.aspx?termid=6084")</f>
        <v>https://ceds.ed.gov/cedselementdetails.aspx?termid=6084</v>
      </c>
      <c r="P2612" s="6" t="str">
        <f>HYPERLINK("https://ceds.ed.gov/elementComment.aspx?elementName=Assessment Item Body Hot Spot Interaction XML &amp;elementID=6084", "Click here to submit comment")</f>
        <v>Click here to submit comment</v>
      </c>
    </row>
    <row r="2613" spans="1:16" ht="225">
      <c r="A2613" s="6" t="s">
        <v>6784</v>
      </c>
      <c r="B2613" s="6" t="s">
        <v>6836</v>
      </c>
      <c r="C2613" s="6" t="s">
        <v>6906</v>
      </c>
      <c r="D2613" s="6" t="s">
        <v>682</v>
      </c>
      <c r="E2613" s="6" t="s">
        <v>683</v>
      </c>
      <c r="F2613" s="6" t="s">
        <v>13</v>
      </c>
      <c r="G2613" s="6"/>
      <c r="H2613" s="6"/>
      <c r="I2613" s="6" t="s">
        <v>319</v>
      </c>
      <c r="J2613" s="6"/>
      <c r="K2613" s="6"/>
      <c r="L2613" s="6" t="s">
        <v>684</v>
      </c>
      <c r="M2613" s="6"/>
      <c r="N2613" s="6" t="s">
        <v>685</v>
      </c>
      <c r="O2613" s="6" t="str">
        <f>HYPERLINK("https://ceds.ed.gov/cedselementdetails.aspx?termid=6093")</f>
        <v>https://ceds.ed.gov/cedselementdetails.aspx?termid=6093</v>
      </c>
      <c r="P2613" s="6" t="str">
        <f>HYPERLINK("https://ceds.ed.gov/elementComment.aspx?elementName=Assessment Item Body Hottext Interaction XML &amp;elementID=6093", "Click here to submit comment")</f>
        <v>Click here to submit comment</v>
      </c>
    </row>
    <row r="2614" spans="1:16" ht="135">
      <c r="A2614" s="6" t="s">
        <v>6784</v>
      </c>
      <c r="B2614" s="6" t="s">
        <v>6836</v>
      </c>
      <c r="C2614" s="6" t="s">
        <v>6906</v>
      </c>
      <c r="D2614" s="6" t="s">
        <v>686</v>
      </c>
      <c r="E2614" s="6" t="s">
        <v>687</v>
      </c>
      <c r="F2614" s="6" t="s">
        <v>13</v>
      </c>
      <c r="G2614" s="6"/>
      <c r="H2614" s="6"/>
      <c r="I2614" s="6" t="s">
        <v>319</v>
      </c>
      <c r="J2614" s="6"/>
      <c r="K2614" s="6"/>
      <c r="L2614" s="6" t="s">
        <v>688</v>
      </c>
      <c r="M2614" s="6"/>
      <c r="N2614" s="6" t="s">
        <v>689</v>
      </c>
      <c r="O2614" s="6" t="str">
        <f>HYPERLINK("https://ceds.ed.gov/cedselementdetails.aspx?termid=6091")</f>
        <v>https://ceds.ed.gov/cedselementdetails.aspx?termid=6091</v>
      </c>
      <c r="P2614" s="6" t="str">
        <f>HYPERLINK("https://ceds.ed.gov/elementComment.aspx?elementName=Assessment Item Body Inline Choice Interaction XML &amp;elementID=6091", "Click here to submit comment")</f>
        <v>Click here to submit comment</v>
      </c>
    </row>
    <row r="2615" spans="1:16" ht="165">
      <c r="A2615" s="6" t="s">
        <v>6784</v>
      </c>
      <c r="B2615" s="6" t="s">
        <v>6836</v>
      </c>
      <c r="C2615" s="6" t="s">
        <v>6906</v>
      </c>
      <c r="D2615" s="6" t="s">
        <v>690</v>
      </c>
      <c r="E2615" s="6" t="s">
        <v>691</v>
      </c>
      <c r="F2615" s="6" t="s">
        <v>13</v>
      </c>
      <c r="G2615" s="6"/>
      <c r="H2615" s="6"/>
      <c r="I2615" s="6" t="s">
        <v>319</v>
      </c>
      <c r="J2615" s="6"/>
      <c r="K2615" s="6"/>
      <c r="L2615" s="6" t="s">
        <v>692</v>
      </c>
      <c r="M2615" s="6"/>
      <c r="N2615" s="6" t="s">
        <v>693</v>
      </c>
      <c r="O2615" s="6" t="str">
        <f>HYPERLINK("https://ceds.ed.gov/cedselementdetails.aspx?termid=6082")</f>
        <v>https://ceds.ed.gov/cedselementdetails.aspx?termid=6082</v>
      </c>
      <c r="P2615" s="6" t="str">
        <f>HYPERLINK("https://ceds.ed.gov/elementComment.aspx?elementName=Assessment Item Body Match Interaction XML &amp;elementID=6082", "Click here to submit comment")</f>
        <v>Click here to submit comment</v>
      </c>
    </row>
    <row r="2616" spans="1:16" ht="165">
      <c r="A2616" s="6" t="s">
        <v>6784</v>
      </c>
      <c r="B2616" s="6" t="s">
        <v>6836</v>
      </c>
      <c r="C2616" s="6" t="s">
        <v>6906</v>
      </c>
      <c r="D2616" s="6" t="s">
        <v>694</v>
      </c>
      <c r="E2616" s="6" t="s">
        <v>695</v>
      </c>
      <c r="F2616" s="6" t="s">
        <v>13</v>
      </c>
      <c r="G2616" s="6"/>
      <c r="H2616" s="6"/>
      <c r="I2616" s="6" t="s">
        <v>319</v>
      </c>
      <c r="J2616" s="6"/>
      <c r="K2616" s="6"/>
      <c r="L2616" s="6" t="s">
        <v>696</v>
      </c>
      <c r="M2616" s="6"/>
      <c r="N2616" s="6" t="s">
        <v>697</v>
      </c>
      <c r="O2616" s="6" t="str">
        <f>HYPERLINK("https://ceds.ed.gov/cedselementdetails.aspx?termid=6092")</f>
        <v>https://ceds.ed.gov/cedselementdetails.aspx?termid=6092</v>
      </c>
      <c r="P2616" s="6" t="str">
        <f>HYPERLINK("https://ceds.ed.gov/elementComment.aspx?elementName=Assessment Item Body Media Interaction XML &amp;elementID=6092", "Click here to submit comment")</f>
        <v>Click here to submit comment</v>
      </c>
    </row>
    <row r="2617" spans="1:16" ht="195">
      <c r="A2617" s="6" t="s">
        <v>6784</v>
      </c>
      <c r="B2617" s="6" t="s">
        <v>6836</v>
      </c>
      <c r="C2617" s="6" t="s">
        <v>6906</v>
      </c>
      <c r="D2617" s="6" t="s">
        <v>698</v>
      </c>
      <c r="E2617" s="6" t="s">
        <v>699</v>
      </c>
      <c r="F2617" s="6" t="s">
        <v>13</v>
      </c>
      <c r="G2617" s="6"/>
      <c r="H2617" s="6"/>
      <c r="I2617" s="6" t="s">
        <v>319</v>
      </c>
      <c r="J2617" s="6"/>
      <c r="K2617" s="6"/>
      <c r="L2617" s="6" t="s">
        <v>700</v>
      </c>
      <c r="M2617" s="6"/>
      <c r="N2617" s="6" t="s">
        <v>701</v>
      </c>
      <c r="O2617" s="6" t="str">
        <f>HYPERLINK("https://ceds.ed.gov/cedselementdetails.aspx?termid=6094")</f>
        <v>https://ceds.ed.gov/cedselementdetails.aspx?termid=6094</v>
      </c>
      <c r="P2617" s="6" t="str">
        <f>HYPERLINK("https://ceds.ed.gov/elementComment.aspx?elementName=Assessment Item Body Order Interaction XML &amp;elementID=6094", "Click here to submit comment")</f>
        <v>Click here to submit comment</v>
      </c>
    </row>
    <row r="2618" spans="1:16" ht="210">
      <c r="A2618" s="6" t="s">
        <v>6784</v>
      </c>
      <c r="B2618" s="6" t="s">
        <v>6836</v>
      </c>
      <c r="C2618" s="6" t="s">
        <v>6906</v>
      </c>
      <c r="D2618" s="6" t="s">
        <v>702</v>
      </c>
      <c r="E2618" s="6" t="s">
        <v>703</v>
      </c>
      <c r="F2618" s="6" t="s">
        <v>13</v>
      </c>
      <c r="G2618" s="6"/>
      <c r="H2618" s="6"/>
      <c r="I2618" s="6" t="s">
        <v>319</v>
      </c>
      <c r="J2618" s="6"/>
      <c r="K2618" s="6"/>
      <c r="L2618" s="6" t="s">
        <v>704</v>
      </c>
      <c r="M2618" s="6"/>
      <c r="N2618" s="6" t="s">
        <v>705</v>
      </c>
      <c r="O2618" s="6" t="str">
        <f>HYPERLINK("https://ceds.ed.gov/cedselementdetails.aspx?termid=6095")</f>
        <v>https://ceds.ed.gov/cedselementdetails.aspx?termid=6095</v>
      </c>
      <c r="P2618" s="6" t="str">
        <f>HYPERLINK("https://ceds.ed.gov/elementComment.aspx?elementName=Assessment Item Body Position Object Interaction XML &amp;elementID=6095", "Click here to submit comment")</f>
        <v>Click here to submit comment</v>
      </c>
    </row>
    <row r="2619" spans="1:16" ht="240">
      <c r="A2619" s="6" t="s">
        <v>6784</v>
      </c>
      <c r="B2619" s="6" t="s">
        <v>6836</v>
      </c>
      <c r="C2619" s="6" t="s">
        <v>6906</v>
      </c>
      <c r="D2619" s="6" t="s">
        <v>706</v>
      </c>
      <c r="E2619" s="6" t="s">
        <v>707</v>
      </c>
      <c r="F2619" s="6" t="s">
        <v>13</v>
      </c>
      <c r="G2619" s="6"/>
      <c r="H2619" s="6"/>
      <c r="I2619" s="6" t="s">
        <v>319</v>
      </c>
      <c r="J2619" s="6"/>
      <c r="K2619" s="6"/>
      <c r="L2619" s="6" t="s">
        <v>708</v>
      </c>
      <c r="M2619" s="6"/>
      <c r="N2619" s="6" t="s">
        <v>709</v>
      </c>
      <c r="O2619" s="6" t="str">
        <f>HYPERLINK("https://ceds.ed.gov/cedselementdetails.aspx?termid=6088")</f>
        <v>https://ceds.ed.gov/cedselementdetails.aspx?termid=6088</v>
      </c>
      <c r="P2619" s="6" t="str">
        <f>HYPERLINK("https://ceds.ed.gov/elementComment.aspx?elementName=Assessment Item Body Select Point Interaction &amp;elementID=6088", "Click here to submit comment")</f>
        <v>Click here to submit comment</v>
      </c>
    </row>
    <row r="2620" spans="1:16" ht="195">
      <c r="A2620" s="6" t="s">
        <v>6784</v>
      </c>
      <c r="B2620" s="6" t="s">
        <v>6836</v>
      </c>
      <c r="C2620" s="6" t="s">
        <v>6906</v>
      </c>
      <c r="D2620" s="6" t="s">
        <v>710</v>
      </c>
      <c r="E2620" s="6" t="s">
        <v>711</v>
      </c>
      <c r="F2620" s="6" t="s">
        <v>13</v>
      </c>
      <c r="G2620" s="6"/>
      <c r="H2620" s="6"/>
      <c r="I2620" s="6" t="s">
        <v>319</v>
      </c>
      <c r="J2620" s="6"/>
      <c r="K2620" s="6"/>
      <c r="L2620" s="6" t="s">
        <v>712</v>
      </c>
      <c r="M2620" s="6"/>
      <c r="N2620" s="6" t="s">
        <v>713</v>
      </c>
      <c r="O2620" s="6" t="str">
        <f>HYPERLINK("https://ceds.ed.gov/cedselementdetails.aspx?termid=6087")</f>
        <v>https://ceds.ed.gov/cedselementdetails.aspx?termid=6087</v>
      </c>
      <c r="P2620" s="6" t="str">
        <f>HYPERLINK("https://ceds.ed.gov/elementComment.aspx?elementName=Assessment Item Body Select Point Interaction XML &amp;elementID=6087", "Click here to submit comment")</f>
        <v>Click here to submit comment</v>
      </c>
    </row>
    <row r="2621" spans="1:16" ht="135">
      <c r="A2621" s="6" t="s">
        <v>6784</v>
      </c>
      <c r="B2621" s="6" t="s">
        <v>6836</v>
      </c>
      <c r="C2621" s="6" t="s">
        <v>6906</v>
      </c>
      <c r="D2621" s="6" t="s">
        <v>714</v>
      </c>
      <c r="E2621" s="6" t="s">
        <v>715</v>
      </c>
      <c r="F2621" s="6" t="s">
        <v>13</v>
      </c>
      <c r="G2621" s="6"/>
      <c r="H2621" s="6"/>
      <c r="I2621" s="6" t="s">
        <v>319</v>
      </c>
      <c r="J2621" s="6"/>
      <c r="K2621" s="6"/>
      <c r="L2621" s="6" t="s">
        <v>716</v>
      </c>
      <c r="M2621" s="6"/>
      <c r="N2621" s="6" t="s">
        <v>717</v>
      </c>
      <c r="O2621" s="6" t="str">
        <f>HYPERLINK("https://ceds.ed.gov/cedselementdetails.aspx?termid=6089")</f>
        <v>https://ceds.ed.gov/cedselementdetails.aspx?termid=6089</v>
      </c>
      <c r="P2621" s="6" t="str">
        <f>HYPERLINK("https://ceds.ed.gov/elementComment.aspx?elementName=Assessment Item Body Slider Interaction XML &amp;elementID=6089", "Click here to submit comment")</f>
        <v>Click here to submit comment</v>
      </c>
    </row>
    <row r="2622" spans="1:16" ht="135">
      <c r="A2622" s="6" t="s">
        <v>6784</v>
      </c>
      <c r="B2622" s="6" t="s">
        <v>6836</v>
      </c>
      <c r="C2622" s="6" t="s">
        <v>6906</v>
      </c>
      <c r="D2622" s="6" t="s">
        <v>722</v>
      </c>
      <c r="E2622" s="6" t="s">
        <v>723</v>
      </c>
      <c r="F2622" s="6" t="s">
        <v>13</v>
      </c>
      <c r="G2622" s="6"/>
      <c r="H2622" s="6"/>
      <c r="I2622" s="6" t="s">
        <v>319</v>
      </c>
      <c r="J2622" s="6"/>
      <c r="K2622" s="6"/>
      <c r="L2622" s="6" t="s">
        <v>724</v>
      </c>
      <c r="M2622" s="6"/>
      <c r="N2622" s="6" t="s">
        <v>725</v>
      </c>
      <c r="O2622" s="6" t="str">
        <f>HYPERLINK("https://ceds.ed.gov/cedselementdetails.aspx?termid=6096")</f>
        <v>https://ceds.ed.gov/cedselementdetails.aspx?termid=6096</v>
      </c>
      <c r="P2622" s="6" t="str">
        <f>HYPERLINK("https://ceds.ed.gov/elementComment.aspx?elementName=Assessment Item Body Text Entry Interaction XML &amp;elementID=6096", "Click here to submit comment")</f>
        <v>Click here to submit comment</v>
      </c>
    </row>
    <row r="2623" spans="1:16" ht="105">
      <c r="A2623" s="6" t="s">
        <v>6784</v>
      </c>
      <c r="B2623" s="6" t="s">
        <v>6836</v>
      </c>
      <c r="C2623" s="6" t="s">
        <v>6906</v>
      </c>
      <c r="D2623" s="6" t="s">
        <v>726</v>
      </c>
      <c r="E2623" s="6" t="s">
        <v>727</v>
      </c>
      <c r="F2623" s="6" t="s">
        <v>13</v>
      </c>
      <c r="G2623" s="6"/>
      <c r="H2623" s="6"/>
      <c r="I2623" s="6" t="s">
        <v>319</v>
      </c>
      <c r="J2623" s="6"/>
      <c r="K2623" s="6"/>
      <c r="L2623" s="6" t="s">
        <v>728</v>
      </c>
      <c r="M2623" s="6"/>
      <c r="N2623" s="6" t="s">
        <v>729</v>
      </c>
      <c r="O2623" s="6" t="str">
        <f>HYPERLINK("https://ceds.ed.gov/cedselementdetails.aspx?termid=6099")</f>
        <v>https://ceds.ed.gov/cedselementdetails.aspx?termid=6099</v>
      </c>
      <c r="P2623" s="6" t="str">
        <f>HYPERLINK("https://ceds.ed.gov/elementComment.aspx?elementName=Assessment Item Body Upload Interaction XML &amp;elementID=6099", "Click here to submit comment")</f>
        <v>Click here to submit comment</v>
      </c>
    </row>
    <row r="2624" spans="1:16" ht="409.5">
      <c r="A2624" s="6" t="s">
        <v>6784</v>
      </c>
      <c r="B2624" s="6" t="s">
        <v>6836</v>
      </c>
      <c r="C2624" s="6" t="s">
        <v>6906</v>
      </c>
      <c r="D2624" s="6" t="s">
        <v>752</v>
      </c>
      <c r="E2624" s="6" t="s">
        <v>753</v>
      </c>
      <c r="F2624" s="7" t="s">
        <v>6384</v>
      </c>
      <c r="G2624" s="6"/>
      <c r="H2624" s="6"/>
      <c r="I2624" s="6"/>
      <c r="J2624" s="6"/>
      <c r="K2624" s="6"/>
      <c r="L2624" s="6" t="s">
        <v>754</v>
      </c>
      <c r="M2624" s="6"/>
      <c r="N2624" s="6" t="s">
        <v>755</v>
      </c>
      <c r="O2624" s="6" t="str">
        <f>HYPERLINK("https://ceds.ed.gov/cedselementdetails.aspx?termid=6117")</f>
        <v>https://ceds.ed.gov/cedselementdetails.aspx?termid=6117</v>
      </c>
      <c r="P2624" s="6" t="str">
        <f>HYPERLINK("https://ceds.ed.gov/elementComment.aspx?elementName=Assessment Item Interaction Type &amp;elementID=6117", "Click here to submit comment")</f>
        <v>Click here to submit comment</v>
      </c>
    </row>
    <row r="2625" spans="1:16" ht="45">
      <c r="A2625" s="6" t="s">
        <v>6784</v>
      </c>
      <c r="B2625" s="6" t="s">
        <v>6844</v>
      </c>
      <c r="C2625" s="6"/>
      <c r="D2625" s="6" t="s">
        <v>457</v>
      </c>
      <c r="E2625" s="6" t="s">
        <v>458</v>
      </c>
      <c r="F2625" s="6" t="s">
        <v>13</v>
      </c>
      <c r="G2625" s="6"/>
      <c r="H2625" s="6"/>
      <c r="I2625" s="6" t="s">
        <v>100</v>
      </c>
      <c r="J2625" s="6"/>
      <c r="K2625" s="6"/>
      <c r="L2625" s="6" t="s">
        <v>459</v>
      </c>
      <c r="M2625" s="6"/>
      <c r="N2625" s="6" t="s">
        <v>460</v>
      </c>
      <c r="O2625" s="6" t="str">
        <f>HYPERLINK("https://ceds.ed.gov/cedselementdetails.aspx?termid=6149")</f>
        <v>https://ceds.ed.gov/cedselementdetails.aspx?termid=6149</v>
      </c>
      <c r="P2625" s="6" t="str">
        <f>HYPERLINK("https://ceds.ed.gov/elementComment.aspx?elementName=Assessment Asset Identifier &amp;elementID=6149", "Click here to submit comment")</f>
        <v>Click here to submit comment</v>
      </c>
    </row>
    <row r="2626" spans="1:16" ht="135">
      <c r="A2626" s="6" t="s">
        <v>6784</v>
      </c>
      <c r="B2626" s="6" t="s">
        <v>6844</v>
      </c>
      <c r="C2626" s="6"/>
      <c r="D2626" s="6" t="s">
        <v>461</v>
      </c>
      <c r="E2626" s="6" t="s">
        <v>462</v>
      </c>
      <c r="F2626" s="7" t="s">
        <v>6378</v>
      </c>
      <c r="G2626" s="6"/>
      <c r="H2626" s="6"/>
      <c r="I2626" s="6"/>
      <c r="J2626" s="6"/>
      <c r="K2626" s="6"/>
      <c r="L2626" s="6" t="s">
        <v>463</v>
      </c>
      <c r="M2626" s="6"/>
      <c r="N2626" s="6" t="s">
        <v>464</v>
      </c>
      <c r="O2626" s="6" t="str">
        <f>HYPERLINK("https://ceds.ed.gov/cedselementdetails.aspx?termid=6150")</f>
        <v>https://ceds.ed.gov/cedselementdetails.aspx?termid=6150</v>
      </c>
      <c r="P2626" s="6" t="str">
        <f>HYPERLINK("https://ceds.ed.gov/elementComment.aspx?elementName=Assessment Asset Identifier Type &amp;elementID=6150", "Click here to submit comment")</f>
        <v>Click here to submit comment</v>
      </c>
    </row>
    <row r="2627" spans="1:16" ht="30">
      <c r="A2627" s="6" t="s">
        <v>6784</v>
      </c>
      <c r="B2627" s="6" t="s">
        <v>6844</v>
      </c>
      <c r="C2627" s="6"/>
      <c r="D2627" s="6" t="s">
        <v>465</v>
      </c>
      <c r="E2627" s="6" t="s">
        <v>466</v>
      </c>
      <c r="F2627" s="6" t="s">
        <v>13</v>
      </c>
      <c r="G2627" s="6"/>
      <c r="H2627" s="6"/>
      <c r="I2627" s="6" t="s">
        <v>106</v>
      </c>
      <c r="J2627" s="6"/>
      <c r="K2627" s="6"/>
      <c r="L2627" s="6" t="s">
        <v>467</v>
      </c>
      <c r="M2627" s="6"/>
      <c r="N2627" s="6" t="s">
        <v>468</v>
      </c>
      <c r="O2627" s="6" t="str">
        <f>HYPERLINK("https://ceds.ed.gov/cedselementdetails.aspx?termid=6151")</f>
        <v>https://ceds.ed.gov/cedselementdetails.aspx?termid=6151</v>
      </c>
      <c r="P2627" s="6" t="str">
        <f>HYPERLINK("https://ceds.ed.gov/elementComment.aspx?elementName=Assessment Asset Name &amp;elementID=6151", "Click here to submit comment")</f>
        <v>Click here to submit comment</v>
      </c>
    </row>
    <row r="2628" spans="1:16" ht="30">
      <c r="A2628" s="6" t="s">
        <v>6784</v>
      </c>
      <c r="B2628" s="6" t="s">
        <v>6844</v>
      </c>
      <c r="C2628" s="6"/>
      <c r="D2628" s="6" t="s">
        <v>469</v>
      </c>
      <c r="E2628" s="6" t="s">
        <v>470</v>
      </c>
      <c r="F2628" s="6" t="s">
        <v>13</v>
      </c>
      <c r="G2628" s="6"/>
      <c r="H2628" s="6"/>
      <c r="I2628" s="6" t="s">
        <v>106</v>
      </c>
      <c r="J2628" s="6"/>
      <c r="K2628" s="6"/>
      <c r="L2628" s="6" t="s">
        <v>471</v>
      </c>
      <c r="M2628" s="6"/>
      <c r="N2628" s="6" t="s">
        <v>472</v>
      </c>
      <c r="O2628" s="6" t="str">
        <f>HYPERLINK("https://ceds.ed.gov/cedselementdetails.aspx?termid=6152")</f>
        <v>https://ceds.ed.gov/cedselementdetails.aspx?termid=6152</v>
      </c>
      <c r="P2628" s="6" t="str">
        <f>HYPERLINK("https://ceds.ed.gov/elementComment.aspx?elementName=Assessment Asset Owner &amp;elementID=6152", "Click here to submit comment")</f>
        <v>Click here to submit comment</v>
      </c>
    </row>
    <row r="2629" spans="1:16" ht="409.5">
      <c r="A2629" s="6" t="s">
        <v>6784</v>
      </c>
      <c r="B2629" s="6" t="s">
        <v>6844</v>
      </c>
      <c r="C2629" s="6"/>
      <c r="D2629" s="6" t="s">
        <v>477</v>
      </c>
      <c r="E2629" s="6" t="s">
        <v>478</v>
      </c>
      <c r="F2629" s="7" t="s">
        <v>6379</v>
      </c>
      <c r="G2629" s="6"/>
      <c r="H2629" s="6"/>
      <c r="I2629" s="6"/>
      <c r="J2629" s="6"/>
      <c r="K2629" s="6" t="s">
        <v>479</v>
      </c>
      <c r="L2629" s="6" t="s">
        <v>480</v>
      </c>
      <c r="M2629" s="6"/>
      <c r="N2629" s="6" t="s">
        <v>481</v>
      </c>
      <c r="O2629" s="6" t="str">
        <f>HYPERLINK("https://ceds.ed.gov/cedselementdetails.aspx?termid=6147")</f>
        <v>https://ceds.ed.gov/cedselementdetails.aspx?termid=6147</v>
      </c>
      <c r="P2629" s="6" t="str">
        <f>HYPERLINK("https://ceds.ed.gov/elementComment.aspx?elementName=Assessment Asset Type &amp;elementID=6147", "Click here to submit comment")</f>
        <v>Click here to submit comment</v>
      </c>
    </row>
    <row r="2630" spans="1:16" ht="30">
      <c r="A2630" s="6" t="s">
        <v>6784</v>
      </c>
      <c r="B2630" s="6" t="s">
        <v>6844</v>
      </c>
      <c r="C2630" s="6"/>
      <c r="D2630" s="6" t="s">
        <v>473</v>
      </c>
      <c r="E2630" s="6" t="s">
        <v>474</v>
      </c>
      <c r="F2630" s="6" t="s">
        <v>13</v>
      </c>
      <c r="G2630" s="6"/>
      <c r="H2630" s="6"/>
      <c r="I2630" s="6" t="s">
        <v>73</v>
      </c>
      <c r="J2630" s="6"/>
      <c r="K2630" s="6"/>
      <c r="L2630" s="6" t="s">
        <v>475</v>
      </c>
      <c r="M2630" s="6"/>
      <c r="N2630" s="6" t="s">
        <v>476</v>
      </c>
      <c r="O2630" s="6" t="str">
        <f>HYPERLINK("https://ceds.ed.gov/cedselementdetails.aspx?termid=6148")</f>
        <v>https://ceds.ed.gov/cedselementdetails.aspx?termid=6148</v>
      </c>
      <c r="P2630" s="6" t="str">
        <f>HYPERLINK("https://ceds.ed.gov/elementComment.aspx?elementName=Assessment Asset Published Date &amp;elementID=6148", "Click here to submit comment")</f>
        <v>Click here to submit comment</v>
      </c>
    </row>
    <row r="2631" spans="1:16" ht="150">
      <c r="A2631" s="6" t="s">
        <v>6784</v>
      </c>
      <c r="B2631" s="6" t="s">
        <v>6844</v>
      </c>
      <c r="C2631" s="6"/>
      <c r="D2631" s="6" t="s">
        <v>482</v>
      </c>
      <c r="E2631" s="6" t="s">
        <v>483</v>
      </c>
      <c r="F2631" s="6" t="s">
        <v>13</v>
      </c>
      <c r="G2631" s="6"/>
      <c r="H2631" s="6"/>
      <c r="I2631" s="6" t="s">
        <v>100</v>
      </c>
      <c r="J2631" s="6"/>
      <c r="K2631" s="6" t="s">
        <v>484</v>
      </c>
      <c r="L2631" s="6" t="s">
        <v>485</v>
      </c>
      <c r="M2631" s="6"/>
      <c r="N2631" s="6" t="s">
        <v>486</v>
      </c>
      <c r="O2631" s="6" t="str">
        <f>HYPERLINK("https://ceds.ed.gov/cedselementdetails.aspx?termid=6146")</f>
        <v>https://ceds.ed.gov/cedselementdetails.aspx?termid=6146</v>
      </c>
      <c r="P2631" s="6" t="str">
        <f>HYPERLINK("https://ceds.ed.gov/elementComment.aspx?elementName=Assessment Asset Version &amp;elementID=6146", "Click here to submit comment")</f>
        <v>Click here to submit comment</v>
      </c>
    </row>
    <row r="2632" spans="1:16" ht="30">
      <c r="A2632" s="6" t="s">
        <v>6784</v>
      </c>
      <c r="B2632" s="6" t="s">
        <v>6844</v>
      </c>
      <c r="C2632" s="6"/>
      <c r="D2632" s="6" t="s">
        <v>453</v>
      </c>
      <c r="E2632" s="6" t="s">
        <v>454</v>
      </c>
      <c r="F2632" s="6" t="s">
        <v>13</v>
      </c>
      <c r="G2632" s="6"/>
      <c r="H2632" s="6"/>
      <c r="I2632" s="6" t="s">
        <v>319</v>
      </c>
      <c r="J2632" s="6"/>
      <c r="K2632" s="6"/>
      <c r="L2632" s="6" t="s">
        <v>455</v>
      </c>
      <c r="M2632" s="6"/>
      <c r="N2632" s="6" t="s">
        <v>456</v>
      </c>
      <c r="O2632" s="6" t="str">
        <f>HYPERLINK("https://ceds.ed.gov/cedselementdetails.aspx?termid=6153")</f>
        <v>https://ceds.ed.gov/cedselementdetails.aspx?termid=6153</v>
      </c>
      <c r="P2632" s="6" t="str">
        <f>HYPERLINK("https://ceds.ed.gov/elementComment.aspx?elementName=Assessment Asset Content XML &amp;elementID=6153", "Click here to submit comment")</f>
        <v>Click here to submit comment</v>
      </c>
    </row>
    <row r="2633" spans="1:16" ht="45">
      <c r="A2633" s="6" t="s">
        <v>6784</v>
      </c>
      <c r="B2633" s="6" t="s">
        <v>6844</v>
      </c>
      <c r="C2633" s="6"/>
      <c r="D2633" s="6" t="s">
        <v>445</v>
      </c>
      <c r="E2633" s="6" t="s">
        <v>446</v>
      </c>
      <c r="F2633" s="6" t="s">
        <v>13</v>
      </c>
      <c r="G2633" s="6"/>
      <c r="H2633" s="6"/>
      <c r="I2633" s="6" t="s">
        <v>319</v>
      </c>
      <c r="J2633" s="6"/>
      <c r="K2633" s="6"/>
      <c r="L2633" s="6" t="s">
        <v>447</v>
      </c>
      <c r="M2633" s="6"/>
      <c r="N2633" s="6" t="s">
        <v>448</v>
      </c>
      <c r="O2633" s="6" t="str">
        <f>HYPERLINK("https://ceds.ed.gov/cedselementdetails.aspx?termid=6154")</f>
        <v>https://ceds.ed.gov/cedselementdetails.aspx?termid=6154</v>
      </c>
      <c r="P2633" s="6" t="str">
        <f>HYPERLINK("https://ceds.ed.gov/elementComment.aspx?elementName=Assessment Asset Content Mime Type &amp;elementID=6154", "Click here to submit comment")</f>
        <v>Click here to submit comment</v>
      </c>
    </row>
    <row r="2634" spans="1:16" ht="45">
      <c r="A2634" s="6" t="s">
        <v>6784</v>
      </c>
      <c r="B2634" s="6" t="s">
        <v>6844</v>
      </c>
      <c r="C2634" s="6"/>
      <c r="D2634" s="6" t="s">
        <v>449</v>
      </c>
      <c r="E2634" s="6" t="s">
        <v>450</v>
      </c>
      <c r="F2634" s="6" t="s">
        <v>13</v>
      </c>
      <c r="G2634" s="6"/>
      <c r="H2634" s="6"/>
      <c r="I2634" s="6" t="s">
        <v>93</v>
      </c>
      <c r="J2634" s="6"/>
      <c r="K2634" s="6"/>
      <c r="L2634" s="6" t="s">
        <v>451</v>
      </c>
      <c r="M2634" s="6"/>
      <c r="N2634" s="6" t="s">
        <v>452</v>
      </c>
      <c r="O2634" s="6" t="str">
        <f>HYPERLINK("https://ceds.ed.gov/cedselementdetails.aspx?termid=6155")</f>
        <v>https://ceds.ed.gov/cedselementdetails.aspx?termid=6155</v>
      </c>
      <c r="P2634" s="6" t="str">
        <f>HYPERLINK("https://ceds.ed.gov/elementComment.aspx?elementName=Assessment Asset Content URL &amp;elementID=6155", "Click here to submit comment")</f>
        <v>Click here to submit comment</v>
      </c>
    </row>
    <row r="2635" spans="1:16" ht="90">
      <c r="A2635" s="6" t="s">
        <v>6784</v>
      </c>
      <c r="B2635" s="6" t="s">
        <v>6844</v>
      </c>
      <c r="C2635" s="6"/>
      <c r="D2635" s="6" t="s">
        <v>3406</v>
      </c>
      <c r="E2635" s="6" t="s">
        <v>3407</v>
      </c>
      <c r="F2635" s="5" t="s">
        <v>939</v>
      </c>
      <c r="G2635" s="6" t="s">
        <v>6214</v>
      </c>
      <c r="H2635" s="6" t="s">
        <v>66</v>
      </c>
      <c r="I2635" s="6"/>
      <c r="J2635" s="6" t="s">
        <v>2645</v>
      </c>
      <c r="K2635" s="6" t="s">
        <v>3408</v>
      </c>
      <c r="L2635" s="6" t="s">
        <v>3409</v>
      </c>
      <c r="M2635" s="6"/>
      <c r="N2635" s="6" t="s">
        <v>3410</v>
      </c>
      <c r="O2635" s="6" t="str">
        <f>HYPERLINK("https://ceds.ed.gov/cedselementdetails.aspx?termid=5317")</f>
        <v>https://ceds.ed.gov/cedselementdetails.aspx?termid=5317</v>
      </c>
      <c r="P2635" s="6" t="str">
        <f>HYPERLINK("https://ceds.ed.gov/elementComment.aspx?elementName=Language Code &amp;elementID=5317", "Click here to submit comment")</f>
        <v>Click here to submit comment</v>
      </c>
    </row>
    <row r="2636" spans="1:16" ht="45">
      <c r="A2636" s="6" t="s">
        <v>6784</v>
      </c>
      <c r="B2636" s="6" t="s">
        <v>6845</v>
      </c>
      <c r="C2636" s="6"/>
      <c r="D2636" s="6" t="s">
        <v>1302</v>
      </c>
      <c r="E2636" s="6" t="s">
        <v>1303</v>
      </c>
      <c r="F2636" s="6" t="s">
        <v>13</v>
      </c>
      <c r="G2636" s="6" t="s">
        <v>6064</v>
      </c>
      <c r="H2636" s="6"/>
      <c r="I2636" s="6" t="s">
        <v>100</v>
      </c>
      <c r="J2636" s="6"/>
      <c r="K2636" s="6"/>
      <c r="L2636" s="6" t="s">
        <v>1304</v>
      </c>
      <c r="M2636" s="6"/>
      <c r="N2636" s="6" t="s">
        <v>1305</v>
      </c>
      <c r="O2636" s="6" t="str">
        <f>HYPERLINK("https://ceds.ed.gov/cedselementdetails.aspx?termid=5366")</f>
        <v>https://ceds.ed.gov/cedselementdetails.aspx?termid=5366</v>
      </c>
      <c r="P2636" s="6" t="str">
        <f>HYPERLINK("https://ceds.ed.gov/elementComment.aspx?elementName=Assessment Subtest Identifier &amp;elementID=5366", "Click here to submit comment")</f>
        <v>Click here to submit comment</v>
      </c>
    </row>
    <row r="2637" spans="1:16" ht="75">
      <c r="A2637" s="6" t="s">
        <v>6784</v>
      </c>
      <c r="B2637" s="6" t="s">
        <v>6845</v>
      </c>
      <c r="C2637" s="6"/>
      <c r="D2637" s="6" t="s">
        <v>1306</v>
      </c>
      <c r="E2637" s="6" t="s">
        <v>1307</v>
      </c>
      <c r="F2637" s="6" t="s">
        <v>6065</v>
      </c>
      <c r="G2637" s="6"/>
      <c r="H2637" s="6"/>
      <c r="I2637" s="6"/>
      <c r="J2637" s="6"/>
      <c r="K2637" s="6"/>
      <c r="L2637" s="6" t="s">
        <v>1308</v>
      </c>
      <c r="M2637" s="6"/>
      <c r="N2637" s="6" t="s">
        <v>1309</v>
      </c>
      <c r="O2637" s="6" t="str">
        <f>HYPERLINK("https://ceds.ed.gov/cedselementdetails.aspx?termid=6016")</f>
        <v>https://ceds.ed.gov/cedselementdetails.aspx?termid=6016</v>
      </c>
      <c r="P2637" s="6" t="str">
        <f>HYPERLINK("https://ceds.ed.gov/elementComment.aspx?elementName=Assessment Subtest Identifier Type &amp;elementID=6016", "Click here to submit comment")</f>
        <v>Click here to submit comment</v>
      </c>
    </row>
    <row r="2638" spans="1:16" ht="165">
      <c r="A2638" s="6" t="s">
        <v>6784</v>
      </c>
      <c r="B2638" s="6" t="s">
        <v>6845</v>
      </c>
      <c r="C2638" s="6"/>
      <c r="D2638" s="6" t="s">
        <v>1379</v>
      </c>
      <c r="E2638" s="6" t="s">
        <v>1380</v>
      </c>
      <c r="F2638" s="6" t="s">
        <v>13</v>
      </c>
      <c r="G2638" s="6" t="s">
        <v>6073</v>
      </c>
      <c r="H2638" s="6"/>
      <c r="I2638" s="6" t="s">
        <v>106</v>
      </c>
      <c r="J2638" s="6"/>
      <c r="K2638" s="6"/>
      <c r="L2638" s="6" t="s">
        <v>1381</v>
      </c>
      <c r="M2638" s="6"/>
      <c r="N2638" s="6" t="s">
        <v>1382</v>
      </c>
      <c r="O2638" s="6" t="str">
        <f>HYPERLINK("https://ceds.ed.gov/cedselementdetails.aspx?termid=5275")</f>
        <v>https://ceds.ed.gov/cedselementdetails.aspx?termid=5275</v>
      </c>
      <c r="P2638" s="6" t="str">
        <f>HYPERLINK("https://ceds.ed.gov/elementComment.aspx?elementName=Assessment Subtest Title &amp;elementID=5275", "Click here to submit comment")</f>
        <v>Click here to submit comment</v>
      </c>
    </row>
    <row r="2639" spans="1:16" ht="45">
      <c r="A2639" s="6" t="s">
        <v>6784</v>
      </c>
      <c r="B2639" s="6" t="s">
        <v>6845</v>
      </c>
      <c r="C2639" s="6"/>
      <c r="D2639" s="6" t="s">
        <v>1294</v>
      </c>
      <c r="E2639" s="6" t="s">
        <v>1295</v>
      </c>
      <c r="F2639" s="6" t="s">
        <v>13</v>
      </c>
      <c r="G2639" s="6" t="s">
        <v>6063</v>
      </c>
      <c r="H2639" s="6"/>
      <c r="I2639" s="6" t="s">
        <v>100</v>
      </c>
      <c r="J2639" s="6"/>
      <c r="K2639" s="6"/>
      <c r="L2639" s="6" t="s">
        <v>1296</v>
      </c>
      <c r="M2639" s="6"/>
      <c r="N2639" s="6" t="s">
        <v>1297</v>
      </c>
      <c r="O2639" s="6" t="str">
        <f>HYPERLINK("https://ceds.ed.gov/cedselementdetails.aspx?termid=5367")</f>
        <v>https://ceds.ed.gov/cedselementdetails.aspx?termid=5367</v>
      </c>
      <c r="P2639" s="6" t="str">
        <f>HYPERLINK("https://ceds.ed.gov/elementComment.aspx?elementName=Assessment Subtest Abbreviation &amp;elementID=5367", "Click here to submit comment")</f>
        <v>Click here to submit comment</v>
      </c>
    </row>
    <row r="2640" spans="1:16" ht="150">
      <c r="A2640" s="6" t="s">
        <v>6784</v>
      </c>
      <c r="B2640" s="6" t="s">
        <v>6845</v>
      </c>
      <c r="C2640" s="6"/>
      <c r="D2640" s="6" t="s">
        <v>1298</v>
      </c>
      <c r="E2640" s="6" t="s">
        <v>1299</v>
      </c>
      <c r="F2640" s="6" t="s">
        <v>13</v>
      </c>
      <c r="G2640" s="6" t="s">
        <v>6006</v>
      </c>
      <c r="H2640" s="6"/>
      <c r="I2640" s="6" t="s">
        <v>106</v>
      </c>
      <c r="J2640" s="6"/>
      <c r="K2640" s="6"/>
      <c r="L2640" s="6" t="s">
        <v>1300</v>
      </c>
      <c r="M2640" s="6"/>
      <c r="N2640" s="6" t="s">
        <v>1301</v>
      </c>
      <c r="O2640" s="6" t="str">
        <f>HYPERLINK("https://ceds.ed.gov/cedselementdetails.aspx?termid=5274")</f>
        <v>https://ceds.ed.gov/cedselementdetails.aspx?termid=5274</v>
      </c>
      <c r="P2640" s="6" t="str">
        <f>HYPERLINK("https://ceds.ed.gov/elementComment.aspx?elementName=Assessment Subtest Description &amp;elementID=5274", "Click here to submit comment")</f>
        <v>Click here to submit comment</v>
      </c>
    </row>
    <row r="2641" spans="1:16" ht="45">
      <c r="A2641" s="6" t="s">
        <v>6784</v>
      </c>
      <c r="B2641" s="6" t="s">
        <v>6845</v>
      </c>
      <c r="C2641" s="6"/>
      <c r="D2641" s="6" t="s">
        <v>1383</v>
      </c>
      <c r="E2641" s="6" t="s">
        <v>1384</v>
      </c>
      <c r="F2641" s="6" t="s">
        <v>13</v>
      </c>
      <c r="G2641" s="6" t="s">
        <v>6064</v>
      </c>
      <c r="H2641" s="6"/>
      <c r="I2641" s="6" t="s">
        <v>100</v>
      </c>
      <c r="J2641" s="6"/>
      <c r="K2641" s="6"/>
      <c r="L2641" s="6" t="s">
        <v>1385</v>
      </c>
      <c r="M2641" s="6"/>
      <c r="N2641" s="6" t="s">
        <v>1386</v>
      </c>
      <c r="O2641" s="6" t="str">
        <f>HYPERLINK("https://ceds.ed.gov/cedselementdetails.aspx?termid=5379")</f>
        <v>https://ceds.ed.gov/cedselementdetails.aspx?termid=5379</v>
      </c>
      <c r="P2641" s="6" t="str">
        <f>HYPERLINK("https://ceds.ed.gov/elementComment.aspx?elementName=Assessment Subtest Version &amp;elementID=5379", "Click here to submit comment")</f>
        <v>Click here to submit comment</v>
      </c>
    </row>
    <row r="2642" spans="1:16" ht="45">
      <c r="A2642" s="6" t="s">
        <v>6784</v>
      </c>
      <c r="B2642" s="6" t="s">
        <v>6845</v>
      </c>
      <c r="C2642" s="6"/>
      <c r="D2642" s="6" t="s">
        <v>1323</v>
      </c>
      <c r="E2642" s="6" t="s">
        <v>1324</v>
      </c>
      <c r="F2642" s="6" t="s">
        <v>13</v>
      </c>
      <c r="G2642" s="6"/>
      <c r="H2642" s="6"/>
      <c r="I2642" s="6" t="s">
        <v>73</v>
      </c>
      <c r="J2642" s="6"/>
      <c r="K2642" s="6"/>
      <c r="L2642" s="6" t="s">
        <v>1325</v>
      </c>
      <c r="M2642" s="6"/>
      <c r="N2642" s="6" t="s">
        <v>1326</v>
      </c>
      <c r="O2642" s="6" t="str">
        <f>HYPERLINK("https://ceds.ed.gov/cedselementdetails.aspx?termid=6075")</f>
        <v>https://ceds.ed.gov/cedselementdetails.aspx?termid=6075</v>
      </c>
      <c r="P2642" s="6" t="str">
        <f>HYPERLINK("https://ceds.ed.gov/elementComment.aspx?elementName=Assessment Subtest Published Date &amp;elementID=6075", "Click here to submit comment")</f>
        <v>Click here to submit comment</v>
      </c>
    </row>
    <row r="2643" spans="1:16" ht="45">
      <c r="A2643" s="6" t="s">
        <v>6784</v>
      </c>
      <c r="B2643" s="6" t="s">
        <v>6845</v>
      </c>
      <c r="C2643" s="6"/>
      <c r="D2643" s="6" t="s">
        <v>1314</v>
      </c>
      <c r="E2643" s="6" t="s">
        <v>1315</v>
      </c>
      <c r="F2643" s="6" t="s">
        <v>13</v>
      </c>
      <c r="G2643" s="6" t="s">
        <v>5992</v>
      </c>
      <c r="H2643" s="6"/>
      <c r="I2643" s="6" t="s">
        <v>100</v>
      </c>
      <c r="J2643" s="6"/>
      <c r="K2643" s="6"/>
      <c r="L2643" s="6" t="s">
        <v>1316</v>
      </c>
      <c r="M2643" s="6"/>
      <c r="N2643" s="6" t="s">
        <v>1317</v>
      </c>
      <c r="O2643" s="6" t="str">
        <f>HYPERLINK("https://ceds.ed.gov/cedselementdetails.aspx?termid=5387")</f>
        <v>https://ceds.ed.gov/cedselementdetails.aspx?termid=5387</v>
      </c>
      <c r="P2643" s="6" t="str">
        <f>HYPERLINK("https://ceds.ed.gov/elementComment.aspx?elementName=Assessment Subtest Minimum Value &amp;elementID=5387", "Click here to submit comment")</f>
        <v>Click here to submit comment</v>
      </c>
    </row>
    <row r="2644" spans="1:16" ht="45">
      <c r="A2644" s="6" t="s">
        <v>6784</v>
      </c>
      <c r="B2644" s="6" t="s">
        <v>6845</v>
      </c>
      <c r="C2644" s="6"/>
      <c r="D2644" s="6" t="s">
        <v>1310</v>
      </c>
      <c r="E2644" s="6" t="s">
        <v>1311</v>
      </c>
      <c r="F2644" s="6" t="s">
        <v>13</v>
      </c>
      <c r="G2644" s="6" t="s">
        <v>5992</v>
      </c>
      <c r="H2644" s="6"/>
      <c r="I2644" s="6" t="s">
        <v>100</v>
      </c>
      <c r="J2644" s="6"/>
      <c r="K2644" s="6"/>
      <c r="L2644" s="6" t="s">
        <v>1312</v>
      </c>
      <c r="M2644" s="6"/>
      <c r="N2644" s="6" t="s">
        <v>1313</v>
      </c>
      <c r="O2644" s="6" t="str">
        <f>HYPERLINK("https://ceds.ed.gov/cedselementdetails.aspx?termid=5388")</f>
        <v>https://ceds.ed.gov/cedselementdetails.aspx?termid=5388</v>
      </c>
      <c r="P2644" s="6" t="str">
        <f>HYPERLINK("https://ceds.ed.gov/elementComment.aspx?elementName=Assessment Subtest Maximum Value &amp;elementID=5388", "Click here to submit comment")</f>
        <v>Click here to submit comment</v>
      </c>
    </row>
    <row r="2645" spans="1:16" ht="45">
      <c r="A2645" s="6" t="s">
        <v>6784</v>
      </c>
      <c r="B2645" s="6" t="s">
        <v>6845</v>
      </c>
      <c r="C2645" s="6"/>
      <c r="D2645" s="6" t="s">
        <v>1318</v>
      </c>
      <c r="E2645" s="6" t="s">
        <v>1319</v>
      </c>
      <c r="F2645" s="6" t="s">
        <v>13</v>
      </c>
      <c r="G2645" s="6" t="s">
        <v>6018</v>
      </c>
      <c r="H2645" s="6"/>
      <c r="I2645" s="6" t="s">
        <v>100</v>
      </c>
      <c r="J2645" s="6"/>
      <c r="K2645" s="6" t="s">
        <v>1320</v>
      </c>
      <c r="L2645" s="6" t="s">
        <v>1321</v>
      </c>
      <c r="M2645" s="6"/>
      <c r="N2645" s="6" t="s">
        <v>1322</v>
      </c>
      <c r="O2645" s="6" t="str">
        <f>HYPERLINK("https://ceds.ed.gov/cedselementdetails.aspx?termid=5389")</f>
        <v>https://ceds.ed.gov/cedselementdetails.aspx?termid=5389</v>
      </c>
      <c r="P2645" s="6" t="str">
        <f>HYPERLINK("https://ceds.ed.gov/elementComment.aspx?elementName=Assessment Subtest Optimal Value &amp;elementID=5389", "Click here to submit comment")</f>
        <v>Click here to submit comment</v>
      </c>
    </row>
    <row r="2646" spans="1:16" ht="405">
      <c r="A2646" s="6" t="s">
        <v>6784</v>
      </c>
      <c r="B2646" s="6" t="s">
        <v>6845</v>
      </c>
      <c r="C2646" s="6"/>
      <c r="D2646" s="6" t="s">
        <v>395</v>
      </c>
      <c r="E2646" s="6" t="s">
        <v>396</v>
      </c>
      <c r="F2646" s="7" t="s">
        <v>6375</v>
      </c>
      <c r="G2646" s="6" t="s">
        <v>5990</v>
      </c>
      <c r="H2646" s="6"/>
      <c r="I2646" s="6"/>
      <c r="J2646" s="6"/>
      <c r="K2646" s="6"/>
      <c r="L2646" s="6" t="s">
        <v>397</v>
      </c>
      <c r="M2646" s="6"/>
      <c r="N2646" s="6" t="s">
        <v>398</v>
      </c>
      <c r="O2646" s="6" t="str">
        <f>HYPERLINK("https://ceds.ed.gov/cedselementdetails.aspx?termid=5021")</f>
        <v>https://ceds.ed.gov/cedselementdetails.aspx?termid=5021</v>
      </c>
      <c r="P2646" s="6" t="str">
        <f>HYPERLINK("https://ceds.ed.gov/elementComment.aspx?elementName=Assessment Academic Subject &amp;elementID=5021", "Click here to submit comment")</f>
        <v>Click here to submit comment</v>
      </c>
    </row>
    <row r="2647" spans="1:16" ht="409.5">
      <c r="A2647" s="6" t="s">
        <v>6784</v>
      </c>
      <c r="B2647" s="6" t="s">
        <v>6845</v>
      </c>
      <c r="C2647" s="6"/>
      <c r="D2647" s="6" t="s">
        <v>1156</v>
      </c>
      <c r="E2647" s="6" t="s">
        <v>1157</v>
      </c>
      <c r="F2647" s="7" t="s">
        <v>6399</v>
      </c>
      <c r="G2647" s="6" t="s">
        <v>6000</v>
      </c>
      <c r="H2647" s="6"/>
      <c r="I2647" s="6"/>
      <c r="J2647" s="6"/>
      <c r="K2647" s="6" t="s">
        <v>1158</v>
      </c>
      <c r="L2647" s="6" t="s">
        <v>1159</v>
      </c>
      <c r="M2647" s="6"/>
      <c r="N2647" s="6" t="s">
        <v>1160</v>
      </c>
      <c r="O2647" s="6" t="str">
        <f>HYPERLINK("https://ceds.ed.gov/cedselementdetails.aspx?termid=5026")</f>
        <v>https://ceds.ed.gov/cedselementdetails.aspx?termid=5026</v>
      </c>
      <c r="P2647" s="6" t="str">
        <f>HYPERLINK("https://ceds.ed.gov/elementComment.aspx?elementName=Assessment Purpose &amp;elementID=5026", "Click here to submit comment")</f>
        <v>Click here to submit comment</v>
      </c>
    </row>
    <row r="2648" spans="1:16" ht="409.5">
      <c r="A2648" s="6" t="s">
        <v>6784</v>
      </c>
      <c r="B2648" s="6" t="s">
        <v>6845</v>
      </c>
      <c r="C2648" s="6"/>
      <c r="D2648" s="6" t="s">
        <v>1375</v>
      </c>
      <c r="E2648" s="6" t="s">
        <v>1376</v>
      </c>
      <c r="F2648" s="7" t="s">
        <v>6398</v>
      </c>
      <c r="G2648" s="6" t="s">
        <v>6064</v>
      </c>
      <c r="H2648" s="6"/>
      <c r="I2648" s="6"/>
      <c r="J2648" s="6"/>
      <c r="K2648" s="6"/>
      <c r="L2648" s="6" t="s">
        <v>1377</v>
      </c>
      <c r="M2648" s="6"/>
      <c r="N2648" s="6" t="s">
        <v>1378</v>
      </c>
      <c r="O2648" s="6" t="str">
        <f>HYPERLINK("https://ceds.ed.gov/cedselementdetails.aspx?termid=5368")</f>
        <v>https://ceds.ed.gov/cedselementdetails.aspx?termid=5368</v>
      </c>
      <c r="P2648" s="6" t="str">
        <f>HYPERLINK("https://ceds.ed.gov/elementComment.aspx?elementName=Assessment Subtest Score Metric Type &amp;elementID=5368", "Click here to submit comment")</f>
        <v>Click here to submit comment</v>
      </c>
    </row>
    <row r="2649" spans="1:16" ht="225">
      <c r="A2649" s="6" t="s">
        <v>6784</v>
      </c>
      <c r="B2649" s="6" t="s">
        <v>6845</v>
      </c>
      <c r="C2649" s="6"/>
      <c r="D2649" s="6" t="s">
        <v>487</v>
      </c>
      <c r="E2649" s="6" t="s">
        <v>488</v>
      </c>
      <c r="F2649" s="7" t="s">
        <v>6380</v>
      </c>
      <c r="G2649" s="6" t="s">
        <v>6000</v>
      </c>
      <c r="H2649" s="6"/>
      <c r="I2649" s="6"/>
      <c r="J2649" s="6"/>
      <c r="K2649" s="6"/>
      <c r="L2649" s="6" t="s">
        <v>489</v>
      </c>
      <c r="M2649" s="6"/>
      <c r="N2649" s="6" t="s">
        <v>490</v>
      </c>
      <c r="O2649" s="6" t="str">
        <f>HYPERLINK("https://ceds.ed.gov/cedselementdetails.aspx?termid=5598")</f>
        <v>https://ceds.ed.gov/cedselementdetails.aspx?termid=5598</v>
      </c>
      <c r="P2649" s="6" t="str">
        <f>HYPERLINK("https://ceds.ed.gov/elementComment.aspx?elementName=Assessment Content Standard Type &amp;elementID=5598", "Click here to submit comment")</f>
        <v>Click here to submit comment</v>
      </c>
    </row>
    <row r="2650" spans="1:16" ht="45">
      <c r="A2650" s="6" t="s">
        <v>6784</v>
      </c>
      <c r="B2650" s="6" t="s">
        <v>6845</v>
      </c>
      <c r="C2650" s="6"/>
      <c r="D2650" s="6" t="s">
        <v>1371</v>
      </c>
      <c r="E2650" s="6" t="s">
        <v>1372</v>
      </c>
      <c r="F2650" s="6" t="s">
        <v>13</v>
      </c>
      <c r="G2650" s="6"/>
      <c r="H2650" s="6"/>
      <c r="I2650" s="6" t="s">
        <v>319</v>
      </c>
      <c r="J2650" s="6"/>
      <c r="K2650" s="6"/>
      <c r="L2650" s="6" t="s">
        <v>1373</v>
      </c>
      <c r="M2650" s="6"/>
      <c r="N2650" s="6" t="s">
        <v>1374</v>
      </c>
      <c r="O2650" s="6" t="str">
        <f>HYPERLINK("https://ceds.ed.gov/cedselementdetails.aspx?termid=5695")</f>
        <v>https://ceds.ed.gov/cedselementdetails.aspx?termid=5695</v>
      </c>
      <c r="P2650" s="6" t="str">
        <f>HYPERLINK("https://ceds.ed.gov/elementComment.aspx?elementName=Assessment Subtest Rules &amp;elementID=5695", "Click here to submit comment")</f>
        <v>Click here to submit comment</v>
      </c>
    </row>
    <row r="2651" spans="1:16" ht="60">
      <c r="A2651" s="6" t="s">
        <v>6784</v>
      </c>
      <c r="B2651" s="6" t="s">
        <v>6845</v>
      </c>
      <c r="C2651" s="6"/>
      <c r="D2651" s="6" t="s">
        <v>573</v>
      </c>
      <c r="E2651" s="6" t="s">
        <v>574</v>
      </c>
      <c r="F2651" s="6" t="s">
        <v>13</v>
      </c>
      <c r="G2651" s="6"/>
      <c r="H2651" s="6"/>
      <c r="I2651" s="6" t="s">
        <v>575</v>
      </c>
      <c r="J2651" s="6"/>
      <c r="K2651" s="6"/>
      <c r="L2651" s="6" t="s">
        <v>576</v>
      </c>
      <c r="M2651" s="6"/>
      <c r="N2651" s="6" t="s">
        <v>577</v>
      </c>
      <c r="O2651" s="6" t="str">
        <f>HYPERLINK("https://ceds.ed.gov/cedselementdetails.aspx?termid=6180")</f>
        <v>https://ceds.ed.gov/cedselementdetails.aspx?termid=6180</v>
      </c>
      <c r="P2651" s="6" t="str">
        <f>HYPERLINK("https://ceds.ed.gov/elementComment.aspx?elementName=Assessment Form Subtest Tier &amp;elementID=6180", "Click here to submit comment")</f>
        <v>Click here to submit comment</v>
      </c>
    </row>
    <row r="2652" spans="1:16" ht="60">
      <c r="A2652" s="6" t="s">
        <v>6784</v>
      </c>
      <c r="B2652" s="6" t="s">
        <v>6845</v>
      </c>
      <c r="C2652" s="6"/>
      <c r="D2652" s="6" t="s">
        <v>556</v>
      </c>
      <c r="E2652" s="6" t="s">
        <v>557</v>
      </c>
      <c r="F2652" s="6" t="s">
        <v>5963</v>
      </c>
      <c r="G2652" s="6"/>
      <c r="H2652" s="6" t="s">
        <v>66</v>
      </c>
      <c r="I2652" s="6"/>
      <c r="J2652" s="6" t="s">
        <v>558</v>
      </c>
      <c r="K2652" s="6"/>
      <c r="L2652" s="6" t="s">
        <v>559</v>
      </c>
      <c r="M2652" s="6"/>
      <c r="N2652" s="6" t="s">
        <v>560</v>
      </c>
      <c r="O2652" s="6" t="str">
        <f>HYPERLINK("https://ceds.ed.gov/cedselementdetails.aspx?termid=6181")</f>
        <v>https://ceds.ed.gov/cedselementdetails.aspx?termid=6181</v>
      </c>
      <c r="P2652" s="6" t="str">
        <f>HYPERLINK("https://ceds.ed.gov/elementComment.aspx?elementName=Assessment Form Subtest Container Only &amp;elementID=6181", "Click here to submit comment")</f>
        <v>Click here to submit comment</v>
      </c>
    </row>
    <row r="2653" spans="1:16" ht="90">
      <c r="A2653" s="6" t="s">
        <v>6784</v>
      </c>
      <c r="B2653" s="6" t="s">
        <v>6846</v>
      </c>
      <c r="C2653" s="6"/>
      <c r="D2653" s="6" t="s">
        <v>1362</v>
      </c>
      <c r="E2653" s="6" t="s">
        <v>1363</v>
      </c>
      <c r="F2653" s="7" t="s">
        <v>6404</v>
      </c>
      <c r="G2653" s="6" t="s">
        <v>6069</v>
      </c>
      <c r="H2653" s="6"/>
      <c r="I2653" s="6"/>
      <c r="J2653" s="6"/>
      <c r="K2653" s="6"/>
      <c r="L2653" s="6" t="s">
        <v>1364</v>
      </c>
      <c r="M2653" s="6"/>
      <c r="N2653" s="6" t="s">
        <v>1365</v>
      </c>
      <c r="O2653" s="6" t="str">
        <f>HYPERLINK("https://ceds.ed.gov/cedselementdetails.aspx?termid=5564")</f>
        <v>https://ceds.ed.gov/cedselementdetails.aspx?termid=5564</v>
      </c>
      <c r="P2653" s="6" t="str">
        <f>HYPERLINK("https://ceds.ed.gov/elementComment.aspx?elementName=Assessment Subtest Result Pretest Outcome &amp;elementID=5564", "Click here to submit comment")</f>
        <v>Click here to submit comment</v>
      </c>
    </row>
    <row r="2654" spans="1:16" ht="195">
      <c r="A2654" s="6" t="s">
        <v>6784</v>
      </c>
      <c r="B2654" s="6" t="s">
        <v>6846</v>
      </c>
      <c r="C2654" s="6"/>
      <c r="D2654" s="6" t="s">
        <v>1366</v>
      </c>
      <c r="E2654" s="6" t="s">
        <v>1367</v>
      </c>
      <c r="F2654" s="6" t="s">
        <v>13</v>
      </c>
      <c r="G2654" s="6" t="s">
        <v>6071</v>
      </c>
      <c r="H2654" s="6"/>
      <c r="I2654" s="6" t="s">
        <v>1368</v>
      </c>
      <c r="J2654" s="6"/>
      <c r="K2654" s="6"/>
      <c r="L2654" s="6" t="s">
        <v>1369</v>
      </c>
      <c r="M2654" s="6"/>
      <c r="N2654" s="6" t="s">
        <v>1370</v>
      </c>
      <c r="O2654" s="6" t="str">
        <f>HYPERLINK("https://ceds.ed.gov/cedselementdetails.aspx?termid=5245")</f>
        <v>https://ceds.ed.gov/cedselementdetails.aspx?termid=5245</v>
      </c>
      <c r="P2654" s="6" t="str">
        <f>HYPERLINK("https://ceds.ed.gov/elementComment.aspx?elementName=Assessment Subtest Result Score Value &amp;elementID=5245", "Click here to submit comment")</f>
        <v>Click here to submit comment</v>
      </c>
    </row>
    <row r="2655" spans="1:16" ht="409.5">
      <c r="A2655" s="6" t="s">
        <v>6784</v>
      </c>
      <c r="B2655" s="6" t="s">
        <v>6846</v>
      </c>
      <c r="C2655" s="6"/>
      <c r="D2655" s="6" t="s">
        <v>1375</v>
      </c>
      <c r="E2655" s="6" t="s">
        <v>1376</v>
      </c>
      <c r="F2655" s="7" t="s">
        <v>6398</v>
      </c>
      <c r="G2655" s="6" t="s">
        <v>6064</v>
      </c>
      <c r="H2655" s="6"/>
      <c r="I2655" s="6"/>
      <c r="J2655" s="6"/>
      <c r="K2655" s="6"/>
      <c r="L2655" s="6" t="s">
        <v>1377</v>
      </c>
      <c r="M2655" s="6"/>
      <c r="N2655" s="6" t="s">
        <v>1378</v>
      </c>
      <c r="O2655" s="6" t="str">
        <f>HYPERLINK("https://ceds.ed.gov/cedselementdetails.aspx?termid=5368")</f>
        <v>https://ceds.ed.gov/cedselementdetails.aspx?termid=5368</v>
      </c>
      <c r="P2655" s="6" t="str">
        <f>HYPERLINK("https://ceds.ed.gov/elementComment.aspx?elementName=Assessment Subtest Score Metric Type &amp;elementID=5368", "Click here to submit comment")</f>
        <v>Click here to submit comment</v>
      </c>
    </row>
    <row r="2656" spans="1:16" ht="75">
      <c r="A2656" s="6" t="s">
        <v>6784</v>
      </c>
      <c r="B2656" s="6" t="s">
        <v>6846</v>
      </c>
      <c r="C2656" s="6"/>
      <c r="D2656" s="6" t="s">
        <v>1336</v>
      </c>
      <c r="E2656" s="6" t="s">
        <v>1337</v>
      </c>
      <c r="F2656" s="6" t="s">
        <v>13</v>
      </c>
      <c r="G2656" s="6" t="s">
        <v>493</v>
      </c>
      <c r="H2656" s="6"/>
      <c r="I2656" s="6" t="s">
        <v>93</v>
      </c>
      <c r="J2656" s="6"/>
      <c r="K2656" s="6"/>
      <c r="L2656" s="6" t="s">
        <v>1338</v>
      </c>
      <c r="M2656" s="6"/>
      <c r="N2656" s="6" t="s">
        <v>1339</v>
      </c>
      <c r="O2656" s="6" t="str">
        <f>HYPERLINK("https://ceds.ed.gov/cedselementdetails.aspx?termid=5890")</f>
        <v>https://ceds.ed.gov/cedselementdetails.aspx?termid=5890</v>
      </c>
      <c r="P2656" s="6" t="str">
        <f>HYPERLINK("https://ceds.ed.gov/elementComment.aspx?elementName=Assessment Subtest Result Descriptive Feedback &amp;elementID=5890", "Click here to submit comment")</f>
        <v>Click here to submit comment</v>
      </c>
    </row>
    <row r="2657" spans="1:16" ht="135">
      <c r="A2657" s="6" t="s">
        <v>6784</v>
      </c>
      <c r="B2657" s="6" t="s">
        <v>6846</v>
      </c>
      <c r="C2657" s="6"/>
      <c r="D2657" s="6" t="s">
        <v>1331</v>
      </c>
      <c r="E2657" s="6" t="s">
        <v>1332</v>
      </c>
      <c r="F2657" s="6" t="s">
        <v>13</v>
      </c>
      <c r="G2657" s="6"/>
      <c r="H2657" s="6"/>
      <c r="I2657" s="6" t="s">
        <v>73</v>
      </c>
      <c r="J2657" s="6"/>
      <c r="K2657" s="6" t="s">
        <v>1333</v>
      </c>
      <c r="L2657" s="6" t="s">
        <v>1334</v>
      </c>
      <c r="M2657" s="6"/>
      <c r="N2657" s="6" t="s">
        <v>1335</v>
      </c>
      <c r="O2657" s="6" t="str">
        <f>HYPERLINK("https://ceds.ed.gov/cedselementdetails.aspx?termid=5971")</f>
        <v>https://ceds.ed.gov/cedselementdetails.aspx?termid=5971</v>
      </c>
      <c r="P2657" s="6" t="str">
        <f>HYPERLINK("https://ceds.ed.gov/elementComment.aspx?elementName=Assessment Subtest Result Date Updated &amp;elementID=5971", "Click here to submit comment")</f>
        <v>Click here to submit comment</v>
      </c>
    </row>
    <row r="2658" spans="1:16" ht="45">
      <c r="A2658" s="6" t="s">
        <v>6784</v>
      </c>
      <c r="B2658" s="6" t="s">
        <v>6846</v>
      </c>
      <c r="C2658" s="6"/>
      <c r="D2658" s="6" t="s">
        <v>1327</v>
      </c>
      <c r="E2658" s="6" t="s">
        <v>1328</v>
      </c>
      <c r="F2658" s="6" t="s">
        <v>13</v>
      </c>
      <c r="G2658" s="6"/>
      <c r="H2658" s="6"/>
      <c r="I2658" s="6" t="s">
        <v>73</v>
      </c>
      <c r="J2658" s="6"/>
      <c r="K2658" s="6"/>
      <c r="L2658" s="6" t="s">
        <v>1329</v>
      </c>
      <c r="M2658" s="6"/>
      <c r="N2658" s="6" t="s">
        <v>1330</v>
      </c>
      <c r="O2658" s="6" t="str">
        <f>HYPERLINK("https://ceds.ed.gov/cedselementdetails.aspx?termid=5972")</f>
        <v>https://ceds.ed.gov/cedselementdetails.aspx?termid=5972</v>
      </c>
      <c r="P2658" s="6" t="str">
        <f>HYPERLINK("https://ceds.ed.gov/elementComment.aspx?elementName=Assessment Subtest Result Date Created &amp;elementID=5972", "Click here to submit comment")</f>
        <v>Click here to submit comment</v>
      </c>
    </row>
    <row r="2659" spans="1:16" ht="75">
      <c r="A2659" s="6" t="s">
        <v>6784</v>
      </c>
      <c r="B2659" s="6" t="s">
        <v>6846</v>
      </c>
      <c r="C2659" s="6"/>
      <c r="D2659" s="6" t="s">
        <v>1358</v>
      </c>
      <c r="E2659" s="6" t="s">
        <v>1359</v>
      </c>
      <c r="F2659" s="6" t="s">
        <v>5963</v>
      </c>
      <c r="G2659" s="6"/>
      <c r="H2659" s="6"/>
      <c r="I2659" s="6"/>
      <c r="J2659" s="6"/>
      <c r="K2659" s="6"/>
      <c r="L2659" s="6" t="s">
        <v>1360</v>
      </c>
      <c r="M2659" s="6"/>
      <c r="N2659" s="6" t="s">
        <v>1361</v>
      </c>
      <c r="O2659" s="6" t="str">
        <f>HYPERLINK("https://ceds.ed.gov/cedselementdetails.aspx?termid=6010")</f>
        <v>https://ceds.ed.gov/cedselementdetails.aspx?termid=6010</v>
      </c>
      <c r="P2659" s="6" t="str">
        <f>HYPERLINK("https://ceds.ed.gov/elementComment.aspx?elementName=Assessment Subtest Result Preliminary Indicator &amp;elementID=6010", "Click here to submit comment")</f>
        <v>Click here to submit comment</v>
      </c>
    </row>
    <row r="2660" spans="1:16" ht="60">
      <c r="A2660" s="6" t="s">
        <v>6784</v>
      </c>
      <c r="B2660" s="6" t="s">
        <v>6846</v>
      </c>
      <c r="C2660" s="6"/>
      <c r="D2660" s="6" t="s">
        <v>2180</v>
      </c>
      <c r="E2660" s="6" t="s">
        <v>2181</v>
      </c>
      <c r="F2660" s="6" t="s">
        <v>13</v>
      </c>
      <c r="G2660" s="6"/>
      <c r="H2660" s="6"/>
      <c r="I2660" s="6" t="s">
        <v>93</v>
      </c>
      <c r="J2660" s="6"/>
      <c r="K2660" s="6"/>
      <c r="L2660" s="6" t="s">
        <v>2182</v>
      </c>
      <c r="M2660" s="6"/>
      <c r="N2660" s="6" t="s">
        <v>2183</v>
      </c>
      <c r="O2660" s="6" t="str">
        <f>HYPERLINK("https://ceds.ed.gov/cedselementdetails.aspx?termid=6011")</f>
        <v>https://ceds.ed.gov/cedselementdetails.aspx?termid=6011</v>
      </c>
      <c r="P2660" s="6" t="str">
        <f>HYPERLINK("https://ceds.ed.gov/elementComment.aspx?elementName=Diagnostic Statement Source &amp;elementID=6011", "Click here to submit comment")</f>
        <v>Click here to submit comment</v>
      </c>
    </row>
    <row r="2661" spans="1:16" ht="120">
      <c r="A2661" s="6" t="s">
        <v>6784</v>
      </c>
      <c r="B2661" s="6" t="s">
        <v>6846</v>
      </c>
      <c r="C2661" s="6"/>
      <c r="D2661" s="6" t="s">
        <v>1354</v>
      </c>
      <c r="E2661" s="6" t="s">
        <v>1355</v>
      </c>
      <c r="F2661" s="6" t="s">
        <v>13</v>
      </c>
      <c r="G2661" s="6"/>
      <c r="H2661" s="6"/>
      <c r="I2661" s="6" t="s">
        <v>1173</v>
      </c>
      <c r="J2661" s="6"/>
      <c r="K2661" s="6"/>
      <c r="L2661" s="6" t="s">
        <v>1356</v>
      </c>
      <c r="M2661" s="6"/>
      <c r="N2661" s="6" t="s">
        <v>1357</v>
      </c>
      <c r="O2661" s="6" t="str">
        <f>HYPERLINK("https://ceds.ed.gov/cedselementdetails.aspx?termid=6012")</f>
        <v>https://ceds.ed.gov/cedselementdetails.aspx?termid=6012</v>
      </c>
      <c r="P2661" s="6" t="str">
        <f>HYPERLINK("https://ceds.ed.gov/elementComment.aspx?elementName=Assessment Subtest Result Number of Responses &amp;elementID=6012", "Click here to submit comment")</f>
        <v>Click here to submit comment</v>
      </c>
    </row>
    <row r="2662" spans="1:16" ht="120">
      <c r="A2662" s="6" t="s">
        <v>6784</v>
      </c>
      <c r="B2662" s="6" t="s">
        <v>6846</v>
      </c>
      <c r="C2662" s="6"/>
      <c r="D2662" s="6" t="s">
        <v>1340</v>
      </c>
      <c r="E2662" s="6" t="s">
        <v>1341</v>
      </c>
      <c r="F2662" s="6" t="s">
        <v>13</v>
      </c>
      <c r="G2662" s="6"/>
      <c r="H2662" s="6"/>
      <c r="I2662" s="6" t="s">
        <v>106</v>
      </c>
      <c r="J2662" s="6"/>
      <c r="K2662" s="6"/>
      <c r="L2662" s="6" t="s">
        <v>1342</v>
      </c>
      <c r="M2662" s="6"/>
      <c r="N2662" s="6" t="s">
        <v>1343</v>
      </c>
      <c r="O2662" s="6" t="str">
        <f>HYPERLINK("https://ceds.ed.gov/cedselementdetails.aspx?termid=6076")</f>
        <v>https://ceds.ed.gov/cedselementdetails.aspx?termid=6076</v>
      </c>
      <c r="P2662" s="6" t="str">
        <f>HYPERLINK("https://ceds.ed.gov/elementComment.aspx?elementName=Assessment Subtest Result Descriptive Feedback Source &amp;elementID=6076", "Click here to submit comment")</f>
        <v>Click here to submit comment</v>
      </c>
    </row>
    <row r="2663" spans="1:16" ht="120">
      <c r="A2663" s="6" t="s">
        <v>6784</v>
      </c>
      <c r="B2663" s="6" t="s">
        <v>6846</v>
      </c>
      <c r="C2663" s="6"/>
      <c r="D2663" s="6" t="s">
        <v>1344</v>
      </c>
      <c r="E2663" s="6" t="s">
        <v>1345</v>
      </c>
      <c r="F2663" s="6" t="s">
        <v>13</v>
      </c>
      <c r="G2663" s="6"/>
      <c r="H2663" s="6"/>
      <c r="I2663" s="6" t="s">
        <v>319</v>
      </c>
      <c r="J2663" s="6"/>
      <c r="K2663" s="6"/>
      <c r="L2663" s="6" t="s">
        <v>1346</v>
      </c>
      <c r="M2663" s="6"/>
      <c r="N2663" s="6" t="s">
        <v>1347</v>
      </c>
      <c r="O2663" s="6" t="str">
        <f>HYPERLINK("https://ceds.ed.gov/cedselementdetails.aspx?termid=6185")</f>
        <v>https://ceds.ed.gov/cedselementdetails.aspx?termid=6185</v>
      </c>
      <c r="P2663" s="6" t="str">
        <f>HYPERLINK("https://ceds.ed.gov/elementComment.aspx?elementName=Assessment Subtest Result Diagnostic Statement &amp;elementID=6185", "Click here to submit comment")</f>
        <v>Click here to submit comment</v>
      </c>
    </row>
    <row r="2664" spans="1:16" ht="60">
      <c r="A2664" s="6" t="s">
        <v>6784</v>
      </c>
      <c r="B2664" s="6" t="s">
        <v>6846</v>
      </c>
      <c r="C2664" s="6"/>
      <c r="D2664" s="6" t="s">
        <v>3322</v>
      </c>
      <c r="E2664" s="6" t="s">
        <v>3323</v>
      </c>
      <c r="F2664" s="6" t="s">
        <v>13</v>
      </c>
      <c r="G2664" s="6" t="s">
        <v>6018</v>
      </c>
      <c r="H2664" s="6"/>
      <c r="I2664" s="6" t="s">
        <v>745</v>
      </c>
      <c r="J2664" s="6"/>
      <c r="K2664" s="6"/>
      <c r="L2664" s="6" t="s">
        <v>3324</v>
      </c>
      <c r="M2664" s="6"/>
      <c r="N2664" s="6" t="s">
        <v>3325</v>
      </c>
      <c r="O2664" s="6" t="str">
        <f>HYPERLINK("https://ceds.ed.gov/cedselementdetails.aspx?termid=5369")</f>
        <v>https://ceds.ed.gov/cedselementdetails.aspx?termid=5369</v>
      </c>
      <c r="P2664" s="6" t="str">
        <f>HYPERLINK("https://ceds.ed.gov/elementComment.aspx?elementName=Instructional Recommendation &amp;elementID=5369", "Click here to submit comment")</f>
        <v>Click here to submit comment</v>
      </c>
    </row>
    <row r="2665" spans="1:16" ht="75">
      <c r="A2665" s="6" t="s">
        <v>6784</v>
      </c>
      <c r="B2665" s="6" t="s">
        <v>6847</v>
      </c>
      <c r="C2665" s="6"/>
      <c r="D2665" s="6" t="s">
        <v>1182</v>
      </c>
      <c r="E2665" s="6" t="s">
        <v>1183</v>
      </c>
      <c r="F2665" s="7" t="s">
        <v>6401</v>
      </c>
      <c r="G2665" s="6" t="s">
        <v>6051</v>
      </c>
      <c r="H2665" s="6"/>
      <c r="I2665" s="6"/>
      <c r="J2665" s="6"/>
      <c r="K2665" s="6"/>
      <c r="L2665" s="6" t="s">
        <v>1184</v>
      </c>
      <c r="M2665" s="6"/>
      <c r="N2665" s="6" t="s">
        <v>1185</v>
      </c>
      <c r="O2665" s="6" t="str">
        <f>HYPERLINK("https://ceds.ed.gov/cedselementdetails.aspx?termid=5025")</f>
        <v>https://ceds.ed.gov/cedselementdetails.aspx?termid=5025</v>
      </c>
      <c r="P2665" s="6" t="str">
        <f>HYPERLINK("https://ceds.ed.gov/elementComment.aspx?elementName=Assessment Registration Participation Indicator &amp;elementID=5025", "Click here to submit comment")</f>
        <v>Click here to submit comment</v>
      </c>
    </row>
    <row r="2666" spans="1:16" ht="375">
      <c r="A2666" s="6" t="s">
        <v>6784</v>
      </c>
      <c r="B2666" s="6" t="s">
        <v>6847</v>
      </c>
      <c r="C2666" s="6"/>
      <c r="D2666" s="6" t="s">
        <v>2847</v>
      </c>
      <c r="E2666" s="6" t="s">
        <v>2848</v>
      </c>
      <c r="F2666" s="7" t="s">
        <v>6520</v>
      </c>
      <c r="G2666" s="6" t="s">
        <v>6182</v>
      </c>
      <c r="H2666" s="6"/>
      <c r="I2666" s="6"/>
      <c r="J2666" s="6"/>
      <c r="K2666" s="6"/>
      <c r="L2666" s="6" t="s">
        <v>2849</v>
      </c>
      <c r="M2666" s="6"/>
      <c r="N2666" s="6" t="s">
        <v>2850</v>
      </c>
      <c r="O2666" s="6" t="str">
        <f>HYPERLINK("https://ceds.ed.gov/cedselementdetails.aspx?termid=5126")</f>
        <v>https://ceds.ed.gov/cedselementdetails.aspx?termid=5126</v>
      </c>
      <c r="P2666" s="6" t="str">
        <f>HYPERLINK("https://ceds.ed.gov/elementComment.aspx?elementName=Grade Level When Assessed &amp;elementID=5126", "Click here to submit comment")</f>
        <v>Click here to submit comment</v>
      </c>
    </row>
    <row r="2667" spans="1:16" ht="285">
      <c r="A2667" s="6" t="s">
        <v>6784</v>
      </c>
      <c r="B2667" s="6" t="s">
        <v>6847</v>
      </c>
      <c r="C2667" s="6"/>
      <c r="D2667" s="6" t="s">
        <v>399</v>
      </c>
      <c r="E2667" s="6" t="s">
        <v>400</v>
      </c>
      <c r="F2667" s="7" t="s">
        <v>6376</v>
      </c>
      <c r="G2667" s="6" t="s">
        <v>5992</v>
      </c>
      <c r="H2667" s="6" t="s">
        <v>3</v>
      </c>
      <c r="I2667" s="6"/>
      <c r="J2667" s="6"/>
      <c r="K2667" s="6"/>
      <c r="L2667" s="6" t="s">
        <v>401</v>
      </c>
      <c r="M2667" s="6"/>
      <c r="N2667" s="6" t="s">
        <v>402</v>
      </c>
      <c r="O2667" s="6" t="str">
        <f>HYPERLINK("https://ceds.ed.gov/cedselementdetails.aspx?termid=5374")</f>
        <v>https://ceds.ed.gov/cedselementdetails.aspx?termid=5374</v>
      </c>
      <c r="P2667" s="6" t="str">
        <f>HYPERLINK("https://ceds.ed.gov/elementComment.aspx?elementName=Assessment Accommodation Category &amp;elementID=5374", "Click here to submit comment")</f>
        <v>Click here to submit comment</v>
      </c>
    </row>
    <row r="2668" spans="1:16" ht="120">
      <c r="A2668" s="6" t="s">
        <v>6784</v>
      </c>
      <c r="B2668" s="6" t="s">
        <v>6847</v>
      </c>
      <c r="C2668" s="6"/>
      <c r="D2668" s="6" t="s">
        <v>4022</v>
      </c>
      <c r="E2668" s="6" t="s">
        <v>4023</v>
      </c>
      <c r="F2668" s="6" t="s">
        <v>13</v>
      </c>
      <c r="G2668" s="6" t="s">
        <v>6252</v>
      </c>
      <c r="H2668" s="6"/>
      <c r="I2668" s="6" t="s">
        <v>100</v>
      </c>
      <c r="J2668" s="6"/>
      <c r="K2668" s="6"/>
      <c r="L2668" s="6" t="s">
        <v>4024</v>
      </c>
      <c r="M2668" s="6" t="s">
        <v>4025</v>
      </c>
      <c r="N2668" s="6" t="s">
        <v>4026</v>
      </c>
      <c r="O2668" s="6" t="str">
        <f>HYPERLINK("https://ceds.ed.gov/cedselementdetails.aspx?termid=5153")</f>
        <v>https://ceds.ed.gov/cedselementdetails.aspx?termid=5153</v>
      </c>
      <c r="P2668" s="6" t="str">
        <f>HYPERLINK("https://ceds.ed.gov/elementComment.aspx?elementName=Local Education Agency Identifier &amp;elementID=5153", "Click here to submit comment")</f>
        <v>Click here to submit comment</v>
      </c>
    </row>
    <row r="2669" spans="1:16" ht="165">
      <c r="A2669" s="6" t="s">
        <v>6784</v>
      </c>
      <c r="B2669" s="6" t="s">
        <v>6847</v>
      </c>
      <c r="C2669" s="6"/>
      <c r="D2669" s="6" t="s">
        <v>5224</v>
      </c>
      <c r="E2669" s="6" t="s">
        <v>269</v>
      </c>
      <c r="F2669" s="6" t="s">
        <v>13</v>
      </c>
      <c r="G2669" s="6" t="s">
        <v>6308</v>
      </c>
      <c r="H2669" s="6"/>
      <c r="I2669" s="6" t="s">
        <v>100</v>
      </c>
      <c r="J2669" s="6"/>
      <c r="K2669" s="6"/>
      <c r="L2669" s="6" t="s">
        <v>5225</v>
      </c>
      <c r="M2669" s="6"/>
      <c r="N2669" s="6" t="s">
        <v>5226</v>
      </c>
      <c r="O2669" s="6" t="str">
        <f>HYPERLINK("https://ceds.ed.gov/cedselementdetails.aspx?termid=5155")</f>
        <v>https://ceds.ed.gov/cedselementdetails.aspx?termid=5155</v>
      </c>
      <c r="P2669" s="6" t="str">
        <f>HYPERLINK("https://ceds.ed.gov/elementComment.aspx?elementName=School Identifier &amp;elementID=5155", "Click here to submit comment")</f>
        <v>Click here to submit comment</v>
      </c>
    </row>
    <row r="2670" spans="1:16" ht="285">
      <c r="A2670" s="6" t="s">
        <v>6784</v>
      </c>
      <c r="B2670" s="6" t="s">
        <v>6847</v>
      </c>
      <c r="C2670" s="6"/>
      <c r="D2670" s="6" t="s">
        <v>4017</v>
      </c>
      <c r="E2670" s="6" t="s">
        <v>4018</v>
      </c>
      <c r="F2670" s="7" t="s">
        <v>6577</v>
      </c>
      <c r="G2670" s="6" t="s">
        <v>6252</v>
      </c>
      <c r="H2670" s="6"/>
      <c r="I2670" s="6"/>
      <c r="J2670" s="6"/>
      <c r="K2670" s="6"/>
      <c r="L2670" s="6" t="s">
        <v>4019</v>
      </c>
      <c r="M2670" s="6" t="s">
        <v>4020</v>
      </c>
      <c r="N2670" s="6" t="s">
        <v>4021</v>
      </c>
      <c r="O2670" s="6" t="str">
        <f>HYPERLINK("https://ceds.ed.gov/cedselementdetails.aspx?termid=5159")</f>
        <v>https://ceds.ed.gov/cedselementdetails.aspx?termid=5159</v>
      </c>
      <c r="P2670" s="6" t="str">
        <f>HYPERLINK("https://ceds.ed.gov/elementComment.aspx?elementName=Local Education Agency Identification System &amp;elementID=5159", "Click here to submit comment")</f>
        <v>Click here to submit comment</v>
      </c>
    </row>
    <row r="2671" spans="1:16" ht="360">
      <c r="A2671" s="6" t="s">
        <v>6784</v>
      </c>
      <c r="B2671" s="6" t="s">
        <v>6847</v>
      </c>
      <c r="C2671" s="6"/>
      <c r="D2671" s="6" t="s">
        <v>5221</v>
      </c>
      <c r="E2671" s="6" t="s">
        <v>265</v>
      </c>
      <c r="F2671" s="7" t="s">
        <v>6645</v>
      </c>
      <c r="G2671" s="6" t="s">
        <v>6308</v>
      </c>
      <c r="H2671" s="6"/>
      <c r="I2671" s="6"/>
      <c r="J2671" s="6"/>
      <c r="K2671" s="6"/>
      <c r="L2671" s="6" t="s">
        <v>5222</v>
      </c>
      <c r="M2671" s="6"/>
      <c r="N2671" s="6" t="s">
        <v>5223</v>
      </c>
      <c r="O2671" s="6" t="str">
        <f>HYPERLINK("https://ceds.ed.gov/cedselementdetails.aspx?termid=5161")</f>
        <v>https://ceds.ed.gov/cedselementdetails.aspx?termid=5161</v>
      </c>
      <c r="P2671" s="6" t="str">
        <f>HYPERLINK("https://ceds.ed.gov/elementComment.aspx?elementName=School Identification System &amp;elementID=5161", "Click here to submit comment")</f>
        <v>Click here to submit comment</v>
      </c>
    </row>
    <row r="2672" spans="1:16" ht="315">
      <c r="A2672" s="6" t="s">
        <v>6784</v>
      </c>
      <c r="B2672" s="6" t="s">
        <v>6847</v>
      </c>
      <c r="C2672" s="6"/>
      <c r="D2672" s="6" t="s">
        <v>1186</v>
      </c>
      <c r="E2672" s="6" t="s">
        <v>1187</v>
      </c>
      <c r="F2672" s="7" t="s">
        <v>6402</v>
      </c>
      <c r="G2672" s="6" t="s">
        <v>6052</v>
      </c>
      <c r="H2672" s="6"/>
      <c r="I2672" s="6"/>
      <c r="J2672" s="6"/>
      <c r="K2672" s="6" t="s">
        <v>1188</v>
      </c>
      <c r="L2672" s="6" t="s">
        <v>1189</v>
      </c>
      <c r="M2672" s="6"/>
      <c r="N2672" s="6" t="s">
        <v>1190</v>
      </c>
      <c r="O2672" s="6" t="str">
        <f>HYPERLINK("https://ceds.ed.gov/cedselementdetails.aspx?termid=5531")</f>
        <v>https://ceds.ed.gov/cedselementdetails.aspx?termid=5531</v>
      </c>
      <c r="P2672" s="6" t="str">
        <f>HYPERLINK("https://ceds.ed.gov/elementComment.aspx?elementName=Assessment Registration Reason Not Completing &amp;elementID=5531", "Click here to submit comment")</f>
        <v>Click here to submit comment</v>
      </c>
    </row>
    <row r="2673" spans="1:16" ht="45">
      <c r="A2673" s="6" t="s">
        <v>6784</v>
      </c>
      <c r="B2673" s="6" t="s">
        <v>6847</v>
      </c>
      <c r="C2673" s="6"/>
      <c r="D2673" s="6" t="s">
        <v>1161</v>
      </c>
      <c r="E2673" s="6" t="s">
        <v>1162</v>
      </c>
      <c r="F2673" s="6" t="s">
        <v>13</v>
      </c>
      <c r="G2673" s="6"/>
      <c r="H2673" s="6"/>
      <c r="I2673" s="6" t="s">
        <v>100</v>
      </c>
      <c r="J2673" s="6"/>
      <c r="K2673" s="6" t="s">
        <v>1163</v>
      </c>
      <c r="L2673" s="6" t="s">
        <v>1164</v>
      </c>
      <c r="M2673" s="6"/>
      <c r="N2673" s="6" t="s">
        <v>1165</v>
      </c>
      <c r="O2673" s="6" t="str">
        <f>HYPERLINK("https://ceds.ed.gov/cedselementdetails.aspx?termid=5889")</f>
        <v>https://ceds.ed.gov/cedselementdetails.aspx?termid=5889</v>
      </c>
      <c r="P2673" s="6" t="str">
        <f>HYPERLINK("https://ceds.ed.gov/elementComment.aspx?elementName=Assessment Registration Assignor Identifier &amp;elementID=5889", "Click here to submit comment")</f>
        <v>Click here to submit comment</v>
      </c>
    </row>
    <row r="2674" spans="1:16" ht="45">
      <c r="A2674" s="6" t="s">
        <v>6784</v>
      </c>
      <c r="B2674" s="6" t="s">
        <v>6847</v>
      </c>
      <c r="C2674" s="6"/>
      <c r="D2674" s="6" t="s">
        <v>1171</v>
      </c>
      <c r="E2674" s="6" t="s">
        <v>1172</v>
      </c>
      <c r="F2674" s="6" t="s">
        <v>13</v>
      </c>
      <c r="G2674" s="6"/>
      <c r="H2674" s="6"/>
      <c r="I2674" s="6" t="s">
        <v>1173</v>
      </c>
      <c r="J2674" s="6"/>
      <c r="K2674" s="6"/>
      <c r="L2674" s="6" t="s">
        <v>1174</v>
      </c>
      <c r="M2674" s="6"/>
      <c r="N2674" s="6" t="s">
        <v>1175</v>
      </c>
      <c r="O2674" s="6" t="str">
        <f>HYPERLINK("https://ceds.ed.gov/cedselementdetails.aspx?termid=6017")</f>
        <v>https://ceds.ed.gov/cedselementdetails.aspx?termid=6017</v>
      </c>
      <c r="P2674" s="6" t="str">
        <f>HYPERLINK("https://ceds.ed.gov/elementComment.aspx?elementName=Assessment Registration Days of Instruction &amp;elementID=6017", "Click here to submit comment")</f>
        <v>Click here to submit comment</v>
      </c>
    </row>
    <row r="2675" spans="1:16" ht="75">
      <c r="A2675" s="6" t="s">
        <v>6784</v>
      </c>
      <c r="B2675" s="6" t="s">
        <v>6847</v>
      </c>
      <c r="C2675" s="6"/>
      <c r="D2675" s="6" t="s">
        <v>1191</v>
      </c>
      <c r="E2675" s="6" t="s">
        <v>1192</v>
      </c>
      <c r="F2675" s="6" t="s">
        <v>5963</v>
      </c>
      <c r="G2675" s="6"/>
      <c r="H2675" s="6"/>
      <c r="I2675" s="6"/>
      <c r="J2675" s="6"/>
      <c r="K2675" s="6"/>
      <c r="L2675" s="6" t="s">
        <v>1193</v>
      </c>
      <c r="M2675" s="6"/>
      <c r="N2675" s="6" t="s">
        <v>1194</v>
      </c>
      <c r="O2675" s="6" t="str">
        <f>HYPERLINK("https://ceds.ed.gov/cedselementdetails.aspx?termid=6018")</f>
        <v>https://ceds.ed.gov/cedselementdetails.aspx?termid=6018</v>
      </c>
      <c r="P2675" s="6" t="str">
        <f>HYPERLINK("https://ceds.ed.gov/elementComment.aspx?elementName=Assessment Registration Retest Indicator &amp;elementID=6018", "Click here to submit comment")</f>
        <v>Click here to submit comment</v>
      </c>
    </row>
    <row r="2676" spans="1:16" ht="45">
      <c r="A2676" s="6" t="s">
        <v>6784</v>
      </c>
      <c r="B2676" s="6" t="s">
        <v>6847</v>
      </c>
      <c r="C2676" s="6"/>
      <c r="D2676" s="6" t="s">
        <v>1166</v>
      </c>
      <c r="E2676" s="6" t="s">
        <v>1167</v>
      </c>
      <c r="F2676" s="6" t="s">
        <v>13</v>
      </c>
      <c r="G2676" s="6"/>
      <c r="H2676" s="6"/>
      <c r="I2676" s="6" t="s">
        <v>1168</v>
      </c>
      <c r="J2676" s="6"/>
      <c r="K2676" s="6"/>
      <c r="L2676" s="6" t="s">
        <v>1169</v>
      </c>
      <c r="M2676" s="6"/>
      <c r="N2676" s="6" t="s">
        <v>1170</v>
      </c>
      <c r="O2676" s="6" t="str">
        <f>HYPERLINK("https://ceds.ed.gov/cedselementdetails.aspx?termid=6019")</f>
        <v>https://ceds.ed.gov/cedselementdetails.aspx?termid=6019</v>
      </c>
      <c r="P2676" s="6" t="str">
        <f>HYPERLINK("https://ceds.ed.gov/elementComment.aspx?elementName=Assessment Registration Creation Date &amp;elementID=6019", "Click here to submit comment")</f>
        <v>Click here to submit comment</v>
      </c>
    </row>
    <row r="2677" spans="1:16" ht="75">
      <c r="A2677" s="6" t="s">
        <v>6784</v>
      </c>
      <c r="B2677" s="6" t="s">
        <v>6847</v>
      </c>
      <c r="C2677" s="6"/>
      <c r="D2677" s="6" t="s">
        <v>1204</v>
      </c>
      <c r="E2677" s="6" t="s">
        <v>1205</v>
      </c>
      <c r="F2677" s="6" t="s">
        <v>13</v>
      </c>
      <c r="G2677" s="6"/>
      <c r="H2677" s="6"/>
      <c r="I2677" s="6" t="s">
        <v>93</v>
      </c>
      <c r="J2677" s="6"/>
      <c r="K2677" s="6" t="s">
        <v>1206</v>
      </c>
      <c r="L2677" s="6" t="s">
        <v>1207</v>
      </c>
      <c r="M2677" s="6"/>
      <c r="N2677" s="6" t="s">
        <v>1208</v>
      </c>
      <c r="O2677" s="6" t="str">
        <f>HYPERLINK("https://ceds.ed.gov/cedselementdetails.aspx?termid=6061")</f>
        <v>https://ceds.ed.gov/cedselementdetails.aspx?termid=6061</v>
      </c>
      <c r="P2677" s="6" t="str">
        <f>HYPERLINK("https://ceds.ed.gov/elementComment.aspx?elementName=Assessment Registration Testing Indicator &amp;elementID=6061", "Click here to submit comment")</f>
        <v>Click here to submit comment</v>
      </c>
    </row>
    <row r="2678" spans="1:16" ht="135">
      <c r="A2678" s="6" t="s">
        <v>6784</v>
      </c>
      <c r="B2678" s="6" t="s">
        <v>6847</v>
      </c>
      <c r="C2678" s="6"/>
      <c r="D2678" s="6" t="s">
        <v>1195</v>
      </c>
      <c r="E2678" s="6" t="s">
        <v>1196</v>
      </c>
      <c r="F2678" s="6" t="s">
        <v>13</v>
      </c>
      <c r="G2678" s="6"/>
      <c r="H2678" s="6"/>
      <c r="I2678" s="6" t="s">
        <v>73</v>
      </c>
      <c r="J2678" s="6"/>
      <c r="K2678" s="6"/>
      <c r="L2678" s="6" t="s">
        <v>1197</v>
      </c>
      <c r="M2678" s="6"/>
      <c r="N2678" s="6" t="s">
        <v>1198</v>
      </c>
      <c r="O2678" s="6" t="str">
        <f>HYPERLINK("https://ceds.ed.gov/cedselementdetails.aspx?termid=6062")</f>
        <v>https://ceds.ed.gov/cedselementdetails.aspx?termid=6062</v>
      </c>
      <c r="P2678" s="6" t="str">
        <f>HYPERLINK("https://ceds.ed.gov/elementComment.aspx?elementName=Assessment Registration Score Publish Date &amp;elementID=6062", "Click here to submit comment")</f>
        <v>Click here to submit comment</v>
      </c>
    </row>
    <row r="2679" spans="1:16" ht="409.5">
      <c r="A2679" s="6" t="s">
        <v>6784</v>
      </c>
      <c r="B2679" s="6" t="s">
        <v>6847</v>
      </c>
      <c r="C2679" s="6"/>
      <c r="D2679" s="6" t="s">
        <v>1176</v>
      </c>
      <c r="E2679" s="6" t="s">
        <v>1177</v>
      </c>
      <c r="F2679" s="7" t="s">
        <v>6400</v>
      </c>
      <c r="G2679" s="6"/>
      <c r="H2679" s="6" t="s">
        <v>66</v>
      </c>
      <c r="I2679" s="6"/>
      <c r="J2679" s="6" t="s">
        <v>1178</v>
      </c>
      <c r="K2679" s="6" t="s">
        <v>1179</v>
      </c>
      <c r="L2679" s="6" t="s">
        <v>1180</v>
      </c>
      <c r="M2679" s="6"/>
      <c r="N2679" s="6" t="s">
        <v>1181</v>
      </c>
      <c r="O2679" s="6" t="str">
        <f>HYPERLINK("https://ceds.ed.gov/cedselementdetails.aspx?termid=6063")</f>
        <v>https://ceds.ed.gov/cedselementdetails.aspx?termid=6063</v>
      </c>
      <c r="P2679" s="6" t="str">
        <f>HYPERLINK("https://ceds.ed.gov/elementComment.aspx?elementName=Assessment Registration Grade Level To Be Assessed &amp;elementID=6063", "Click here to submit comment")</f>
        <v>Click here to submit comment</v>
      </c>
    </row>
    <row r="2680" spans="1:16" ht="45">
      <c r="A2680" s="6" t="s">
        <v>6784</v>
      </c>
      <c r="B2680" s="6" t="s">
        <v>6847</v>
      </c>
      <c r="C2680" s="6"/>
      <c r="D2680" s="6" t="s">
        <v>403</v>
      </c>
      <c r="E2680" s="6" t="s">
        <v>404</v>
      </c>
      <c r="F2680" s="6" t="s">
        <v>13</v>
      </c>
      <c r="G2680" s="6"/>
      <c r="H2680" s="6"/>
      <c r="I2680" s="6" t="s">
        <v>100</v>
      </c>
      <c r="J2680" s="6"/>
      <c r="K2680" s="6"/>
      <c r="L2680" s="6" t="s">
        <v>405</v>
      </c>
      <c r="M2680" s="6"/>
      <c r="N2680" s="6" t="s">
        <v>406</v>
      </c>
      <c r="O2680" s="6" t="str">
        <f>HYPERLINK("https://ceds.ed.gov/cedselementdetails.aspx?termid=6116")</f>
        <v>https://ceds.ed.gov/cedselementdetails.aspx?termid=6116</v>
      </c>
      <c r="P2680" s="6" t="str">
        <f>HYPERLINK("https://ceds.ed.gov/elementComment.aspx?elementName=Assessment Accommodation Other Description &amp;elementID=6116", "Click here to submit comment")</f>
        <v>Click here to submit comment</v>
      </c>
    </row>
    <row r="2681" spans="1:16" ht="75">
      <c r="A2681" s="6" t="s">
        <v>6784</v>
      </c>
      <c r="B2681" s="6" t="s">
        <v>6847</v>
      </c>
      <c r="C2681" s="6"/>
      <c r="D2681" s="6" t="s">
        <v>1199</v>
      </c>
      <c r="E2681" s="6" t="s">
        <v>1200</v>
      </c>
      <c r="F2681" s="6" t="s">
        <v>13</v>
      </c>
      <c r="G2681" s="6"/>
      <c r="H2681" s="6"/>
      <c r="I2681" s="6" t="s">
        <v>100</v>
      </c>
      <c r="J2681" s="6"/>
      <c r="K2681" s="6" t="s">
        <v>1201</v>
      </c>
      <c r="L2681" s="6" t="s">
        <v>1202</v>
      </c>
      <c r="M2681" s="6"/>
      <c r="N2681" s="6" t="s">
        <v>1203</v>
      </c>
      <c r="O2681" s="6" t="str">
        <f>HYPERLINK("https://ceds.ed.gov/cedselementdetails.aspx?termid=6119")</f>
        <v>https://ceds.ed.gov/cedselementdetails.aspx?termid=6119</v>
      </c>
      <c r="P2681" s="6" t="str">
        <f>HYPERLINK("https://ceds.ed.gov/elementComment.aspx?elementName=Assessment Registration Test Attempt Identifier &amp;elementID=6119", "Click here to submit comment")</f>
        <v>Click here to submit comment</v>
      </c>
    </row>
    <row r="2682" spans="1:16" ht="165">
      <c r="A2682" s="6" t="s">
        <v>6784</v>
      </c>
      <c r="B2682" s="6" t="s">
        <v>6847</v>
      </c>
      <c r="C2682" s="6"/>
      <c r="D2682" s="6" t="s">
        <v>4975</v>
      </c>
      <c r="E2682" s="6" t="s">
        <v>4976</v>
      </c>
      <c r="F2682" s="7" t="s">
        <v>6636</v>
      </c>
      <c r="G2682" s="6"/>
      <c r="H2682" s="6"/>
      <c r="I2682" s="6"/>
      <c r="J2682" s="6"/>
      <c r="K2682" s="6"/>
      <c r="L2682" s="6" t="s">
        <v>4977</v>
      </c>
      <c r="M2682" s="6"/>
      <c r="N2682" s="6" t="s">
        <v>4978</v>
      </c>
      <c r="O2682" s="6" t="str">
        <f>HYPERLINK("https://ceds.ed.gov/cedselementdetails.aspx?termid=5228")</f>
        <v>https://ceds.ed.gov/cedselementdetails.aspx?termid=5228</v>
      </c>
      <c r="P2682" s="6" t="str">
        <f>HYPERLINK("https://ceds.ed.gov/elementComment.aspx?elementName=Reason Not Tested &amp;elementID=5228", "Click here to submit comment")</f>
        <v>Click here to submit comment</v>
      </c>
    </row>
    <row r="2683" spans="1:16" ht="165">
      <c r="A2683" s="6" t="s">
        <v>6784</v>
      </c>
      <c r="B2683" s="6" t="s">
        <v>6786</v>
      </c>
      <c r="C2683" s="6"/>
      <c r="D2683" s="6" t="s">
        <v>590</v>
      </c>
      <c r="E2683" s="6" t="s">
        <v>591</v>
      </c>
      <c r="F2683" s="6" t="s">
        <v>13</v>
      </c>
      <c r="G2683" s="6" t="s">
        <v>6015</v>
      </c>
      <c r="H2683" s="6"/>
      <c r="I2683" s="6" t="s">
        <v>100</v>
      </c>
      <c r="J2683" s="6"/>
      <c r="K2683" s="6"/>
      <c r="L2683" s="6" t="s">
        <v>592</v>
      </c>
      <c r="M2683" s="6"/>
      <c r="N2683" s="6" t="s">
        <v>593</v>
      </c>
      <c r="O2683" s="6" t="str">
        <f>HYPERLINK("https://ceds.ed.gov/cedselementdetails.aspx?termid=5152")</f>
        <v>https://ceds.ed.gov/cedselementdetails.aspx?termid=5152</v>
      </c>
      <c r="P2683" s="6" t="str">
        <f>HYPERLINK("https://ceds.ed.gov/elementComment.aspx?elementName=Assessment Identifier &amp;elementID=5152", "Click here to submit comment")</f>
        <v>Click here to submit comment</v>
      </c>
    </row>
    <row r="2684" spans="1:16" ht="240">
      <c r="A2684" s="6" t="s">
        <v>6784</v>
      </c>
      <c r="B2684" s="6" t="s">
        <v>6786</v>
      </c>
      <c r="C2684" s="6"/>
      <c r="D2684" s="6" t="s">
        <v>586</v>
      </c>
      <c r="E2684" s="6" t="s">
        <v>587</v>
      </c>
      <c r="F2684" s="7" t="s">
        <v>6382</v>
      </c>
      <c r="G2684" s="6" t="s">
        <v>6013</v>
      </c>
      <c r="H2684" s="6"/>
      <c r="I2684" s="6"/>
      <c r="J2684" s="6"/>
      <c r="K2684" s="6"/>
      <c r="L2684" s="6" t="s">
        <v>588</v>
      </c>
      <c r="M2684" s="6"/>
      <c r="N2684" s="6" t="s">
        <v>589</v>
      </c>
      <c r="O2684" s="6" t="str">
        <f>HYPERLINK("https://ceds.ed.gov/cedselementdetails.aspx?termid=5158")</f>
        <v>https://ceds.ed.gov/cedselementdetails.aspx?termid=5158</v>
      </c>
      <c r="P2684" s="6" t="str">
        <f>HYPERLINK("https://ceds.ed.gov/elementComment.aspx?elementName=Assessment Identification System &amp;elementID=5158", "Click here to submit comment")</f>
        <v>Click here to submit comment</v>
      </c>
    </row>
    <row r="2685" spans="1:16" ht="45">
      <c r="A2685" s="6" t="s">
        <v>6784</v>
      </c>
      <c r="B2685" s="6" t="s">
        <v>6786</v>
      </c>
      <c r="C2685" s="6"/>
      <c r="D2685" s="6" t="s">
        <v>429</v>
      </c>
      <c r="E2685" s="6" t="s">
        <v>430</v>
      </c>
      <c r="F2685" s="6" t="s">
        <v>13</v>
      </c>
      <c r="G2685" s="6"/>
      <c r="H2685" s="6"/>
      <c r="I2685" s="6" t="s">
        <v>100</v>
      </c>
      <c r="J2685" s="6"/>
      <c r="K2685" s="6"/>
      <c r="L2685" s="6" t="s">
        <v>431</v>
      </c>
      <c r="M2685" s="6"/>
      <c r="N2685" s="6" t="s">
        <v>432</v>
      </c>
      <c r="O2685" s="6" t="str">
        <f>HYPERLINK("https://ceds.ed.gov/cedselementdetails.aspx?termid=5978")</f>
        <v>https://ceds.ed.gov/cedselementdetails.aspx?termid=5978</v>
      </c>
      <c r="P2685" s="6" t="str">
        <f>HYPERLINK("https://ceds.ed.gov/elementComment.aspx?elementName=Assessment Administration Name &amp;elementID=5978", "Click here to submit comment")</f>
        <v>Click here to submit comment</v>
      </c>
    </row>
    <row r="2686" spans="1:16" ht="60">
      <c r="A2686" s="6" t="s">
        <v>6784</v>
      </c>
      <c r="B2686" s="6" t="s">
        <v>6786</v>
      </c>
      <c r="C2686" s="6"/>
      <c r="D2686" s="6" t="s">
        <v>433</v>
      </c>
      <c r="E2686" s="6" t="s">
        <v>434</v>
      </c>
      <c r="F2686" s="6" t="s">
        <v>13</v>
      </c>
      <c r="G2686" s="6"/>
      <c r="H2686" s="6"/>
      <c r="I2686" s="6" t="s">
        <v>106</v>
      </c>
      <c r="J2686" s="6"/>
      <c r="K2686" s="6"/>
      <c r="L2686" s="6" t="s">
        <v>435</v>
      </c>
      <c r="M2686" s="6"/>
      <c r="N2686" s="6" t="s">
        <v>436</v>
      </c>
      <c r="O2686" s="6" t="str">
        <f>HYPERLINK("https://ceds.ed.gov/cedselementdetails.aspx?termid=5967")</f>
        <v>https://ceds.ed.gov/cedselementdetails.aspx?termid=5967</v>
      </c>
      <c r="P2686" s="6" t="str">
        <f>HYPERLINK("https://ceds.ed.gov/elementComment.aspx?elementName=Assessment Administration Organization Name &amp;elementID=5967", "Click here to submit comment")</f>
        <v>Click here to submit comment</v>
      </c>
    </row>
    <row r="2687" spans="1:16" ht="45">
      <c r="A2687" s="6" t="s">
        <v>6784</v>
      </c>
      <c r="B2687" s="6" t="s">
        <v>6786</v>
      </c>
      <c r="C2687" s="6"/>
      <c r="D2687" s="6" t="s">
        <v>416</v>
      </c>
      <c r="E2687" s="6" t="s">
        <v>417</v>
      </c>
      <c r="F2687" s="6" t="s">
        <v>13</v>
      </c>
      <c r="G2687" s="6"/>
      <c r="H2687" s="6"/>
      <c r="I2687" s="6" t="s">
        <v>100</v>
      </c>
      <c r="J2687" s="6"/>
      <c r="K2687" s="6"/>
      <c r="L2687" s="6" t="s">
        <v>418</v>
      </c>
      <c r="M2687" s="6"/>
      <c r="N2687" s="6" t="s">
        <v>419</v>
      </c>
      <c r="O2687" s="6" t="str">
        <f>HYPERLINK("https://ceds.ed.gov/cedselementdetails.aspx?termid=5962")</f>
        <v>https://ceds.ed.gov/cedselementdetails.aspx?termid=5962</v>
      </c>
      <c r="P2687" s="6" t="str">
        <f>HYPERLINK("https://ceds.ed.gov/elementComment.aspx?elementName=Assessment Administration Code &amp;elementID=5962", "Click here to submit comment")</f>
        <v>Click here to submit comment</v>
      </c>
    </row>
    <row r="2688" spans="1:16" ht="45">
      <c r="A2688" s="6" t="s">
        <v>6784</v>
      </c>
      <c r="B2688" s="6" t="s">
        <v>6786</v>
      </c>
      <c r="C2688" s="6"/>
      <c r="D2688" s="6" t="s">
        <v>437</v>
      </c>
      <c r="E2688" s="6" t="s">
        <v>438</v>
      </c>
      <c r="F2688" s="6" t="s">
        <v>13</v>
      </c>
      <c r="G2688" s="6"/>
      <c r="H2688" s="6"/>
      <c r="I2688" s="6" t="s">
        <v>73</v>
      </c>
      <c r="J2688" s="6"/>
      <c r="K2688" s="6"/>
      <c r="L2688" s="6" t="s">
        <v>439</v>
      </c>
      <c r="M2688" s="6"/>
      <c r="N2688" s="6" t="s">
        <v>440</v>
      </c>
      <c r="O2688" s="6" t="str">
        <f>HYPERLINK("https://ceds.ed.gov/cedselementdetails.aspx?termid=5963")</f>
        <v>https://ceds.ed.gov/cedselementdetails.aspx?termid=5963</v>
      </c>
      <c r="P2688" s="6" t="str">
        <f>HYPERLINK("https://ceds.ed.gov/elementComment.aspx?elementName=Assessment Administration Start Date &amp;elementID=5963", "Click here to submit comment")</f>
        <v>Click here to submit comment</v>
      </c>
    </row>
    <row r="2689" spans="1:16" ht="45">
      <c r="A2689" s="6" t="s">
        <v>6784</v>
      </c>
      <c r="B2689" s="6" t="s">
        <v>6786</v>
      </c>
      <c r="C2689" s="6"/>
      <c r="D2689" s="6" t="s">
        <v>441</v>
      </c>
      <c r="E2689" s="6" t="s">
        <v>442</v>
      </c>
      <c r="F2689" s="6" t="s">
        <v>13</v>
      </c>
      <c r="G2689" s="6"/>
      <c r="H2689" s="6"/>
      <c r="I2689" s="6" t="s">
        <v>426</v>
      </c>
      <c r="J2689" s="6"/>
      <c r="K2689" s="6"/>
      <c r="L2689" s="6" t="s">
        <v>443</v>
      </c>
      <c r="M2689" s="6"/>
      <c r="N2689" s="6" t="s">
        <v>444</v>
      </c>
      <c r="O2689" s="6" t="str">
        <f>HYPERLINK("https://ceds.ed.gov/cedselementdetails.aspx?termid=5964")</f>
        <v>https://ceds.ed.gov/cedselementdetails.aspx?termid=5964</v>
      </c>
      <c r="P2689" s="6" t="str">
        <f>HYPERLINK("https://ceds.ed.gov/elementComment.aspx?elementName=Assessment Administration Start Time &amp;elementID=5964", "Click here to submit comment")</f>
        <v>Click here to submit comment</v>
      </c>
    </row>
    <row r="2690" spans="1:16" ht="45">
      <c r="A2690" s="6" t="s">
        <v>6784</v>
      </c>
      <c r="B2690" s="6" t="s">
        <v>6786</v>
      </c>
      <c r="C2690" s="6"/>
      <c r="D2690" s="6" t="s">
        <v>420</v>
      </c>
      <c r="E2690" s="6" t="s">
        <v>421</v>
      </c>
      <c r="F2690" s="6" t="s">
        <v>13</v>
      </c>
      <c r="G2690" s="6"/>
      <c r="H2690" s="6"/>
      <c r="I2690" s="6" t="s">
        <v>73</v>
      </c>
      <c r="J2690" s="6"/>
      <c r="K2690" s="6"/>
      <c r="L2690" s="6" t="s">
        <v>422</v>
      </c>
      <c r="M2690" s="6"/>
      <c r="N2690" s="6" t="s">
        <v>423</v>
      </c>
      <c r="O2690" s="6" t="str">
        <f>HYPERLINK("https://ceds.ed.gov/cedselementdetails.aspx?termid=5965")</f>
        <v>https://ceds.ed.gov/cedselementdetails.aspx?termid=5965</v>
      </c>
      <c r="P2690" s="6" t="str">
        <f>HYPERLINK("https://ceds.ed.gov/elementComment.aspx?elementName=Assessment Administration Finish Date &amp;elementID=5965", "Click here to submit comment")</f>
        <v>Click here to submit comment</v>
      </c>
    </row>
    <row r="2691" spans="1:16" ht="45">
      <c r="A2691" s="6" t="s">
        <v>6784</v>
      </c>
      <c r="B2691" s="6" t="s">
        <v>6786</v>
      </c>
      <c r="C2691" s="6"/>
      <c r="D2691" s="6" t="s">
        <v>424</v>
      </c>
      <c r="E2691" s="6" t="s">
        <v>425</v>
      </c>
      <c r="F2691" s="6" t="s">
        <v>13</v>
      </c>
      <c r="G2691" s="6"/>
      <c r="H2691" s="6"/>
      <c r="I2691" s="6" t="s">
        <v>426</v>
      </c>
      <c r="J2691" s="6"/>
      <c r="K2691" s="6"/>
      <c r="L2691" s="6" t="s">
        <v>427</v>
      </c>
      <c r="M2691" s="6"/>
      <c r="N2691" s="6" t="s">
        <v>428</v>
      </c>
      <c r="O2691" s="6" t="str">
        <f>HYPERLINK("https://ceds.ed.gov/cedselementdetails.aspx?termid=5966")</f>
        <v>https://ceds.ed.gov/cedselementdetails.aspx?termid=5966</v>
      </c>
      <c r="P2691" s="6" t="str">
        <f>HYPERLINK("https://ceds.ed.gov/elementComment.aspx?elementName=Assessment Administration Finish Time &amp;elementID=5966", "Click here to submit comment")</f>
        <v>Click here to submit comment</v>
      </c>
    </row>
    <row r="2692" spans="1:16" ht="45">
      <c r="A2692" s="6" t="s">
        <v>6784</v>
      </c>
      <c r="B2692" s="6" t="s">
        <v>6786</v>
      </c>
      <c r="C2692" s="6"/>
      <c r="D2692" s="6" t="s">
        <v>1224</v>
      </c>
      <c r="E2692" s="6" t="s">
        <v>1225</v>
      </c>
      <c r="F2692" s="6" t="s">
        <v>5963</v>
      </c>
      <c r="G2692" s="6" t="s">
        <v>5992</v>
      </c>
      <c r="H2692" s="6" t="s">
        <v>3</v>
      </c>
      <c r="I2692" s="6"/>
      <c r="J2692" s="6"/>
      <c r="K2692" s="6"/>
      <c r="L2692" s="6" t="s">
        <v>1226</v>
      </c>
      <c r="M2692" s="6"/>
      <c r="N2692" s="6" t="s">
        <v>1227</v>
      </c>
      <c r="O2692" s="6" t="str">
        <f>HYPERLINK("https://ceds.ed.gov/cedselementdetails.aspx?termid=5375")</f>
        <v>https://ceds.ed.gov/cedselementdetails.aspx?termid=5375</v>
      </c>
      <c r="P2692" s="6" t="str">
        <f>HYPERLINK("https://ceds.ed.gov/elementComment.aspx?elementName=Assessment Secure Indicator &amp;elementID=5375", "Click here to submit comment")</f>
        <v>Click here to submit comment</v>
      </c>
    </row>
    <row r="2693" spans="1:16" ht="285">
      <c r="A2693" s="6" t="s">
        <v>6784</v>
      </c>
      <c r="B2693" s="6" t="s">
        <v>6786</v>
      </c>
      <c r="C2693" s="6"/>
      <c r="D2693" s="6" t="s">
        <v>4017</v>
      </c>
      <c r="E2693" s="6" t="s">
        <v>4018</v>
      </c>
      <c r="F2693" s="7" t="s">
        <v>6577</v>
      </c>
      <c r="G2693" s="6" t="s">
        <v>6252</v>
      </c>
      <c r="H2693" s="6"/>
      <c r="I2693" s="6"/>
      <c r="J2693" s="6"/>
      <c r="K2693" s="6"/>
      <c r="L2693" s="6" t="s">
        <v>4019</v>
      </c>
      <c r="M2693" s="6" t="s">
        <v>4020</v>
      </c>
      <c r="N2693" s="6" t="s">
        <v>4021</v>
      </c>
      <c r="O2693" s="6" t="str">
        <f>HYPERLINK("https://ceds.ed.gov/cedselementdetails.aspx?termid=5159")</f>
        <v>https://ceds.ed.gov/cedselementdetails.aspx?termid=5159</v>
      </c>
      <c r="P2693" s="6" t="str">
        <f>HYPERLINK("https://ceds.ed.gov/elementComment.aspx?elementName=Local Education Agency Identification System &amp;elementID=5159", "Click here to submit comment")</f>
        <v>Click here to submit comment</v>
      </c>
    </row>
    <row r="2694" spans="1:16" ht="120">
      <c r="A2694" s="6" t="s">
        <v>6784</v>
      </c>
      <c r="B2694" s="6" t="s">
        <v>6786</v>
      </c>
      <c r="C2694" s="6"/>
      <c r="D2694" s="6" t="s">
        <v>4022</v>
      </c>
      <c r="E2694" s="6" t="s">
        <v>4023</v>
      </c>
      <c r="F2694" s="6" t="s">
        <v>13</v>
      </c>
      <c r="G2694" s="6" t="s">
        <v>6252</v>
      </c>
      <c r="H2694" s="6"/>
      <c r="I2694" s="6" t="s">
        <v>100</v>
      </c>
      <c r="J2694" s="6"/>
      <c r="K2694" s="6"/>
      <c r="L2694" s="6" t="s">
        <v>4024</v>
      </c>
      <c r="M2694" s="6" t="s">
        <v>4025</v>
      </c>
      <c r="N2694" s="6" t="s">
        <v>4026</v>
      </c>
      <c r="O2694" s="6" t="str">
        <f>HYPERLINK("https://ceds.ed.gov/cedselementdetails.aspx?termid=5153")</f>
        <v>https://ceds.ed.gov/cedselementdetails.aspx?termid=5153</v>
      </c>
      <c r="P2694" s="6" t="str">
        <f>HYPERLINK("https://ceds.ed.gov/elementComment.aspx?elementName=Local Education Agency Identifier &amp;elementID=5153", "Click here to submit comment")</f>
        <v>Click here to submit comment</v>
      </c>
    </row>
    <row r="2695" spans="1:16" ht="360">
      <c r="A2695" s="6" t="s">
        <v>6784</v>
      </c>
      <c r="B2695" s="6" t="s">
        <v>6786</v>
      </c>
      <c r="C2695" s="6"/>
      <c r="D2695" s="6" t="s">
        <v>5221</v>
      </c>
      <c r="E2695" s="6" t="s">
        <v>265</v>
      </c>
      <c r="F2695" s="7" t="s">
        <v>6645</v>
      </c>
      <c r="G2695" s="6" t="s">
        <v>6308</v>
      </c>
      <c r="H2695" s="6"/>
      <c r="I2695" s="6"/>
      <c r="J2695" s="6"/>
      <c r="K2695" s="6"/>
      <c r="L2695" s="6" t="s">
        <v>5222</v>
      </c>
      <c r="M2695" s="6"/>
      <c r="N2695" s="6" t="s">
        <v>5223</v>
      </c>
      <c r="O2695" s="6" t="str">
        <f>HYPERLINK("https://ceds.ed.gov/cedselementdetails.aspx?termid=5161")</f>
        <v>https://ceds.ed.gov/cedselementdetails.aspx?termid=5161</v>
      </c>
      <c r="P2695" s="6" t="str">
        <f>HYPERLINK("https://ceds.ed.gov/elementComment.aspx?elementName=School Identification System &amp;elementID=5161", "Click here to submit comment")</f>
        <v>Click here to submit comment</v>
      </c>
    </row>
    <row r="2696" spans="1:16" ht="165">
      <c r="A2696" s="6" t="s">
        <v>6784</v>
      </c>
      <c r="B2696" s="6" t="s">
        <v>6786</v>
      </c>
      <c r="C2696" s="6"/>
      <c r="D2696" s="6" t="s">
        <v>5224</v>
      </c>
      <c r="E2696" s="6" t="s">
        <v>269</v>
      </c>
      <c r="F2696" s="6" t="s">
        <v>13</v>
      </c>
      <c r="G2696" s="6" t="s">
        <v>6308</v>
      </c>
      <c r="H2696" s="6"/>
      <c r="I2696" s="6" t="s">
        <v>100</v>
      </c>
      <c r="J2696" s="6"/>
      <c r="K2696" s="6"/>
      <c r="L2696" s="6" t="s">
        <v>5225</v>
      </c>
      <c r="M2696" s="6"/>
      <c r="N2696" s="6" t="s">
        <v>5226</v>
      </c>
      <c r="O2696" s="6" t="str">
        <f>HYPERLINK("https://ceds.ed.gov/cedselementdetails.aspx?termid=5155")</f>
        <v>https://ceds.ed.gov/cedselementdetails.aspx?termid=5155</v>
      </c>
      <c r="P2696" s="6" t="str">
        <f>HYPERLINK("https://ceds.ed.gov/elementComment.aspx?elementName=School Identifier &amp;elementID=5155", "Click here to submit comment")</f>
        <v>Click here to submit comment</v>
      </c>
    </row>
    <row r="2697" spans="1:16" ht="75">
      <c r="A2697" s="6" t="s">
        <v>6784</v>
      </c>
      <c r="B2697" s="6" t="s">
        <v>6786</v>
      </c>
      <c r="C2697" s="6"/>
      <c r="D2697" s="6" t="s">
        <v>411</v>
      </c>
      <c r="E2697" s="6" t="s">
        <v>412</v>
      </c>
      <c r="F2697" s="6" t="s">
        <v>13</v>
      </c>
      <c r="G2697" s="6"/>
      <c r="H2697" s="6"/>
      <c r="I2697" s="6" t="s">
        <v>106</v>
      </c>
      <c r="J2697" s="6"/>
      <c r="K2697" s="6" t="s">
        <v>413</v>
      </c>
      <c r="L2697" s="6" t="s">
        <v>414</v>
      </c>
      <c r="M2697" s="6"/>
      <c r="N2697" s="6" t="s">
        <v>415</v>
      </c>
      <c r="O2697" s="6" t="str">
        <f>HYPERLINK("https://ceds.ed.gov/cedselementdetails.aspx?termid=5968")</f>
        <v>https://ceds.ed.gov/cedselementdetails.aspx?termid=5968</v>
      </c>
      <c r="P2697" s="6" t="str">
        <f>HYPERLINK("https://ceds.ed.gov/elementComment.aspx?elementName=Assessment Administration Assessment Family &amp;elementID=5968", "Click here to submit comment")</f>
        <v>Click here to submit comment</v>
      </c>
    </row>
    <row r="2698" spans="1:16" ht="45">
      <c r="A2698" s="6" t="s">
        <v>6784</v>
      </c>
      <c r="B2698" s="6" t="s">
        <v>6848</v>
      </c>
      <c r="C2698" s="6"/>
      <c r="D2698" s="6" t="s">
        <v>1000</v>
      </c>
      <c r="E2698" s="6" t="s">
        <v>1001</v>
      </c>
      <c r="F2698" s="5" t="s">
        <v>939</v>
      </c>
      <c r="G2698" s="6"/>
      <c r="H2698" s="6"/>
      <c r="I2698" s="6"/>
      <c r="J2698" s="6"/>
      <c r="K2698" s="6"/>
      <c r="L2698" s="6" t="s">
        <v>1002</v>
      </c>
      <c r="M2698" s="6"/>
      <c r="N2698" s="6" t="s">
        <v>1003</v>
      </c>
      <c r="O2698" s="6" t="str">
        <f>HYPERLINK("https://ceds.ed.gov/cedselementdetails.aspx?termid=6025")</f>
        <v>https://ceds.ed.gov/cedselementdetails.aspx?termid=6025</v>
      </c>
      <c r="P2698" s="6" t="str">
        <f>HYPERLINK("https://ceds.ed.gov/elementComment.aspx?elementName=Assessment Need Language Type &amp;elementID=6025", "Click here to submit comment")</f>
        <v>Click here to submit comment</v>
      </c>
    </row>
    <row r="2699" spans="1:16" ht="45">
      <c r="A2699" s="6" t="s">
        <v>6784</v>
      </c>
      <c r="B2699" s="6" t="s">
        <v>6848</v>
      </c>
      <c r="C2699" s="6"/>
      <c r="D2699" s="6" t="s">
        <v>1070</v>
      </c>
      <c r="E2699" s="6" t="s">
        <v>1071</v>
      </c>
      <c r="F2699" s="6" t="s">
        <v>13</v>
      </c>
      <c r="G2699" s="6"/>
      <c r="H2699" s="6"/>
      <c r="I2699" s="6" t="s">
        <v>319</v>
      </c>
      <c r="J2699" s="6"/>
      <c r="K2699" s="6"/>
      <c r="L2699" s="6" t="s">
        <v>1072</v>
      </c>
      <c r="M2699" s="6"/>
      <c r="N2699" s="6" t="s">
        <v>1073</v>
      </c>
      <c r="O2699" s="6" t="str">
        <f>HYPERLINK("https://ceds.ed.gov/cedselementdetails.aspx?termid=6101")</f>
        <v>https://ceds.ed.gov/cedselementdetails.aspx?termid=6101</v>
      </c>
      <c r="P2699" s="6" t="str">
        <f>HYPERLINK("https://ceds.ed.gov/elementComment.aspx?elementName=Assessment Need Type &amp;elementID=6101", "Click here to submit comment")</f>
        <v>Click here to submit comment</v>
      </c>
    </row>
    <row r="2700" spans="1:16" ht="60">
      <c r="A2700" s="6" t="s">
        <v>6784</v>
      </c>
      <c r="B2700" s="6" t="s">
        <v>6848</v>
      </c>
      <c r="C2700" s="6"/>
      <c r="D2700" s="6" t="s">
        <v>1142</v>
      </c>
      <c r="E2700" s="6" t="s">
        <v>1143</v>
      </c>
      <c r="F2700" s="6" t="s">
        <v>5963</v>
      </c>
      <c r="G2700" s="6"/>
      <c r="H2700" s="6"/>
      <c r="I2700" s="6"/>
      <c r="J2700" s="6"/>
      <c r="K2700" s="6" t="s">
        <v>1144</v>
      </c>
      <c r="L2700" s="6" t="s">
        <v>1145</v>
      </c>
      <c r="M2700" s="6"/>
      <c r="N2700" s="6" t="s">
        <v>1146</v>
      </c>
      <c r="O2700" s="6" t="str">
        <f>HYPERLINK("https://ceds.ed.gov/cedselementdetails.aspx?termid=6008")</f>
        <v>https://ceds.ed.gov/cedselementdetails.aspx?termid=6008</v>
      </c>
      <c r="P2700" s="6" t="str">
        <f>HYPERLINK("https://ceds.ed.gov/elementComment.aspx?elementName=Assessment Personal Needs Profile Activate By Default &amp;elementID=6008", "Click here to submit comment")</f>
        <v>Click here to submit comment</v>
      </c>
    </row>
    <row r="2701" spans="1:16" ht="60">
      <c r="A2701" s="6" t="s">
        <v>6784</v>
      </c>
      <c r="B2701" s="6" t="s">
        <v>6848</v>
      </c>
      <c r="C2701" s="6"/>
      <c r="D2701" s="6" t="s">
        <v>1147</v>
      </c>
      <c r="E2701" s="6" t="s">
        <v>1148</v>
      </c>
      <c r="F2701" s="6" t="s">
        <v>5963</v>
      </c>
      <c r="G2701" s="6"/>
      <c r="H2701" s="6"/>
      <c r="I2701" s="6"/>
      <c r="J2701" s="6"/>
      <c r="K2701" s="6" t="s">
        <v>1144</v>
      </c>
      <c r="L2701" s="6" t="s">
        <v>1149</v>
      </c>
      <c r="M2701" s="6"/>
      <c r="N2701" s="6" t="s">
        <v>1150</v>
      </c>
      <c r="O2701" s="6" t="str">
        <f>HYPERLINK("https://ceds.ed.gov/cedselementdetails.aspx?termid=6007")</f>
        <v>https://ceds.ed.gov/cedselementdetails.aspx?termid=6007</v>
      </c>
      <c r="P2701" s="6" t="str">
        <f>HYPERLINK("https://ceds.ed.gov/elementComment.aspx?elementName=Assessment Personal Needs Profile Assigned Support &amp;elementID=6007", "Click here to submit comment")</f>
        <v>Click here to submit comment</v>
      </c>
    </row>
    <row r="2702" spans="1:16" ht="90">
      <c r="A2702" s="6" t="s">
        <v>6784</v>
      </c>
      <c r="B2702" s="6" t="s">
        <v>6848</v>
      </c>
      <c r="C2702" s="6" t="s">
        <v>6907</v>
      </c>
      <c r="D2702" s="6" t="s">
        <v>946</v>
      </c>
      <c r="E2702" s="6" t="s">
        <v>947</v>
      </c>
      <c r="F2702" s="6" t="s">
        <v>6031</v>
      </c>
      <c r="G2702" s="6"/>
      <c r="H2702" s="6"/>
      <c r="I2702" s="6"/>
      <c r="J2702" s="6"/>
      <c r="K2702" s="6"/>
      <c r="L2702" s="6" t="s">
        <v>948</v>
      </c>
      <c r="M2702" s="6"/>
      <c r="N2702" s="6" t="s">
        <v>949</v>
      </c>
      <c r="O2702" s="6" t="str">
        <f>HYPERLINK("https://ceds.ed.gov/cedselementdetails.aspx?termid=6045")</f>
        <v>https://ceds.ed.gov/cedselementdetails.aspx?termid=6045</v>
      </c>
      <c r="P2702" s="6" t="str">
        <f>HYPERLINK("https://ceds.ed.gov/elementComment.aspx?elementName=Assessment Need Alternative Representation Type &amp;elementID=6045", "Click here to submit comment")</f>
        <v>Click here to submit comment</v>
      </c>
    </row>
    <row r="2703" spans="1:16" ht="75">
      <c r="A2703" s="6" t="s">
        <v>6784</v>
      </c>
      <c r="B2703" s="6" t="s">
        <v>6848</v>
      </c>
      <c r="C2703" s="6" t="s">
        <v>6907</v>
      </c>
      <c r="D2703" s="6" t="s">
        <v>972</v>
      </c>
      <c r="E2703" s="6" t="s">
        <v>973</v>
      </c>
      <c r="F2703" s="6" t="s">
        <v>5963</v>
      </c>
      <c r="G2703" s="6"/>
      <c r="H2703" s="6"/>
      <c r="I2703" s="6"/>
      <c r="J2703" s="6"/>
      <c r="K2703" s="6"/>
      <c r="L2703" s="6" t="s">
        <v>974</v>
      </c>
      <c r="M2703" s="6"/>
      <c r="N2703" s="6" t="s">
        <v>975</v>
      </c>
      <c r="O2703" s="6" t="str">
        <f>HYPERLINK("https://ceds.ed.gov/cedselementdetails.aspx?termid=6050")</f>
        <v>https://ceds.ed.gov/cedselementdetails.aspx?termid=6050</v>
      </c>
      <c r="P2703" s="6" t="str">
        <f>HYPERLINK("https://ceds.ed.gov/elementComment.aspx?elementName=Assessment Need Directions Only &amp;elementID=6050", "Click here to submit comment")</f>
        <v>Click here to submit comment</v>
      </c>
    </row>
    <row r="2704" spans="1:16" ht="90">
      <c r="A2704" s="6" t="s">
        <v>6784</v>
      </c>
      <c r="B2704" s="6" t="s">
        <v>6848</v>
      </c>
      <c r="C2704" s="6" t="s">
        <v>6907</v>
      </c>
      <c r="D2704" s="6" t="s">
        <v>980</v>
      </c>
      <c r="E2704" s="6" t="s">
        <v>981</v>
      </c>
      <c r="F2704" s="7" t="s">
        <v>6391</v>
      </c>
      <c r="G2704" s="6"/>
      <c r="H2704" s="6"/>
      <c r="I2704" s="6"/>
      <c r="J2704" s="6"/>
      <c r="K2704" s="6"/>
      <c r="L2704" s="6" t="s">
        <v>982</v>
      </c>
      <c r="M2704" s="6"/>
      <c r="N2704" s="6" t="s">
        <v>983</v>
      </c>
      <c r="O2704" s="6" t="str">
        <f>HYPERLINK("https://ceds.ed.gov/cedselementdetails.aspx?termid=6026")</f>
        <v>https://ceds.ed.gov/cedselementdetails.aspx?termid=6026</v>
      </c>
      <c r="P2704" s="6" t="str">
        <f>HYPERLINK("https://ceds.ed.gov/elementComment.aspx?elementName=Assessment Need Hazard Type &amp;elementID=6026", "Click here to submit comment")</f>
        <v>Click here to submit comment</v>
      </c>
    </row>
    <row r="2705" spans="1:16" ht="60">
      <c r="A2705" s="6" t="s">
        <v>6784</v>
      </c>
      <c r="B2705" s="6" t="s">
        <v>6848</v>
      </c>
      <c r="C2705" s="6" t="s">
        <v>6907</v>
      </c>
      <c r="D2705" s="6" t="s">
        <v>992</v>
      </c>
      <c r="E2705" s="6" t="s">
        <v>993</v>
      </c>
      <c r="F2705" s="5" t="s">
        <v>939</v>
      </c>
      <c r="G2705" s="6"/>
      <c r="H2705" s="6"/>
      <c r="I2705" s="6"/>
      <c r="J2705" s="6"/>
      <c r="K2705" s="6"/>
      <c r="L2705" s="6" t="s">
        <v>994</v>
      </c>
      <c r="M2705" s="6"/>
      <c r="N2705" s="6" t="s">
        <v>995</v>
      </c>
      <c r="O2705" s="6" t="str">
        <f>HYPERLINK("https://ceds.ed.gov/cedselementdetails.aspx?termid=6042")</f>
        <v>https://ceds.ed.gov/cedselementdetails.aspx?termid=6042</v>
      </c>
      <c r="P2705" s="6" t="str">
        <f>HYPERLINK("https://ceds.ed.gov/elementComment.aspx?elementName=Assessment Need Item Translation Display Language Type &amp;elementID=6042", "Click here to submit comment")</f>
        <v>Click here to submit comment</v>
      </c>
    </row>
    <row r="2706" spans="1:16" ht="60">
      <c r="A2706" s="6" t="s">
        <v>6784</v>
      </c>
      <c r="B2706" s="6" t="s">
        <v>6848</v>
      </c>
      <c r="C2706" s="6" t="s">
        <v>6907</v>
      </c>
      <c r="D2706" s="6" t="s">
        <v>996</v>
      </c>
      <c r="E2706" s="6" t="s">
        <v>997</v>
      </c>
      <c r="F2706" s="5" t="s">
        <v>939</v>
      </c>
      <c r="G2706" s="6"/>
      <c r="H2706" s="6"/>
      <c r="I2706" s="6"/>
      <c r="J2706" s="6"/>
      <c r="K2706" s="6"/>
      <c r="L2706" s="6" t="s">
        <v>998</v>
      </c>
      <c r="M2706" s="6"/>
      <c r="N2706" s="6" t="s">
        <v>999</v>
      </c>
      <c r="O2706" s="6" t="str">
        <f>HYPERLINK("https://ceds.ed.gov/cedselementdetails.aspx?termid=6043")</f>
        <v>https://ceds.ed.gov/cedselementdetails.aspx?termid=6043</v>
      </c>
      <c r="P2706" s="6" t="str">
        <f>HYPERLINK("https://ceds.ed.gov/elementComment.aspx?elementName=Assessment Need Keyword Translation Language Type &amp;elementID=6043", "Click here to submit comment")</f>
        <v>Click here to submit comment</v>
      </c>
    </row>
    <row r="2707" spans="1:16" ht="225">
      <c r="A2707" s="6" t="s">
        <v>6784</v>
      </c>
      <c r="B2707" s="6" t="s">
        <v>6848</v>
      </c>
      <c r="C2707" s="6" t="s">
        <v>6907</v>
      </c>
      <c r="D2707" s="6" t="s">
        <v>1057</v>
      </c>
      <c r="E2707" s="6" t="s">
        <v>1058</v>
      </c>
      <c r="F2707" s="7" t="s">
        <v>6395</v>
      </c>
      <c r="G2707" s="6"/>
      <c r="H2707" s="6"/>
      <c r="I2707" s="6"/>
      <c r="J2707" s="6"/>
      <c r="K2707" s="6"/>
      <c r="L2707" s="6" t="s">
        <v>1059</v>
      </c>
      <c r="M2707" s="6"/>
      <c r="N2707" s="6" t="s">
        <v>1060</v>
      </c>
      <c r="O2707" s="6" t="str">
        <f>HYPERLINK("https://ceds.ed.gov/cedselementdetails.aspx?termid=6027")</f>
        <v>https://ceds.ed.gov/cedselementdetails.aspx?termid=6027</v>
      </c>
      <c r="P2707" s="6" t="str">
        <f>HYPERLINK("https://ceds.ed.gov/elementComment.aspx?elementName=Assessment Need Support Tool Type &amp;elementID=6027", "Click here to submit comment")</f>
        <v>Click here to submit comment</v>
      </c>
    </row>
    <row r="2708" spans="1:16" ht="105">
      <c r="A2708" s="6" t="s">
        <v>6784</v>
      </c>
      <c r="B2708" s="6" t="s">
        <v>6848</v>
      </c>
      <c r="C2708" s="6" t="s">
        <v>6907</v>
      </c>
      <c r="D2708" s="6" t="s">
        <v>1078</v>
      </c>
      <c r="E2708" s="6" t="s">
        <v>1079</v>
      </c>
      <c r="F2708" s="7" t="s">
        <v>6397</v>
      </c>
      <c r="G2708" s="6"/>
      <c r="H2708" s="6"/>
      <c r="I2708" s="6"/>
      <c r="J2708" s="6"/>
      <c r="K2708" s="6"/>
      <c r="L2708" s="6" t="s">
        <v>1080</v>
      </c>
      <c r="M2708" s="6"/>
      <c r="N2708" s="6" t="s">
        <v>1081</v>
      </c>
      <c r="O2708" s="6" t="str">
        <f>HYPERLINK("https://ceds.ed.gov/cedselementdetails.aspx?termid=6049")</f>
        <v>https://ceds.ed.gov/cedselementdetails.aspx?termid=6049</v>
      </c>
      <c r="P2708" s="6" t="str">
        <f>HYPERLINK("https://ceds.ed.gov/elementComment.aspx?elementName=Assessment Need User Spoken Preference Type &amp;elementID=6049", "Click here to submit comment")</f>
        <v>Click here to submit comment</v>
      </c>
    </row>
    <row r="2709" spans="1:16" ht="105">
      <c r="A2709" s="6" t="s">
        <v>6784</v>
      </c>
      <c r="B2709" s="6" t="s">
        <v>6848</v>
      </c>
      <c r="C2709" s="6" t="s">
        <v>6908</v>
      </c>
      <c r="D2709" s="6" t="s">
        <v>1065</v>
      </c>
      <c r="E2709" s="6" t="s">
        <v>1066</v>
      </c>
      <c r="F2709" s="6" t="s">
        <v>13</v>
      </c>
      <c r="G2709" s="6"/>
      <c r="H2709" s="6"/>
      <c r="I2709" s="6" t="s">
        <v>1067</v>
      </c>
      <c r="J2709" s="6"/>
      <c r="K2709" s="6"/>
      <c r="L2709" s="6" t="s">
        <v>1068</v>
      </c>
      <c r="M2709" s="6"/>
      <c r="N2709" s="6" t="s">
        <v>1069</v>
      </c>
      <c r="O2709" s="6" t="str">
        <f>HYPERLINK("https://ceds.ed.gov/cedselementdetails.aspx?termid=6055")</f>
        <v>https://ceds.ed.gov/cedselementdetails.aspx?termid=6055</v>
      </c>
      <c r="P2709" s="6" t="str">
        <f>HYPERLINK("https://ceds.ed.gov/elementComment.aspx?elementName=Assessment Need Time Multiplier &amp;elementID=6055", "Click here to submit comment")</f>
        <v>Click here to submit comment</v>
      </c>
    </row>
    <row r="2710" spans="1:16" ht="45">
      <c r="A2710" s="6" t="s">
        <v>6784</v>
      </c>
      <c r="B2710" s="6" t="s">
        <v>6848</v>
      </c>
      <c r="C2710" s="6" t="s">
        <v>6909</v>
      </c>
      <c r="D2710" s="6" t="s">
        <v>955</v>
      </c>
      <c r="E2710" s="6" t="s">
        <v>956</v>
      </c>
      <c r="F2710" s="6" t="s">
        <v>13</v>
      </c>
      <c r="G2710" s="6"/>
      <c r="H2710" s="6"/>
      <c r="I2710" s="6" t="s">
        <v>957</v>
      </c>
      <c r="J2710" s="6"/>
      <c r="K2710" s="6"/>
      <c r="L2710" s="6" t="s">
        <v>958</v>
      </c>
      <c r="M2710" s="6"/>
      <c r="N2710" s="6" t="s">
        <v>959</v>
      </c>
      <c r="O2710" s="6" t="str">
        <f>HYPERLINK("https://ceds.ed.gov/cedselementdetails.aspx?termid=6040")</f>
        <v>https://ceds.ed.gov/cedselementdetails.aspx?termid=6040</v>
      </c>
      <c r="P2710" s="6" t="str">
        <f>HYPERLINK("https://ceds.ed.gov/elementComment.aspx?elementName=Assessment Need Braille Dot Pressure &amp;elementID=6040", "Click here to submit comment")</f>
        <v>Click here to submit comment</v>
      </c>
    </row>
    <row r="2711" spans="1:16" ht="60">
      <c r="A2711" s="6" t="s">
        <v>6784</v>
      </c>
      <c r="B2711" s="6" t="s">
        <v>6848</v>
      </c>
      <c r="C2711" s="6" t="s">
        <v>6909</v>
      </c>
      <c r="D2711" s="6" t="s">
        <v>960</v>
      </c>
      <c r="E2711" s="6" t="s">
        <v>961</v>
      </c>
      <c r="F2711" s="6" t="s">
        <v>6035</v>
      </c>
      <c r="G2711" s="6"/>
      <c r="H2711" s="6"/>
      <c r="I2711" s="6"/>
      <c r="J2711" s="6"/>
      <c r="K2711" s="6"/>
      <c r="L2711" s="6" t="s">
        <v>962</v>
      </c>
      <c r="M2711" s="6"/>
      <c r="N2711" s="6" t="s">
        <v>963</v>
      </c>
      <c r="O2711" s="6" t="str">
        <f>HYPERLINK("https://ceds.ed.gov/cedselementdetails.aspx?termid=6035")</f>
        <v>https://ceds.ed.gov/cedselementdetails.aspx?termid=6035</v>
      </c>
      <c r="P2711" s="6" t="str">
        <f>HYPERLINK("https://ceds.ed.gov/elementComment.aspx?elementName=Assessment Need Braille Grade Type &amp;elementID=6035", "Click here to submit comment")</f>
        <v>Click here to submit comment</v>
      </c>
    </row>
    <row r="2712" spans="1:16" ht="105">
      <c r="A2712" s="6" t="s">
        <v>6784</v>
      </c>
      <c r="B2712" s="6" t="s">
        <v>6848</v>
      </c>
      <c r="C2712" s="6" t="s">
        <v>6909</v>
      </c>
      <c r="D2712" s="6" t="s">
        <v>964</v>
      </c>
      <c r="E2712" s="6" t="s">
        <v>965</v>
      </c>
      <c r="F2712" s="6" t="s">
        <v>6036</v>
      </c>
      <c r="G2712" s="6"/>
      <c r="H2712" s="6"/>
      <c r="I2712" s="6"/>
      <c r="J2712" s="6"/>
      <c r="K2712" s="6"/>
      <c r="L2712" s="6" t="s">
        <v>966</v>
      </c>
      <c r="M2712" s="6"/>
      <c r="N2712" s="6" t="s">
        <v>967</v>
      </c>
      <c r="O2712" s="6" t="str">
        <f>HYPERLINK("https://ceds.ed.gov/cedselementdetails.aspx?termid=6038")</f>
        <v>https://ceds.ed.gov/cedselementdetails.aspx?termid=6038</v>
      </c>
      <c r="P2712" s="6" t="str">
        <f>HYPERLINK("https://ceds.ed.gov/elementComment.aspx?elementName=Assessment Need Braille Mark Type &amp;elementID=6038", "Click here to submit comment")</f>
        <v>Click here to submit comment</v>
      </c>
    </row>
    <row r="2713" spans="1:16" ht="60">
      <c r="A2713" s="6" t="s">
        <v>6784</v>
      </c>
      <c r="B2713" s="6" t="s">
        <v>6848</v>
      </c>
      <c r="C2713" s="6" t="s">
        <v>6909</v>
      </c>
      <c r="D2713" s="6" t="s">
        <v>968</v>
      </c>
      <c r="E2713" s="6" t="s">
        <v>969</v>
      </c>
      <c r="F2713" s="6" t="s">
        <v>6037</v>
      </c>
      <c r="G2713" s="6"/>
      <c r="H2713" s="6"/>
      <c r="I2713" s="6"/>
      <c r="J2713" s="6"/>
      <c r="K2713" s="6"/>
      <c r="L2713" s="6" t="s">
        <v>970</v>
      </c>
      <c r="M2713" s="6"/>
      <c r="N2713" s="6" t="s">
        <v>971</v>
      </c>
      <c r="O2713" s="6" t="str">
        <f>HYPERLINK("https://ceds.ed.gov/cedselementdetails.aspx?termid=6041")</f>
        <v>https://ceds.ed.gov/cedselementdetails.aspx?termid=6041</v>
      </c>
      <c r="P2713" s="6" t="str">
        <f>HYPERLINK("https://ceds.ed.gov/elementComment.aspx?elementName=Assessment Need Braille Status Cell Type &amp;elementID=6041", "Click here to submit comment")</f>
        <v>Click here to submit comment</v>
      </c>
    </row>
    <row r="2714" spans="1:16" ht="60">
      <c r="A2714" s="6" t="s">
        <v>6784</v>
      </c>
      <c r="B2714" s="6" t="s">
        <v>6848</v>
      </c>
      <c r="C2714" s="6" t="s">
        <v>6909</v>
      </c>
      <c r="D2714" s="6" t="s">
        <v>988</v>
      </c>
      <c r="E2714" s="6" t="s">
        <v>989</v>
      </c>
      <c r="F2714" s="6" t="s">
        <v>5963</v>
      </c>
      <c r="G2714" s="6"/>
      <c r="H2714" s="6"/>
      <c r="I2714" s="6"/>
      <c r="J2714" s="6"/>
      <c r="K2714" s="6"/>
      <c r="L2714" s="6" t="s">
        <v>990</v>
      </c>
      <c r="M2714" s="6"/>
      <c r="N2714" s="6" t="s">
        <v>991</v>
      </c>
      <c r="O2714" s="6" t="str">
        <f>HYPERLINK("https://ceds.ed.gov/cedselementdetails.aspx?termid=6033")</f>
        <v>https://ceds.ed.gov/cedselementdetails.aspx?termid=6033</v>
      </c>
      <c r="P2714" s="6" t="str">
        <f>HYPERLINK("https://ceds.ed.gov/elementComment.aspx?elementName=Assessment Need Invert Color Choice &amp;elementID=6033", "Click here to submit comment")</f>
        <v>Click here to submit comment</v>
      </c>
    </row>
    <row r="2715" spans="1:16" ht="60">
      <c r="A2715" s="6" t="s">
        <v>6784</v>
      </c>
      <c r="B2715" s="6" t="s">
        <v>6848</v>
      </c>
      <c r="C2715" s="6" t="s">
        <v>6909</v>
      </c>
      <c r="D2715" s="6" t="s">
        <v>1004</v>
      </c>
      <c r="E2715" s="6" t="s">
        <v>1005</v>
      </c>
      <c r="F2715" s="6" t="s">
        <v>13</v>
      </c>
      <c r="G2715" s="6"/>
      <c r="H2715" s="6"/>
      <c r="I2715" s="6" t="s">
        <v>952</v>
      </c>
      <c r="J2715" s="6"/>
      <c r="K2715" s="6"/>
      <c r="L2715" s="6" t="s">
        <v>1006</v>
      </c>
      <c r="M2715" s="6"/>
      <c r="N2715" s="6" t="s">
        <v>1007</v>
      </c>
      <c r="O2715" s="6" t="str">
        <f>HYPERLINK("https://ceds.ed.gov/cedselementdetails.aspx?termid=6056")</f>
        <v>https://ceds.ed.gov/cedselementdetails.aspx?termid=6056</v>
      </c>
      <c r="P2715" s="6" t="str">
        <f>HYPERLINK("https://ceds.ed.gov/elementComment.aspx?elementName=Assessment Need Line Reader Highlight Color &amp;elementID=6056", "Click here to submit comment")</f>
        <v>Click here to submit comment</v>
      </c>
    </row>
    <row r="2716" spans="1:16" ht="105">
      <c r="A2716" s="6" t="s">
        <v>6784</v>
      </c>
      <c r="B2716" s="6" t="s">
        <v>6848</v>
      </c>
      <c r="C2716" s="6" t="s">
        <v>6909</v>
      </c>
      <c r="D2716" s="6" t="s">
        <v>1008</v>
      </c>
      <c r="E2716" s="6" t="s">
        <v>1009</v>
      </c>
      <c r="F2716" s="7" t="s">
        <v>6392</v>
      </c>
      <c r="G2716" s="6"/>
      <c r="H2716" s="6"/>
      <c r="I2716" s="6"/>
      <c r="J2716" s="6"/>
      <c r="K2716" s="6"/>
      <c r="L2716" s="6" t="s">
        <v>1010</v>
      </c>
      <c r="M2716" s="6"/>
      <c r="N2716" s="6" t="s">
        <v>1011</v>
      </c>
      <c r="O2716" s="6" t="str">
        <f>HYPERLINK("https://ceds.ed.gov/cedselementdetails.aspx?termid=6029")</f>
        <v>https://ceds.ed.gov/cedselementdetails.aspx?termid=6029</v>
      </c>
      <c r="P2716" s="6" t="str">
        <f>HYPERLINK("https://ceds.ed.gov/elementComment.aspx?elementName=Assessment Need Link Indication Type &amp;elementID=6029", "Click here to submit comment")</f>
        <v>Click here to submit comment</v>
      </c>
    </row>
    <row r="2717" spans="1:16" ht="60">
      <c r="A2717" s="6" t="s">
        <v>6784</v>
      </c>
      <c r="B2717" s="6" t="s">
        <v>6848</v>
      </c>
      <c r="C2717" s="6" t="s">
        <v>6909</v>
      </c>
      <c r="D2717" s="6" t="s">
        <v>1012</v>
      </c>
      <c r="E2717" s="6" t="s">
        <v>1013</v>
      </c>
      <c r="F2717" s="6" t="s">
        <v>13</v>
      </c>
      <c r="G2717" s="6"/>
      <c r="H2717" s="6"/>
      <c r="I2717" s="6" t="s">
        <v>957</v>
      </c>
      <c r="J2717" s="6"/>
      <c r="K2717" s="6"/>
      <c r="L2717" s="6" t="s">
        <v>1014</v>
      </c>
      <c r="M2717" s="6"/>
      <c r="N2717" s="6" t="s">
        <v>1015</v>
      </c>
      <c r="O2717" s="6" t="str">
        <f>HYPERLINK("https://ceds.ed.gov/cedselementdetails.aspx?termid=6034")</f>
        <v>https://ceds.ed.gov/cedselementdetails.aspx?termid=6034</v>
      </c>
      <c r="P2717" s="6" t="str">
        <f>HYPERLINK("https://ceds.ed.gov/elementComment.aspx?elementName=Assessment Need Magnification &amp;elementID=6034", "Click here to submit comment")</f>
        <v>Click here to submit comment</v>
      </c>
    </row>
    <row r="2718" spans="1:16" ht="75">
      <c r="A2718" s="6" t="s">
        <v>6784</v>
      </c>
      <c r="B2718" s="6" t="s">
        <v>6848</v>
      </c>
      <c r="C2718" s="6" t="s">
        <v>6909</v>
      </c>
      <c r="D2718" s="6" t="s">
        <v>1016</v>
      </c>
      <c r="E2718" s="6" t="s">
        <v>1017</v>
      </c>
      <c r="F2718" s="7" t="s">
        <v>6393</v>
      </c>
      <c r="G2718" s="6"/>
      <c r="H2718" s="6"/>
      <c r="I2718" s="6"/>
      <c r="J2718" s="6"/>
      <c r="K2718" s="6"/>
      <c r="L2718" s="6" t="s">
        <v>1018</v>
      </c>
      <c r="M2718" s="6"/>
      <c r="N2718" s="6" t="s">
        <v>1019</v>
      </c>
      <c r="O2718" s="6" t="str">
        <f>HYPERLINK("https://ceds.ed.gov/cedselementdetails.aspx?termid=6051")</f>
        <v>https://ceds.ed.gov/cedselementdetails.aspx?termid=6051</v>
      </c>
      <c r="P2718" s="6" t="str">
        <f>HYPERLINK("https://ceds.ed.gov/elementComment.aspx?elementName=Assessment Need Masking Type &amp;elementID=6051", "Click here to submit comment")</f>
        <v>Click here to submit comment</v>
      </c>
    </row>
    <row r="2719" spans="1:16" ht="45">
      <c r="A2719" s="6" t="s">
        <v>6784</v>
      </c>
      <c r="B2719" s="6" t="s">
        <v>6848</v>
      </c>
      <c r="C2719" s="6" t="s">
        <v>6909</v>
      </c>
      <c r="D2719" s="6" t="s">
        <v>1020</v>
      </c>
      <c r="E2719" s="6" t="s">
        <v>1021</v>
      </c>
      <c r="F2719" s="6" t="s">
        <v>13</v>
      </c>
      <c r="G2719" s="6"/>
      <c r="H2719" s="6"/>
      <c r="I2719" s="6" t="s">
        <v>1022</v>
      </c>
      <c r="J2719" s="6"/>
      <c r="K2719" s="6"/>
      <c r="L2719" s="6" t="s">
        <v>1023</v>
      </c>
      <c r="M2719" s="6"/>
      <c r="N2719" s="6" t="s">
        <v>1024</v>
      </c>
      <c r="O2719" s="6" t="str">
        <f>HYPERLINK("https://ceds.ed.gov/cedselementdetails.aspx?termid=6037")</f>
        <v>https://ceds.ed.gov/cedselementdetails.aspx?termid=6037</v>
      </c>
      <c r="P2719" s="6" t="str">
        <f>HYPERLINK("https://ceds.ed.gov/elementComment.aspx?elementName=Assessment Need Number of Braille Cells &amp;elementID=6037", "Click here to submit comment")</f>
        <v>Click here to submit comment</v>
      </c>
    </row>
    <row r="2720" spans="1:16" ht="45">
      <c r="A2720" s="6" t="s">
        <v>6784</v>
      </c>
      <c r="B2720" s="6" t="s">
        <v>6848</v>
      </c>
      <c r="C2720" s="6" t="s">
        <v>6909</v>
      </c>
      <c r="D2720" s="6" t="s">
        <v>1025</v>
      </c>
      <c r="E2720" s="6" t="s">
        <v>1026</v>
      </c>
      <c r="F2720" s="6" t="s">
        <v>6040</v>
      </c>
      <c r="G2720" s="6"/>
      <c r="H2720" s="6"/>
      <c r="I2720" s="6"/>
      <c r="J2720" s="6"/>
      <c r="K2720" s="6"/>
      <c r="L2720" s="6" t="s">
        <v>1027</v>
      </c>
      <c r="M2720" s="6"/>
      <c r="N2720" s="6" t="s">
        <v>1028</v>
      </c>
      <c r="O2720" s="6" t="str">
        <f>HYPERLINK("https://ceds.ed.gov/cedselementdetails.aspx?termid=6036")</f>
        <v>https://ceds.ed.gov/cedselementdetails.aspx?termid=6036</v>
      </c>
      <c r="P2720" s="6" t="str">
        <f>HYPERLINK("https://ceds.ed.gov/elementComment.aspx?elementName=Assessment Need Number of Braille Dots Type &amp;elementID=6036", "Click here to submit comment")</f>
        <v>Click here to submit comment</v>
      </c>
    </row>
    <row r="2721" spans="1:16" ht="45">
      <c r="A2721" s="6" t="s">
        <v>6784</v>
      </c>
      <c r="B2721" s="6" t="s">
        <v>6848</v>
      </c>
      <c r="C2721" s="6" t="s">
        <v>6909</v>
      </c>
      <c r="D2721" s="6" t="s">
        <v>1033</v>
      </c>
      <c r="E2721" s="6" t="s">
        <v>1034</v>
      </c>
      <c r="F2721" s="6" t="s">
        <v>13</v>
      </c>
      <c r="G2721" s="6"/>
      <c r="H2721" s="6"/>
      <c r="I2721" s="6" t="s">
        <v>957</v>
      </c>
      <c r="J2721" s="6"/>
      <c r="K2721" s="6"/>
      <c r="L2721" s="6" t="s">
        <v>1035</v>
      </c>
      <c r="M2721" s="6"/>
      <c r="N2721" s="6" t="s">
        <v>1036</v>
      </c>
      <c r="O2721" s="6" t="str">
        <f>HYPERLINK("https://ceds.ed.gov/cedselementdetails.aspx?termid=6031")</f>
        <v>https://ceds.ed.gov/cedselementdetails.aspx?termid=6031</v>
      </c>
      <c r="P2721" s="6" t="str">
        <f>HYPERLINK("https://ceds.ed.gov/elementComment.aspx?elementName=Assessment Need Pitch &amp;elementID=6031", "Click here to submit comment")</f>
        <v>Click here to submit comment</v>
      </c>
    </row>
    <row r="2722" spans="1:16" ht="60">
      <c r="A2722" s="6" t="s">
        <v>6784</v>
      </c>
      <c r="B2722" s="6" t="s">
        <v>6848</v>
      </c>
      <c r="C2722" s="6" t="s">
        <v>6909</v>
      </c>
      <c r="D2722" s="6" t="s">
        <v>1037</v>
      </c>
      <c r="E2722" s="6" t="s">
        <v>1038</v>
      </c>
      <c r="F2722" s="6" t="s">
        <v>5963</v>
      </c>
      <c r="G2722" s="6"/>
      <c r="H2722" s="6"/>
      <c r="I2722" s="6"/>
      <c r="J2722" s="6"/>
      <c r="K2722" s="6"/>
      <c r="L2722" s="6" t="s">
        <v>1039</v>
      </c>
      <c r="M2722" s="6"/>
      <c r="N2722" s="6" t="s">
        <v>1040</v>
      </c>
      <c r="O2722" s="6" t="str">
        <f>HYPERLINK("https://ceds.ed.gov/cedselementdetails.aspx?termid=6048")</f>
        <v>https://ceds.ed.gov/cedselementdetails.aspx?termid=6048</v>
      </c>
      <c r="P2722" s="6" t="str">
        <f>HYPERLINK("https://ceds.ed.gov/elementComment.aspx?elementName=Assessment Need Read At Start Preference &amp;elementID=6048", "Click here to submit comment")</f>
        <v>Click here to submit comment</v>
      </c>
    </row>
    <row r="2723" spans="1:16" ht="75">
      <c r="A2723" s="6" t="s">
        <v>6784</v>
      </c>
      <c r="B2723" s="6" t="s">
        <v>6848</v>
      </c>
      <c r="C2723" s="6" t="s">
        <v>6909</v>
      </c>
      <c r="D2723" s="6" t="s">
        <v>1041</v>
      </c>
      <c r="E2723" s="6" t="s">
        <v>1042</v>
      </c>
      <c r="F2723" s="7" t="s">
        <v>6394</v>
      </c>
      <c r="G2723" s="6"/>
      <c r="H2723" s="6"/>
      <c r="I2723" s="6"/>
      <c r="J2723" s="6"/>
      <c r="K2723" s="6"/>
      <c r="L2723" s="6" t="s">
        <v>1043</v>
      </c>
      <c r="M2723" s="6"/>
      <c r="N2723" s="6" t="s">
        <v>1044</v>
      </c>
      <c r="O2723" s="6" t="str">
        <f>HYPERLINK("https://ceds.ed.gov/cedselementdetails.aspx?termid=6044")</f>
        <v>https://ceds.ed.gov/cedselementdetails.aspx?termid=6044</v>
      </c>
      <c r="P2723" s="6" t="str">
        <f>HYPERLINK("https://ceds.ed.gov/elementComment.aspx?elementName=Assessment Need Signing Type &amp;elementID=6044", "Click here to submit comment")</f>
        <v>Click here to submit comment</v>
      </c>
    </row>
    <row r="2724" spans="1:16" ht="105">
      <c r="A2724" s="6" t="s">
        <v>6784</v>
      </c>
      <c r="B2724" s="6" t="s">
        <v>6848</v>
      </c>
      <c r="C2724" s="6" t="s">
        <v>6909</v>
      </c>
      <c r="D2724" s="6" t="s">
        <v>1045</v>
      </c>
      <c r="E2724" s="6" t="s">
        <v>1046</v>
      </c>
      <c r="F2724" s="6" t="s">
        <v>13</v>
      </c>
      <c r="G2724" s="6"/>
      <c r="H2724" s="6"/>
      <c r="I2724" s="6" t="s">
        <v>93</v>
      </c>
      <c r="J2724" s="6"/>
      <c r="K2724" s="6"/>
      <c r="L2724" s="6" t="s">
        <v>1047</v>
      </c>
      <c r="M2724" s="6"/>
      <c r="N2724" s="6" t="s">
        <v>1048</v>
      </c>
      <c r="O2724" s="6" t="str">
        <f>HYPERLINK("https://ceds.ed.gov/cedselementdetails.aspx?termid=6053")</f>
        <v>https://ceds.ed.gov/cedselementdetails.aspx?termid=6053</v>
      </c>
      <c r="P2724" s="6" t="str">
        <f>HYPERLINK("https://ceds.ed.gov/elementComment.aspx?elementName=Assessment Need Sound File URL &amp;elementID=6053", "Click here to submit comment")</f>
        <v>Click here to submit comment</v>
      </c>
    </row>
    <row r="2725" spans="1:16" ht="45">
      <c r="A2725" s="6" t="s">
        <v>6784</v>
      </c>
      <c r="B2725" s="6" t="s">
        <v>6848</v>
      </c>
      <c r="C2725" s="6" t="s">
        <v>6909</v>
      </c>
      <c r="D2725" s="6" t="s">
        <v>1049</v>
      </c>
      <c r="E2725" s="6" t="s">
        <v>1050</v>
      </c>
      <c r="F2725" s="6" t="s">
        <v>13</v>
      </c>
      <c r="G2725" s="6"/>
      <c r="H2725" s="6"/>
      <c r="I2725" s="6" t="s">
        <v>1022</v>
      </c>
      <c r="J2725" s="6"/>
      <c r="K2725" s="6"/>
      <c r="L2725" s="6" t="s">
        <v>1051</v>
      </c>
      <c r="M2725" s="6"/>
      <c r="N2725" s="6" t="s">
        <v>1052</v>
      </c>
      <c r="O2725" s="6" t="str">
        <f>HYPERLINK("https://ceds.ed.gov/cedselementdetails.aspx?termid=6030")</f>
        <v>https://ceds.ed.gov/cedselementdetails.aspx?termid=6030</v>
      </c>
      <c r="P2725" s="6" t="str">
        <f>HYPERLINK("https://ceds.ed.gov/elementComment.aspx?elementName=Assessment Need Speech Rate &amp;elementID=6030", "Click here to submit comment")</f>
        <v>Click here to submit comment</v>
      </c>
    </row>
    <row r="2726" spans="1:16" ht="45">
      <c r="A2726" s="6" t="s">
        <v>6784</v>
      </c>
      <c r="B2726" s="6" t="s">
        <v>6848</v>
      </c>
      <c r="C2726" s="6" t="s">
        <v>6909</v>
      </c>
      <c r="D2726" s="6" t="s">
        <v>1053</v>
      </c>
      <c r="E2726" s="6" t="s">
        <v>1054</v>
      </c>
      <c r="F2726" s="6" t="s">
        <v>6041</v>
      </c>
      <c r="G2726" s="6"/>
      <c r="H2726" s="6"/>
      <c r="I2726" s="6"/>
      <c r="J2726" s="6"/>
      <c r="K2726" s="6"/>
      <c r="L2726" s="6" t="s">
        <v>1055</v>
      </c>
      <c r="M2726" s="6"/>
      <c r="N2726" s="6" t="s">
        <v>1056</v>
      </c>
      <c r="O2726" s="6" t="str">
        <f>HYPERLINK("https://ceds.ed.gov/cedselementdetails.aspx?termid=6046")</f>
        <v>https://ceds.ed.gov/cedselementdetails.aspx?termid=6046</v>
      </c>
      <c r="P2726" s="6" t="str">
        <f>HYPERLINK("https://ceds.ed.gov/elementComment.aspx?elementName=Assessment Need Spoken Source Preference Type &amp;elementID=6046", "Click here to submit comment")</f>
        <v>Click here to submit comment</v>
      </c>
    </row>
    <row r="2727" spans="1:16" ht="105">
      <c r="A2727" s="6" t="s">
        <v>6784</v>
      </c>
      <c r="B2727" s="6" t="s">
        <v>6848</v>
      </c>
      <c r="C2727" s="6" t="s">
        <v>6909</v>
      </c>
      <c r="D2727" s="6" t="s">
        <v>1061</v>
      </c>
      <c r="E2727" s="6" t="s">
        <v>1062</v>
      </c>
      <c r="F2727" s="6" t="s">
        <v>13</v>
      </c>
      <c r="G2727" s="6"/>
      <c r="H2727" s="6"/>
      <c r="I2727" s="6" t="s">
        <v>319</v>
      </c>
      <c r="J2727" s="6"/>
      <c r="K2727" s="6"/>
      <c r="L2727" s="6" t="s">
        <v>1063</v>
      </c>
      <c r="M2727" s="6"/>
      <c r="N2727" s="6" t="s">
        <v>1064</v>
      </c>
      <c r="O2727" s="6" t="str">
        <f>HYPERLINK("https://ceds.ed.gov/cedselementdetails.aspx?termid=6052")</f>
        <v>https://ceds.ed.gov/cedselementdetails.aspx?termid=6052</v>
      </c>
      <c r="P2727" s="6" t="str">
        <f>HYPERLINK("https://ceds.ed.gov/elementComment.aspx?elementName=Assessment Need Text Messaging String &amp;elementID=6052", "Click here to submit comment")</f>
        <v>Click here to submit comment</v>
      </c>
    </row>
    <row r="2728" spans="1:16" ht="90">
      <c r="A2728" s="6" t="s">
        <v>6784</v>
      </c>
      <c r="B2728" s="6" t="s">
        <v>6848</v>
      </c>
      <c r="C2728" s="6" t="s">
        <v>6909</v>
      </c>
      <c r="D2728" s="6" t="s">
        <v>1074</v>
      </c>
      <c r="E2728" s="6" t="s">
        <v>1075</v>
      </c>
      <c r="F2728" s="7" t="s">
        <v>6396</v>
      </c>
      <c r="G2728" s="6"/>
      <c r="H2728" s="6"/>
      <c r="I2728" s="6"/>
      <c r="J2728" s="6"/>
      <c r="K2728" s="6"/>
      <c r="L2728" s="6" t="s">
        <v>1076</v>
      </c>
      <c r="M2728" s="6"/>
      <c r="N2728" s="6" t="s">
        <v>1077</v>
      </c>
      <c r="O2728" s="6" t="str">
        <f>HYPERLINK("https://ceds.ed.gov/cedselementdetails.aspx?termid=6028")</f>
        <v>https://ceds.ed.gov/cedselementdetails.aspx?termid=6028</v>
      </c>
      <c r="P2728" s="6" t="str">
        <f>HYPERLINK("https://ceds.ed.gov/elementComment.aspx?elementName=Assessment Need Usage Type &amp;elementID=6028", "Click here to submit comment")</f>
        <v>Click here to submit comment</v>
      </c>
    </row>
    <row r="2729" spans="1:16" ht="45">
      <c r="A2729" s="6" t="s">
        <v>6784</v>
      </c>
      <c r="B2729" s="6" t="s">
        <v>6848</v>
      </c>
      <c r="C2729" s="6" t="s">
        <v>6909</v>
      </c>
      <c r="D2729" s="6" t="s">
        <v>1082</v>
      </c>
      <c r="E2729" s="6" t="s">
        <v>1083</v>
      </c>
      <c r="F2729" s="6" t="s">
        <v>13</v>
      </c>
      <c r="G2729" s="6"/>
      <c r="H2729" s="6"/>
      <c r="I2729" s="6" t="s">
        <v>957</v>
      </c>
      <c r="J2729" s="6"/>
      <c r="K2729" s="6"/>
      <c r="L2729" s="6" t="s">
        <v>1084</v>
      </c>
      <c r="M2729" s="6"/>
      <c r="N2729" s="6" t="s">
        <v>1085</v>
      </c>
      <c r="O2729" s="6" t="str">
        <f>HYPERLINK("https://ceds.ed.gov/cedselementdetails.aspx?termid=6032")</f>
        <v>https://ceds.ed.gov/cedselementdetails.aspx?termid=6032</v>
      </c>
      <c r="P2729" s="6" t="str">
        <f>HYPERLINK("https://ceds.ed.gov/elementComment.aspx?elementName=Assessment Need Volume &amp;elementID=6032", "Click here to submit comment")</f>
        <v>Click here to submit comment</v>
      </c>
    </row>
    <row r="2730" spans="1:16" ht="60">
      <c r="A2730" s="6" t="s">
        <v>6784</v>
      </c>
      <c r="B2730" s="6" t="s">
        <v>6848</v>
      </c>
      <c r="C2730" s="6" t="s">
        <v>6910</v>
      </c>
      <c r="D2730" s="6" t="s">
        <v>950</v>
      </c>
      <c r="E2730" s="6" t="s">
        <v>951</v>
      </c>
      <c r="F2730" s="6" t="s">
        <v>13</v>
      </c>
      <c r="G2730" s="6"/>
      <c r="H2730" s="6"/>
      <c r="I2730" s="6" t="s">
        <v>952</v>
      </c>
      <c r="J2730" s="6"/>
      <c r="K2730" s="6"/>
      <c r="L2730" s="6" t="s">
        <v>953</v>
      </c>
      <c r="M2730" s="6"/>
      <c r="N2730" s="6" t="s">
        <v>954</v>
      </c>
      <c r="O2730" s="6" t="str">
        <f>HYPERLINK("https://ceds.ed.gov/cedselementdetails.aspx?termid=6059")</f>
        <v>https://ceds.ed.gov/cedselementdetails.aspx?termid=6059</v>
      </c>
      <c r="P2730" s="6" t="str">
        <f>HYPERLINK("https://ceds.ed.gov/elementComment.aspx?elementName=Assessment Need Background Color &amp;elementID=6059", "Click here to submit comment")</f>
        <v>Click here to submit comment</v>
      </c>
    </row>
    <row r="2731" spans="1:16" ht="60">
      <c r="A2731" s="6" t="s">
        <v>6784</v>
      </c>
      <c r="B2731" s="6" t="s">
        <v>6848</v>
      </c>
      <c r="C2731" s="6" t="s">
        <v>6910</v>
      </c>
      <c r="D2731" s="6" t="s">
        <v>976</v>
      </c>
      <c r="E2731" s="6" t="s">
        <v>977</v>
      </c>
      <c r="F2731" s="6" t="s">
        <v>13</v>
      </c>
      <c r="G2731" s="6"/>
      <c r="H2731" s="6"/>
      <c r="I2731" s="6" t="s">
        <v>952</v>
      </c>
      <c r="J2731" s="6"/>
      <c r="K2731" s="6"/>
      <c r="L2731" s="6" t="s">
        <v>978</v>
      </c>
      <c r="M2731" s="6"/>
      <c r="N2731" s="6" t="s">
        <v>979</v>
      </c>
      <c r="O2731" s="6" t="str">
        <f>HYPERLINK("https://ceds.ed.gov/cedselementdetails.aspx?termid=6058")</f>
        <v>https://ceds.ed.gov/cedselementdetails.aspx?termid=6058</v>
      </c>
      <c r="P2731" s="6" t="str">
        <f>HYPERLINK("https://ceds.ed.gov/elementComment.aspx?elementName=Assessment Need Foreground Color &amp;elementID=6058", "Click here to submit comment")</f>
        <v>Click here to submit comment</v>
      </c>
    </row>
    <row r="2732" spans="1:16" ht="60">
      <c r="A2732" s="6" t="s">
        <v>6784</v>
      </c>
      <c r="B2732" s="6" t="s">
        <v>6848</v>
      </c>
      <c r="C2732" s="6" t="s">
        <v>6910</v>
      </c>
      <c r="D2732" s="6" t="s">
        <v>984</v>
      </c>
      <c r="E2732" s="6" t="s">
        <v>985</v>
      </c>
      <c r="F2732" s="6" t="s">
        <v>6038</v>
      </c>
      <c r="G2732" s="6"/>
      <c r="H2732" s="6"/>
      <c r="I2732" s="6"/>
      <c r="J2732" s="6"/>
      <c r="K2732" s="6"/>
      <c r="L2732" s="6" t="s">
        <v>986</v>
      </c>
      <c r="M2732" s="6"/>
      <c r="N2732" s="6" t="s">
        <v>987</v>
      </c>
      <c r="O2732" s="6" t="str">
        <f>HYPERLINK("https://ceds.ed.gov/cedselementdetails.aspx?termid=6060")</f>
        <v>https://ceds.ed.gov/cedselementdetails.aspx?termid=6060</v>
      </c>
      <c r="P2732" s="6" t="str">
        <f>HYPERLINK("https://ceds.ed.gov/elementComment.aspx?elementName=Assessment Need Increased Whitespacing Type &amp;elementID=6060", "Click here to submit comment")</f>
        <v>Click here to submit comment</v>
      </c>
    </row>
    <row r="2733" spans="1:16" ht="60">
      <c r="A2733" s="6" t="s">
        <v>6784</v>
      </c>
      <c r="B2733" s="6" t="s">
        <v>6848</v>
      </c>
      <c r="C2733" s="6" t="s">
        <v>6910</v>
      </c>
      <c r="D2733" s="6" t="s">
        <v>1029</v>
      </c>
      <c r="E2733" s="6" t="s">
        <v>1030</v>
      </c>
      <c r="F2733" s="6" t="s">
        <v>13</v>
      </c>
      <c r="G2733" s="6"/>
      <c r="H2733" s="6"/>
      <c r="I2733" s="6" t="s">
        <v>952</v>
      </c>
      <c r="J2733" s="6"/>
      <c r="K2733" s="6"/>
      <c r="L2733" s="6" t="s">
        <v>1031</v>
      </c>
      <c r="M2733" s="6"/>
      <c r="N2733" s="6" t="s">
        <v>1032</v>
      </c>
      <c r="O2733" s="6" t="str">
        <f>HYPERLINK("https://ceds.ed.gov/cedselementdetails.aspx?termid=6057")</f>
        <v>https://ceds.ed.gov/cedselementdetails.aspx?termid=6057</v>
      </c>
      <c r="P2733" s="6" t="str">
        <f>HYPERLINK("https://ceds.ed.gov/elementComment.aspx?elementName=Assessment Need Overlay Color &amp;elementID=6057", "Click here to submit comment")</f>
        <v>Click here to submit comment</v>
      </c>
    </row>
    <row r="2734" spans="1:16" ht="285">
      <c r="A2734" s="6" t="s">
        <v>6784</v>
      </c>
      <c r="B2734" s="6" t="s">
        <v>6853</v>
      </c>
      <c r="C2734" s="6"/>
      <c r="D2734" s="6" t="s">
        <v>399</v>
      </c>
      <c r="E2734" s="6" t="s">
        <v>400</v>
      </c>
      <c r="F2734" s="7" t="s">
        <v>6376</v>
      </c>
      <c r="G2734" s="6" t="s">
        <v>5992</v>
      </c>
      <c r="H2734" s="6" t="s">
        <v>3</v>
      </c>
      <c r="I2734" s="6"/>
      <c r="J2734" s="6"/>
      <c r="K2734" s="6"/>
      <c r="L2734" s="6" t="s">
        <v>401</v>
      </c>
      <c r="M2734" s="6"/>
      <c r="N2734" s="6" t="s">
        <v>402</v>
      </c>
      <c r="O2734" s="6" t="str">
        <f>HYPERLINK("https://ceds.ed.gov/cedselementdetails.aspx?termid=5374")</f>
        <v>https://ceds.ed.gov/cedselementdetails.aspx?termid=5374</v>
      </c>
      <c r="P2734" s="6" t="str">
        <f>HYPERLINK("https://ceds.ed.gov/elementComment.aspx?elementName=Assessment Accommodation Category &amp;elementID=5374", "Click here to submit comment")</f>
        <v>Click here to submit comment</v>
      </c>
    </row>
    <row r="2735" spans="1:16" ht="45">
      <c r="A2735" s="6" t="s">
        <v>6784</v>
      </c>
      <c r="B2735" s="6" t="s">
        <v>6853</v>
      </c>
      <c r="C2735" s="6"/>
      <c r="D2735" s="6" t="s">
        <v>403</v>
      </c>
      <c r="E2735" s="6" t="s">
        <v>404</v>
      </c>
      <c r="F2735" s="6" t="s">
        <v>13</v>
      </c>
      <c r="G2735" s="6"/>
      <c r="H2735" s="6"/>
      <c r="I2735" s="6" t="s">
        <v>100</v>
      </c>
      <c r="J2735" s="6"/>
      <c r="K2735" s="6"/>
      <c r="L2735" s="6" t="s">
        <v>405</v>
      </c>
      <c r="M2735" s="6"/>
      <c r="N2735" s="6" t="s">
        <v>406</v>
      </c>
      <c r="O2735" s="6" t="str">
        <f>HYPERLINK("https://ceds.ed.gov/cedselementdetails.aspx?termid=6116")</f>
        <v>https://ceds.ed.gov/cedselementdetails.aspx?termid=6116</v>
      </c>
      <c r="P2735" s="6" t="str">
        <f>HYPERLINK("https://ceds.ed.gov/elementComment.aspx?elementName=Assessment Accommodation Other Description &amp;elementID=6116", "Click here to submit comment")</f>
        <v>Click here to submit comment</v>
      </c>
    </row>
    <row r="2736" spans="1:16" ht="409.5">
      <c r="A2736" s="6" t="s">
        <v>6784</v>
      </c>
      <c r="B2736" s="6" t="s">
        <v>6853</v>
      </c>
      <c r="C2736" s="6"/>
      <c r="D2736" s="6" t="s">
        <v>407</v>
      </c>
      <c r="E2736" s="6" t="s">
        <v>408</v>
      </c>
      <c r="F2736" s="7" t="s">
        <v>6377</v>
      </c>
      <c r="G2736" s="6" t="s">
        <v>5992</v>
      </c>
      <c r="H2736" s="6"/>
      <c r="I2736" s="6"/>
      <c r="J2736" s="6"/>
      <c r="K2736" s="6"/>
      <c r="L2736" s="6" t="s">
        <v>409</v>
      </c>
      <c r="M2736" s="6"/>
      <c r="N2736" s="6" t="s">
        <v>410</v>
      </c>
      <c r="O2736" s="6" t="str">
        <f>HYPERLINK("https://ceds.ed.gov/cedselementdetails.aspx?termid=5376")</f>
        <v>https://ceds.ed.gov/cedselementdetails.aspx?termid=5376</v>
      </c>
      <c r="P2736" s="6" t="str">
        <f>HYPERLINK("https://ceds.ed.gov/elementComment.aspx?elementName=Assessment Accommodation Type &amp;elementID=5376", "Click here to submit comment")</f>
        <v>Click here to submit comment</v>
      </c>
    </row>
    <row r="2737" spans="1:16" ht="60">
      <c r="A2737" s="6" t="s">
        <v>6784</v>
      </c>
      <c r="B2737" s="6" t="s">
        <v>6853</v>
      </c>
      <c r="C2737" s="6"/>
      <c r="D2737" s="6" t="s">
        <v>1090</v>
      </c>
      <c r="E2737" s="6" t="s">
        <v>1091</v>
      </c>
      <c r="F2737" s="6" t="s">
        <v>13</v>
      </c>
      <c r="G2737" s="6"/>
      <c r="H2737" s="6"/>
      <c r="I2737" s="6" t="s">
        <v>93</v>
      </c>
      <c r="J2737" s="6"/>
      <c r="K2737" s="6" t="s">
        <v>1092</v>
      </c>
      <c r="L2737" s="6" t="s">
        <v>1093</v>
      </c>
      <c r="M2737" s="6"/>
      <c r="N2737" s="6" t="s">
        <v>1094</v>
      </c>
      <c r="O2737" s="6" t="str">
        <f>HYPERLINK("https://ceds.ed.gov/cedselementdetails.aspx?termid=6006")</f>
        <v>https://ceds.ed.gov/cedselementdetails.aspx?termid=6006</v>
      </c>
      <c r="P2737" s="6" t="str">
        <f>HYPERLINK("https://ceds.ed.gov/elementComment.aspx?elementName=Assessment Participant Session Delivery Device Details &amp;elementID=6006", "Click here to submit comment")</f>
        <v>Click here to submit comment</v>
      </c>
    </row>
    <row r="2738" spans="1:16" ht="45">
      <c r="A2738" s="6" t="s">
        <v>6784</v>
      </c>
      <c r="B2738" s="6" t="s">
        <v>6853</v>
      </c>
      <c r="C2738" s="6"/>
      <c r="D2738" s="6" t="s">
        <v>1095</v>
      </c>
      <c r="E2738" s="6" t="s">
        <v>1096</v>
      </c>
      <c r="F2738" s="5" t="s">
        <v>939</v>
      </c>
      <c r="G2738" s="6" t="s">
        <v>5992</v>
      </c>
      <c r="H2738" s="6"/>
      <c r="I2738" s="6"/>
      <c r="J2738" s="6"/>
      <c r="K2738" s="6"/>
      <c r="L2738" s="6" t="s">
        <v>1097</v>
      </c>
      <c r="M2738" s="6"/>
      <c r="N2738" s="6" t="s">
        <v>1098</v>
      </c>
      <c r="O2738" s="6" t="str">
        <f>HYPERLINK("https://ceds.ed.gov/cedselementdetails.aspx?termid=5370")</f>
        <v>https://ceds.ed.gov/cedselementdetails.aspx?termid=5370</v>
      </c>
      <c r="P2738" s="6" t="str">
        <f>HYPERLINK("https://ceds.ed.gov/elementComment.aspx?elementName=Assessment Participant Session Language &amp;elementID=5370", "Click here to submit comment")</f>
        <v>Click here to submit comment</v>
      </c>
    </row>
    <row r="2739" spans="1:16" ht="120">
      <c r="A2739" s="6" t="s">
        <v>6784</v>
      </c>
      <c r="B2739" s="6" t="s">
        <v>6853</v>
      </c>
      <c r="C2739" s="6"/>
      <c r="D2739" s="6" t="s">
        <v>1099</v>
      </c>
      <c r="E2739" s="6" t="s">
        <v>1100</v>
      </c>
      <c r="F2739" s="6" t="s">
        <v>6044</v>
      </c>
      <c r="G2739" s="6" t="s">
        <v>6018</v>
      </c>
      <c r="H2739" s="6"/>
      <c r="I2739" s="6"/>
      <c r="J2739" s="6"/>
      <c r="K2739" s="6"/>
      <c r="L2739" s="6" t="s">
        <v>1101</v>
      </c>
      <c r="M2739" s="6"/>
      <c r="N2739" s="6" t="s">
        <v>1102</v>
      </c>
      <c r="O2739" s="6" t="str">
        <f>HYPERLINK("https://ceds.ed.gov/cedselementdetails.aspx?termid=5377")</f>
        <v>https://ceds.ed.gov/cedselementdetails.aspx?termid=5377</v>
      </c>
      <c r="P2739" s="6" t="str">
        <f>HYPERLINK("https://ceds.ed.gov/elementComment.aspx?elementName=Assessment Participant Session Platform Type &amp;elementID=5377", "Click here to submit comment")</f>
        <v>Click here to submit comment</v>
      </c>
    </row>
    <row r="2740" spans="1:16" ht="135">
      <c r="A2740" s="6" t="s">
        <v>6784</v>
      </c>
      <c r="B2740" s="6" t="s">
        <v>6853</v>
      </c>
      <c r="C2740" s="6"/>
      <c r="D2740" s="6" t="s">
        <v>1103</v>
      </c>
      <c r="E2740" s="6" t="s">
        <v>1104</v>
      </c>
      <c r="F2740" s="6" t="s">
        <v>13</v>
      </c>
      <c r="G2740" s="6"/>
      <c r="H2740" s="6"/>
      <c r="I2740" s="6" t="s">
        <v>1105</v>
      </c>
      <c r="J2740" s="6"/>
      <c r="K2740" s="6" t="s">
        <v>1106</v>
      </c>
      <c r="L2740" s="6" t="s">
        <v>1107</v>
      </c>
      <c r="M2740" s="6"/>
      <c r="N2740" s="6" t="s">
        <v>1108</v>
      </c>
      <c r="O2740" s="6" t="str">
        <f>HYPERLINK("https://ceds.ed.gov/cedselementdetails.aspx?termid=6112")</f>
        <v>https://ceds.ed.gov/cedselementdetails.aspx?termid=6112</v>
      </c>
      <c r="P2740" s="6" t="str">
        <f>HYPERLINK("https://ceds.ed.gov/elementComment.aspx?elementName=Assessment Participant Session Platform User Agent &amp;elementID=6112", "Click here to submit comment")</f>
        <v>Click here to submit comment</v>
      </c>
    </row>
    <row r="2741" spans="1:16" ht="75">
      <c r="A2741" s="6" t="s">
        <v>6784</v>
      </c>
      <c r="B2741" s="6" t="s">
        <v>6853</v>
      </c>
      <c r="C2741" s="6"/>
      <c r="D2741" s="6" t="s">
        <v>1109</v>
      </c>
      <c r="E2741" s="6" t="s">
        <v>1110</v>
      </c>
      <c r="F2741" s="6" t="s">
        <v>13</v>
      </c>
      <c r="G2741" s="6"/>
      <c r="H2741" s="6"/>
      <c r="I2741" s="6" t="s">
        <v>319</v>
      </c>
      <c r="J2741" s="6"/>
      <c r="K2741" s="6"/>
      <c r="L2741" s="6" t="s">
        <v>1111</v>
      </c>
      <c r="M2741" s="6"/>
      <c r="N2741" s="6" t="s">
        <v>1112</v>
      </c>
      <c r="O2741" s="6" t="str">
        <f>HYPERLINK("https://ceds.ed.gov/cedselementdetails.aspx?termid=6102")</f>
        <v>https://ceds.ed.gov/cedselementdetails.aspx?termid=6102</v>
      </c>
      <c r="P2741" s="6" t="str">
        <f>HYPERLINK("https://ceds.ed.gov/elementComment.aspx?elementName=Assessment Participant Session Security Issue &amp;elementID=6102", "Click here to submit comment")</f>
        <v>Click here to submit comment</v>
      </c>
    </row>
    <row r="2742" spans="1:16" ht="45">
      <c r="A2742" s="6" t="s">
        <v>6784</v>
      </c>
      <c r="B2742" s="6" t="s">
        <v>6853</v>
      </c>
      <c r="C2742" s="6"/>
      <c r="D2742" s="6" t="s">
        <v>1113</v>
      </c>
      <c r="E2742" s="6" t="s">
        <v>1114</v>
      </c>
      <c r="F2742" s="6" t="s">
        <v>13</v>
      </c>
      <c r="G2742" s="6" t="s">
        <v>5992</v>
      </c>
      <c r="H2742" s="6"/>
      <c r="I2742" s="6" t="s">
        <v>100</v>
      </c>
      <c r="J2742" s="6"/>
      <c r="K2742" s="6"/>
      <c r="L2742" s="6" t="s">
        <v>1115</v>
      </c>
      <c r="M2742" s="6"/>
      <c r="N2742" s="6" t="s">
        <v>1116</v>
      </c>
      <c r="O2742" s="6" t="str">
        <f>HYPERLINK("https://ceds.ed.gov/cedselementdetails.aspx?termid=5398")</f>
        <v>https://ceds.ed.gov/cedselementdetails.aspx?termid=5398</v>
      </c>
      <c r="P2742" s="6" t="str">
        <f>HYPERLINK("https://ceds.ed.gov/elementComment.aspx?elementName=Assessment Participant Session Time Assessed &amp;elementID=5398", "Click here to submit comment")</f>
        <v>Click here to submit comment</v>
      </c>
    </row>
    <row r="2743" spans="1:16" ht="90">
      <c r="A2743" s="6" t="s">
        <v>6784</v>
      </c>
      <c r="B2743" s="6" t="s">
        <v>6853</v>
      </c>
      <c r="C2743" s="6"/>
      <c r="D2743" s="6" t="s">
        <v>1228</v>
      </c>
      <c r="E2743" s="6" t="s">
        <v>1229</v>
      </c>
      <c r="F2743" s="6" t="s">
        <v>13</v>
      </c>
      <c r="G2743" s="6"/>
      <c r="H2743" s="6"/>
      <c r="I2743" s="6" t="s">
        <v>1168</v>
      </c>
      <c r="J2743" s="6"/>
      <c r="K2743" s="6" t="s">
        <v>1230</v>
      </c>
      <c r="L2743" s="6" t="s">
        <v>1231</v>
      </c>
      <c r="M2743" s="6"/>
      <c r="N2743" s="6" t="s">
        <v>1232</v>
      </c>
      <c r="O2743" s="6" t="str">
        <f>HYPERLINK("https://ceds.ed.gov/cedselementdetails.aspx?termid=6024")</f>
        <v>https://ceds.ed.gov/cedselementdetails.aspx?termid=6024</v>
      </c>
      <c r="P2743" s="6" t="str">
        <f>HYPERLINK("https://ceds.ed.gov/elementComment.aspx?elementName=Assessment Session Actual End Date Time &amp;elementID=6024", "Click here to submit comment")</f>
        <v>Click here to submit comment</v>
      </c>
    </row>
    <row r="2744" spans="1:16" ht="90">
      <c r="A2744" s="6" t="s">
        <v>6784</v>
      </c>
      <c r="B2744" s="6" t="s">
        <v>6853</v>
      </c>
      <c r="C2744" s="6"/>
      <c r="D2744" s="6" t="s">
        <v>1233</v>
      </c>
      <c r="E2744" s="6" t="s">
        <v>1234</v>
      </c>
      <c r="F2744" s="6" t="s">
        <v>13</v>
      </c>
      <c r="G2744" s="6"/>
      <c r="H2744" s="6"/>
      <c r="I2744" s="6" t="s">
        <v>1168</v>
      </c>
      <c r="J2744" s="6"/>
      <c r="K2744" s="6" t="s">
        <v>1235</v>
      </c>
      <c r="L2744" s="6" t="s">
        <v>1236</v>
      </c>
      <c r="M2744" s="6"/>
      <c r="N2744" s="6" t="s">
        <v>1237</v>
      </c>
      <c r="O2744" s="6" t="str">
        <f>HYPERLINK("https://ceds.ed.gov/cedselementdetails.aspx?termid=6023")</f>
        <v>https://ceds.ed.gov/cedselementdetails.aspx?termid=6023</v>
      </c>
      <c r="P2744" s="6" t="str">
        <f>HYPERLINK("https://ceds.ed.gov/elementComment.aspx?elementName=Assessment Session Actual Start Date Time &amp;elementID=6023", "Click here to submit comment")</f>
        <v>Click here to submit comment</v>
      </c>
    </row>
    <row r="2745" spans="1:16" ht="45">
      <c r="A2745" s="6" t="s">
        <v>6784</v>
      </c>
      <c r="B2745" s="6" t="s">
        <v>6853</v>
      </c>
      <c r="C2745" s="6"/>
      <c r="D2745" s="6" t="s">
        <v>1247</v>
      </c>
      <c r="E2745" s="6" t="s">
        <v>1248</v>
      </c>
      <c r="F2745" s="6" t="s">
        <v>13</v>
      </c>
      <c r="G2745" s="6" t="s">
        <v>5992</v>
      </c>
      <c r="H2745" s="6"/>
      <c r="I2745" s="6" t="s">
        <v>1249</v>
      </c>
      <c r="J2745" s="6"/>
      <c r="K2745" s="6"/>
      <c r="L2745" s="6" t="s">
        <v>1250</v>
      </c>
      <c r="M2745" s="6"/>
      <c r="N2745" s="6" t="s">
        <v>1251</v>
      </c>
      <c r="O2745" s="6" t="str">
        <f>HYPERLINK("https://ceds.ed.gov/cedselementdetails.aspx?termid=5590")</f>
        <v>https://ceds.ed.gov/cedselementdetails.aspx?termid=5590</v>
      </c>
      <c r="P2745" s="6" t="str">
        <f>HYPERLINK("https://ceds.ed.gov/elementComment.aspx?elementName=Assessment Session Location &amp;elementID=5590", "Click here to submit comment")</f>
        <v>Click here to submit comment</v>
      </c>
    </row>
    <row r="2746" spans="1:16" ht="150">
      <c r="A2746" s="6" t="s">
        <v>6784</v>
      </c>
      <c r="B2746" s="6" t="s">
        <v>6853</v>
      </c>
      <c r="C2746" s="6"/>
      <c r="D2746" s="6" t="s">
        <v>1265</v>
      </c>
      <c r="E2746" s="6" t="s">
        <v>1266</v>
      </c>
      <c r="F2746" s="6" t="s">
        <v>13</v>
      </c>
      <c r="G2746" s="6"/>
      <c r="H2746" s="6"/>
      <c r="I2746" s="6" t="s">
        <v>93</v>
      </c>
      <c r="J2746" s="6"/>
      <c r="K2746" s="6" t="s">
        <v>835</v>
      </c>
      <c r="L2746" s="6" t="s">
        <v>1267</v>
      </c>
      <c r="M2746" s="6"/>
      <c r="N2746" s="6" t="s">
        <v>1268</v>
      </c>
      <c r="O2746" s="6" t="str">
        <f>HYPERLINK("https://ceds.ed.gov/cedselementdetails.aspx?termid=5969")</f>
        <v>https://ceds.ed.gov/cedselementdetails.aspx?termid=5969</v>
      </c>
      <c r="P2746" s="6" t="str">
        <f>HYPERLINK("https://ceds.ed.gov/elementComment.aspx?elementName=Assessment Session Security Issue &amp;elementID=5969", "Click here to submit comment")</f>
        <v>Click here to submit comment</v>
      </c>
    </row>
    <row r="2747" spans="1:16" ht="409.5">
      <c r="A2747" s="6" t="s">
        <v>6784</v>
      </c>
      <c r="B2747" s="6" t="s">
        <v>6853</v>
      </c>
      <c r="C2747" s="6"/>
      <c r="D2747" s="6" t="s">
        <v>1269</v>
      </c>
      <c r="E2747" s="6" t="s">
        <v>1270</v>
      </c>
      <c r="F2747" s="7" t="s">
        <v>6403</v>
      </c>
      <c r="G2747" s="6" t="s">
        <v>5992</v>
      </c>
      <c r="H2747" s="6"/>
      <c r="I2747" s="6"/>
      <c r="J2747" s="6"/>
      <c r="K2747" s="6"/>
      <c r="L2747" s="6" t="s">
        <v>1271</v>
      </c>
      <c r="M2747" s="6"/>
      <c r="N2747" s="6" t="s">
        <v>1272</v>
      </c>
      <c r="O2747" s="6" t="str">
        <f>HYPERLINK("https://ceds.ed.gov/cedselementdetails.aspx?termid=5380")</f>
        <v>https://ceds.ed.gov/cedselementdetails.aspx?termid=5380</v>
      </c>
      <c r="P2747" s="6" t="str">
        <f>HYPERLINK("https://ceds.ed.gov/elementComment.aspx?elementName=Assessment Session Special Circumstance Type &amp;elementID=5380", "Click here to submit comment")</f>
        <v>Click here to submit comment</v>
      </c>
    </row>
    <row r="2748" spans="1:16" ht="90">
      <c r="A2748" s="6" t="s">
        <v>6784</v>
      </c>
      <c r="B2748" s="6" t="s">
        <v>6853</v>
      </c>
      <c r="C2748" s="6"/>
      <c r="D2748" s="6" t="s">
        <v>1273</v>
      </c>
      <c r="E2748" s="6" t="s">
        <v>1274</v>
      </c>
      <c r="F2748" s="6" t="s">
        <v>13</v>
      </c>
      <c r="G2748" s="6"/>
      <c r="H2748" s="6"/>
      <c r="I2748" s="6" t="s">
        <v>106</v>
      </c>
      <c r="J2748" s="6"/>
      <c r="K2748" s="6"/>
      <c r="L2748" s="6" t="s">
        <v>1275</v>
      </c>
      <c r="M2748" s="6"/>
      <c r="N2748" s="6" t="s">
        <v>1276</v>
      </c>
      <c r="O2748" s="6" t="str">
        <f>HYPERLINK("https://ceds.ed.gov/cedselementdetails.aspx?termid=6077")</f>
        <v>https://ceds.ed.gov/cedselementdetails.aspx?termid=6077</v>
      </c>
      <c r="P2748" s="6" t="str">
        <f>HYPERLINK("https://ceds.ed.gov/elementComment.aspx?elementName=Assessment Session Special Event Description &amp;elementID=6077", "Click here to submit comment")</f>
        <v>Click here to submit comment</v>
      </c>
    </row>
    <row r="2749" spans="1:16" ht="30">
      <c r="A2749" s="6" t="s">
        <v>6784</v>
      </c>
      <c r="B2749" s="6" t="s">
        <v>6854</v>
      </c>
      <c r="C2749" s="6"/>
      <c r="D2749" s="6" t="s">
        <v>143</v>
      </c>
      <c r="E2749" s="6" t="s">
        <v>144</v>
      </c>
      <c r="F2749" s="6" t="s">
        <v>13</v>
      </c>
      <c r="G2749" s="6"/>
      <c r="H2749" s="6"/>
      <c r="I2749" s="6" t="s">
        <v>93</v>
      </c>
      <c r="J2749" s="6"/>
      <c r="K2749" s="6"/>
      <c r="L2749" s="6" t="s">
        <v>145</v>
      </c>
      <c r="M2749" s="6"/>
      <c r="N2749" s="6" t="s">
        <v>146</v>
      </c>
      <c r="O2749" s="6" t="str">
        <f>HYPERLINK("https://ceds.ed.gov/cedselementdetails.aspx?termid=5893")</f>
        <v>https://ceds.ed.gov/cedselementdetails.aspx?termid=5893</v>
      </c>
      <c r="P2749" s="6" t="str">
        <f>HYPERLINK("https://ceds.ed.gov/elementComment.aspx?elementName=Achievement Title &amp;elementID=5893", "Click here to submit comment")</f>
        <v>Click here to submit comment</v>
      </c>
    </row>
    <row r="2750" spans="1:16" ht="30">
      <c r="A2750" s="6" t="s">
        <v>6784</v>
      </c>
      <c r="B2750" s="6" t="s">
        <v>6854</v>
      </c>
      <c r="C2750" s="6"/>
      <c r="D2750" s="6" t="s">
        <v>122</v>
      </c>
      <c r="E2750" s="6" t="s">
        <v>123</v>
      </c>
      <c r="F2750" s="6" t="s">
        <v>13</v>
      </c>
      <c r="G2750" s="6"/>
      <c r="H2750" s="6"/>
      <c r="I2750" s="6" t="s">
        <v>93</v>
      </c>
      <c r="J2750" s="6"/>
      <c r="K2750" s="6"/>
      <c r="L2750" s="6" t="s">
        <v>124</v>
      </c>
      <c r="M2750" s="6"/>
      <c r="N2750" s="6" t="s">
        <v>125</v>
      </c>
      <c r="O2750" s="6" t="str">
        <f>HYPERLINK("https://ceds.ed.gov/cedselementdetails.aspx?termid=5895")</f>
        <v>https://ceds.ed.gov/cedselementdetails.aspx?termid=5895</v>
      </c>
      <c r="P2750" s="6" t="str">
        <f>HYPERLINK("https://ceds.ed.gov/elementComment.aspx?elementName=Achievement Description &amp;elementID=5895", "Click here to submit comment")</f>
        <v>Click here to submit comment</v>
      </c>
    </row>
    <row r="2751" spans="1:16" ht="30">
      <c r="A2751" s="6" t="s">
        <v>6784</v>
      </c>
      <c r="B2751" s="6" t="s">
        <v>6854</v>
      </c>
      <c r="C2751" s="6"/>
      <c r="D2751" s="6" t="s">
        <v>139</v>
      </c>
      <c r="E2751" s="6" t="s">
        <v>140</v>
      </c>
      <c r="F2751" s="6" t="s">
        <v>13</v>
      </c>
      <c r="G2751" s="6"/>
      <c r="H2751" s="6"/>
      <c r="I2751" s="6" t="s">
        <v>73</v>
      </c>
      <c r="J2751" s="6"/>
      <c r="K2751" s="6"/>
      <c r="L2751" s="6" t="s">
        <v>141</v>
      </c>
      <c r="M2751" s="6"/>
      <c r="N2751" s="6" t="s">
        <v>142</v>
      </c>
      <c r="O2751" s="6" t="str">
        <f>HYPERLINK("https://ceds.ed.gov/cedselementdetails.aspx?termid=6120")</f>
        <v>https://ceds.ed.gov/cedselementdetails.aspx?termid=6120</v>
      </c>
      <c r="P2751" s="6" t="str">
        <f>HYPERLINK("https://ceds.ed.gov/elementComment.aspx?elementName=Achievement Start Date &amp;elementID=6120", "Click here to submit comment")</f>
        <v>Click here to submit comment</v>
      </c>
    </row>
    <row r="2752" spans="1:16" ht="45">
      <c r="A2752" s="6" t="s">
        <v>6784</v>
      </c>
      <c r="B2752" s="6" t="s">
        <v>6854</v>
      </c>
      <c r="C2752" s="6"/>
      <c r="D2752" s="6" t="s">
        <v>126</v>
      </c>
      <c r="E2752" s="6" t="s">
        <v>127</v>
      </c>
      <c r="F2752" s="6" t="s">
        <v>13</v>
      </c>
      <c r="G2752" s="6"/>
      <c r="H2752" s="6"/>
      <c r="I2752" s="6" t="s">
        <v>73</v>
      </c>
      <c r="J2752" s="6"/>
      <c r="K2752" s="6"/>
      <c r="L2752" s="6" t="s">
        <v>128</v>
      </c>
      <c r="M2752" s="6"/>
      <c r="N2752" s="6" t="s">
        <v>129</v>
      </c>
      <c r="O2752" s="6" t="str">
        <f>HYPERLINK("https://ceds.ed.gov/cedselementdetails.aspx?termid=6121")</f>
        <v>https://ceds.ed.gov/cedselementdetails.aspx?termid=6121</v>
      </c>
      <c r="P2752" s="6" t="str">
        <f>HYPERLINK("https://ceds.ed.gov/elementComment.aspx?elementName=Achievement End Date &amp;elementID=6121", "Click here to submit comment")</f>
        <v>Click here to submit comment</v>
      </c>
    </row>
    <row r="2753" spans="1:16" ht="45">
      <c r="A2753" s="6" t="s">
        <v>6784</v>
      </c>
      <c r="B2753" s="6" t="s">
        <v>6854</v>
      </c>
      <c r="C2753" s="6"/>
      <c r="D2753" s="6" t="s">
        <v>86</v>
      </c>
      <c r="E2753" s="6" t="s">
        <v>87</v>
      </c>
      <c r="F2753" s="6" t="s">
        <v>13</v>
      </c>
      <c r="G2753" s="6"/>
      <c r="H2753" s="6"/>
      <c r="I2753" s="6" t="s">
        <v>88</v>
      </c>
      <c r="J2753" s="6"/>
      <c r="K2753" s="6"/>
      <c r="L2753" s="6" t="s">
        <v>89</v>
      </c>
      <c r="M2753" s="6"/>
      <c r="N2753" s="6" t="s">
        <v>90</v>
      </c>
      <c r="O2753" s="6" t="str">
        <f>HYPERLINK("https://ceds.ed.gov/cedselementdetails.aspx?termid=5898")</f>
        <v>https://ceds.ed.gov/cedselementdetails.aspx?termid=5898</v>
      </c>
      <c r="P2753" s="6" t="str">
        <f>HYPERLINK("https://ceds.ed.gov/elementComment.aspx?elementName=Achievement Award Issuer Name &amp;elementID=5898", "Click here to submit comment")</f>
        <v>Click here to submit comment</v>
      </c>
    </row>
    <row r="2754" spans="1:16" ht="45">
      <c r="A2754" s="6" t="s">
        <v>6784</v>
      </c>
      <c r="B2754" s="6" t="s">
        <v>6854</v>
      </c>
      <c r="C2754" s="6"/>
      <c r="D2754" s="6" t="s">
        <v>91</v>
      </c>
      <c r="E2754" s="6" t="s">
        <v>92</v>
      </c>
      <c r="F2754" s="6" t="s">
        <v>13</v>
      </c>
      <c r="G2754" s="6"/>
      <c r="H2754" s="6" t="s">
        <v>66</v>
      </c>
      <c r="I2754" s="6" t="s">
        <v>93</v>
      </c>
      <c r="J2754" s="6" t="s">
        <v>94</v>
      </c>
      <c r="K2754" s="6" t="s">
        <v>95</v>
      </c>
      <c r="L2754" s="6" t="s">
        <v>96</v>
      </c>
      <c r="M2754" s="6"/>
      <c r="N2754" s="6" t="s">
        <v>97</v>
      </c>
      <c r="O2754" s="6" t="str">
        <f>HYPERLINK("https://ceds.ed.gov/cedselementdetails.aspx?termid=5900")</f>
        <v>https://ceds.ed.gov/cedselementdetails.aspx?termid=5900</v>
      </c>
      <c r="P2754" s="6" t="str">
        <f>HYPERLINK("https://ceds.ed.gov/elementComment.aspx?elementName=Achievement Award Issuer Origin URL &amp;elementID=5900", "Click here to submit comment")</f>
        <v>Click here to submit comment</v>
      </c>
    </row>
    <row r="2755" spans="1:16" ht="75">
      <c r="A2755" s="6" t="s">
        <v>6784</v>
      </c>
      <c r="B2755" s="6" t="s">
        <v>6854</v>
      </c>
      <c r="C2755" s="6"/>
      <c r="D2755" s="6" t="s">
        <v>98</v>
      </c>
      <c r="E2755" s="6" t="s">
        <v>99</v>
      </c>
      <c r="F2755" s="6" t="s">
        <v>13</v>
      </c>
      <c r="G2755" s="6"/>
      <c r="H2755" s="6"/>
      <c r="I2755" s="6" t="s">
        <v>100</v>
      </c>
      <c r="J2755" s="6"/>
      <c r="K2755" s="6" t="s">
        <v>101</v>
      </c>
      <c r="L2755" s="6" t="s">
        <v>102</v>
      </c>
      <c r="M2755" s="6"/>
      <c r="N2755" s="6" t="s">
        <v>103</v>
      </c>
      <c r="O2755" s="6" t="str">
        <f>HYPERLINK("https://ceds.ed.gov/cedselementdetails.aspx?termid=6211")</f>
        <v>https://ceds.ed.gov/cedselementdetails.aspx?termid=6211</v>
      </c>
      <c r="P2755" s="6" t="str">
        <f>HYPERLINK("https://ceds.ed.gov/elementComment.aspx?elementName=Achievement Category System &amp;elementID=6211", "Click here to submit comment")</f>
        <v>Click here to submit comment</v>
      </c>
    </row>
    <row r="2756" spans="1:16" ht="270">
      <c r="A2756" s="6" t="s">
        <v>6784</v>
      </c>
      <c r="B2756" s="6" t="s">
        <v>6854</v>
      </c>
      <c r="C2756" s="6"/>
      <c r="D2756" s="6" t="s">
        <v>104</v>
      </c>
      <c r="E2756" s="6" t="s">
        <v>105</v>
      </c>
      <c r="F2756" s="6" t="s">
        <v>13</v>
      </c>
      <c r="G2756" s="6"/>
      <c r="H2756" s="6"/>
      <c r="I2756" s="6" t="s">
        <v>106</v>
      </c>
      <c r="J2756" s="6"/>
      <c r="K2756" s="6" t="s">
        <v>107</v>
      </c>
      <c r="L2756" s="6" t="s">
        <v>108</v>
      </c>
      <c r="M2756" s="6"/>
      <c r="N2756" s="6" t="s">
        <v>109</v>
      </c>
      <c r="O2756" s="6" t="str">
        <f>HYPERLINK("https://ceds.ed.gov/cedselementdetails.aspx?termid=5892")</f>
        <v>https://ceds.ed.gov/cedselementdetails.aspx?termid=5892</v>
      </c>
      <c r="P2756" s="6" t="str">
        <f>HYPERLINK("https://ceds.ed.gov/elementComment.aspx?elementName=Achievement Category Type &amp;elementID=5892", "Click here to submit comment")</f>
        <v>Click here to submit comment</v>
      </c>
    </row>
    <row r="2757" spans="1:16" ht="60">
      <c r="A2757" s="6" t="s">
        <v>6784</v>
      </c>
      <c r="B2757" s="6" t="s">
        <v>6854</v>
      </c>
      <c r="C2757" s="6"/>
      <c r="D2757" s="6" t="s">
        <v>134</v>
      </c>
      <c r="E2757" s="6" t="s">
        <v>135</v>
      </c>
      <c r="F2757" s="6" t="s">
        <v>13</v>
      </c>
      <c r="G2757" s="6"/>
      <c r="H2757" s="6"/>
      <c r="I2757" s="6" t="s">
        <v>93</v>
      </c>
      <c r="J2757" s="6"/>
      <c r="K2757" s="6" t="s">
        <v>136</v>
      </c>
      <c r="L2757" s="6" t="s">
        <v>137</v>
      </c>
      <c r="M2757" s="6"/>
      <c r="N2757" s="6" t="s">
        <v>138</v>
      </c>
      <c r="O2757" s="6" t="str">
        <f>HYPERLINK("https://ceds.ed.gov/cedselementdetails.aspx?termid=5894")</f>
        <v>https://ceds.ed.gov/cedselementdetails.aspx?termid=5894</v>
      </c>
      <c r="P2757" s="6" t="str">
        <f>HYPERLINK("https://ceds.ed.gov/elementComment.aspx?elementName=Achievement Image URL &amp;elementID=5894", "Click here to submit comment")</f>
        <v>Click here to submit comment</v>
      </c>
    </row>
    <row r="2758" spans="1:16" ht="30">
      <c r="A2758" s="6" t="s">
        <v>6784</v>
      </c>
      <c r="B2758" s="6" t="s">
        <v>6854</v>
      </c>
      <c r="C2758" s="6"/>
      <c r="D2758" s="6" t="s">
        <v>110</v>
      </c>
      <c r="E2758" s="6" t="s">
        <v>111</v>
      </c>
      <c r="F2758" s="6" t="s">
        <v>13</v>
      </c>
      <c r="G2758" s="6"/>
      <c r="H2758" s="6"/>
      <c r="I2758" s="6" t="s">
        <v>93</v>
      </c>
      <c r="J2758" s="6"/>
      <c r="K2758" s="6"/>
      <c r="L2758" s="6" t="s">
        <v>112</v>
      </c>
      <c r="M2758" s="6"/>
      <c r="N2758" s="6" t="s">
        <v>113</v>
      </c>
      <c r="O2758" s="6" t="str">
        <f>HYPERLINK("https://ceds.ed.gov/cedselementdetails.aspx?termid=5896")</f>
        <v>https://ceds.ed.gov/cedselementdetails.aspx?termid=5896</v>
      </c>
      <c r="P2758" s="6" t="str">
        <f>HYPERLINK("https://ceds.ed.gov/elementComment.aspx?elementName=Achievement Criteria &amp;elementID=5896", "Click here to submit comment")</f>
        <v>Click here to submit comment</v>
      </c>
    </row>
    <row r="2759" spans="1:16" ht="75">
      <c r="A2759" s="6" t="s">
        <v>6784</v>
      </c>
      <c r="B2759" s="6" t="s">
        <v>6854</v>
      </c>
      <c r="C2759" s="6"/>
      <c r="D2759" s="6" t="s">
        <v>114</v>
      </c>
      <c r="E2759" s="6" t="s">
        <v>115</v>
      </c>
      <c r="F2759" s="6" t="s">
        <v>13</v>
      </c>
      <c r="G2759" s="6"/>
      <c r="H2759" s="6"/>
      <c r="I2759" s="6" t="s">
        <v>93</v>
      </c>
      <c r="J2759" s="6"/>
      <c r="K2759" s="6"/>
      <c r="L2759" s="6" t="s">
        <v>116</v>
      </c>
      <c r="M2759" s="6"/>
      <c r="N2759" s="6" t="s">
        <v>117</v>
      </c>
      <c r="O2759" s="6" t="str">
        <f>HYPERLINK("https://ceds.ed.gov/cedselementdetails.aspx?termid=6113")</f>
        <v>https://ceds.ed.gov/cedselementdetails.aspx?termid=6113</v>
      </c>
      <c r="P2759" s="6" t="str">
        <f>HYPERLINK("https://ceds.ed.gov/elementComment.aspx?elementName=Achievement Criteria URL &amp;elementID=6113", "Click here to submit comment")</f>
        <v>Click here to submit comment</v>
      </c>
    </row>
    <row r="2760" spans="1:16" ht="60">
      <c r="A2760" s="6" t="s">
        <v>6784</v>
      </c>
      <c r="B2760" s="6" t="s">
        <v>6854</v>
      </c>
      <c r="C2760" s="6"/>
      <c r="D2760" s="6" t="s">
        <v>130</v>
      </c>
      <c r="E2760" s="6" t="s">
        <v>131</v>
      </c>
      <c r="F2760" s="6" t="s">
        <v>13</v>
      </c>
      <c r="G2760" s="6"/>
      <c r="H2760" s="6"/>
      <c r="I2760" s="6" t="s">
        <v>93</v>
      </c>
      <c r="J2760" s="6"/>
      <c r="K2760" s="6"/>
      <c r="L2760" s="6" t="s">
        <v>132</v>
      </c>
      <c r="M2760" s="6"/>
      <c r="N2760" s="6" t="s">
        <v>133</v>
      </c>
      <c r="O2760" s="6" t="str">
        <f>HYPERLINK("https://ceds.ed.gov/cedselementdetails.aspx?termid=5901")</f>
        <v>https://ceds.ed.gov/cedselementdetails.aspx?termid=5901</v>
      </c>
      <c r="P2760" s="6" t="str">
        <f>HYPERLINK("https://ceds.ed.gov/elementComment.aspx?elementName=Achievement Evidence Statement &amp;elementID=5901", "Click here to submit comment")</f>
        <v>Click here to submit comment</v>
      </c>
    </row>
    <row r="2761" spans="1:16" ht="45">
      <c r="A2761" s="6" t="s">
        <v>6784</v>
      </c>
      <c r="B2761" s="6" t="s">
        <v>6855</v>
      </c>
      <c r="C2761" s="6"/>
      <c r="D2761" s="6" t="s">
        <v>3524</v>
      </c>
      <c r="E2761" s="6" t="s">
        <v>3525</v>
      </c>
      <c r="F2761" s="6" t="s">
        <v>13</v>
      </c>
      <c r="G2761" s="6"/>
      <c r="H2761" s="6"/>
      <c r="I2761" s="6" t="s">
        <v>93</v>
      </c>
      <c r="J2761" s="6"/>
      <c r="K2761" s="6"/>
      <c r="L2761" s="6" t="s">
        <v>3526</v>
      </c>
      <c r="M2761" s="6"/>
      <c r="N2761" s="6" t="s">
        <v>3527</v>
      </c>
      <c r="O2761" s="6" t="str">
        <f>HYPERLINK("https://ceds.ed.gov/cedselementdetails.aspx?termid=5903")</f>
        <v>https://ceds.ed.gov/cedselementdetails.aspx?termid=5903</v>
      </c>
      <c r="P2761" s="6" t="str">
        <f>HYPERLINK("https://ceds.ed.gov/elementComment.aspx?elementName=Learning Goal Description &amp;elementID=5903", "Click here to submit comment")</f>
        <v>Click here to submit comment</v>
      </c>
    </row>
    <row r="2762" spans="1:16" ht="135">
      <c r="A2762" s="6" t="s">
        <v>6784</v>
      </c>
      <c r="B2762" s="6" t="s">
        <v>6855</v>
      </c>
      <c r="C2762" s="6"/>
      <c r="D2762" s="6" t="s">
        <v>3536</v>
      </c>
      <c r="E2762" s="6" t="s">
        <v>3537</v>
      </c>
      <c r="F2762" s="6" t="s">
        <v>13</v>
      </c>
      <c r="G2762" s="6"/>
      <c r="H2762" s="6"/>
      <c r="I2762" s="6" t="s">
        <v>93</v>
      </c>
      <c r="J2762" s="6"/>
      <c r="K2762" s="6"/>
      <c r="L2762" s="6" t="s">
        <v>3538</v>
      </c>
      <c r="M2762" s="6"/>
      <c r="N2762" s="6" t="s">
        <v>3539</v>
      </c>
      <c r="O2762" s="6" t="str">
        <f>HYPERLINK("https://ceds.ed.gov/cedselementdetails.aspx?termid=5902")</f>
        <v>https://ceds.ed.gov/cedselementdetails.aspx?termid=5902</v>
      </c>
      <c r="P2762" s="6" t="str">
        <f>HYPERLINK("https://ceds.ed.gov/elementComment.aspx?elementName=Learning Goal Success Criteria &amp;elementID=5902", "Click here to submit comment")</f>
        <v>Click here to submit comment</v>
      </c>
    </row>
    <row r="2763" spans="1:16" ht="45">
      <c r="A2763" s="6" t="s">
        <v>6784</v>
      </c>
      <c r="B2763" s="6" t="s">
        <v>6911</v>
      </c>
      <c r="C2763" s="6" t="s">
        <v>6912</v>
      </c>
      <c r="D2763" s="6" t="s">
        <v>3731</v>
      </c>
      <c r="E2763" s="6" t="s">
        <v>3732</v>
      </c>
      <c r="F2763" s="6" t="s">
        <v>13</v>
      </c>
      <c r="G2763" s="6"/>
      <c r="H2763" s="6"/>
      <c r="I2763" s="6" t="s">
        <v>1440</v>
      </c>
      <c r="J2763" s="6"/>
      <c r="K2763" s="6"/>
      <c r="L2763" s="6" t="s">
        <v>3733</v>
      </c>
      <c r="M2763" s="6"/>
      <c r="N2763" s="6" t="s">
        <v>3734</v>
      </c>
      <c r="O2763" s="6" t="str">
        <f>HYPERLINK("https://ceds.ed.gov/cedselementdetails.aspx?termid=5673")</f>
        <v>https://ceds.ed.gov/cedselementdetails.aspx?termid=5673</v>
      </c>
      <c r="P2763" s="6" t="str">
        <f>HYPERLINK("https://ceds.ed.gov/elementComment.aspx?elementName=Learning Standard Document Creator &amp;elementID=5673", "Click here to submit comment")</f>
        <v>Click here to submit comment</v>
      </c>
    </row>
    <row r="2764" spans="1:16" ht="45">
      <c r="A2764" s="6" t="s">
        <v>6784</v>
      </c>
      <c r="B2764" s="6" t="s">
        <v>6911</v>
      </c>
      <c r="C2764" s="6" t="s">
        <v>6912</v>
      </c>
      <c r="D2764" s="6" t="s">
        <v>3735</v>
      </c>
      <c r="E2764" s="6" t="s">
        <v>3736</v>
      </c>
      <c r="F2764" s="6" t="s">
        <v>13</v>
      </c>
      <c r="G2764" s="6"/>
      <c r="H2764" s="6"/>
      <c r="I2764" s="6" t="s">
        <v>93</v>
      </c>
      <c r="J2764" s="6"/>
      <c r="K2764" s="6"/>
      <c r="L2764" s="6" t="s">
        <v>3737</v>
      </c>
      <c r="M2764" s="6"/>
      <c r="N2764" s="6" t="s">
        <v>3738</v>
      </c>
      <c r="O2764" s="6" t="str">
        <f>HYPERLINK("https://ceds.ed.gov/cedselementdetails.aspx?termid=5674")</f>
        <v>https://ceds.ed.gov/cedselementdetails.aspx?termid=5674</v>
      </c>
      <c r="P2764" s="6" t="str">
        <f>HYPERLINK("https://ceds.ed.gov/elementComment.aspx?elementName=Learning Standard Document Description &amp;elementID=5674", "Click here to submit comment")</f>
        <v>Click here to submit comment</v>
      </c>
    </row>
    <row r="2765" spans="1:16" ht="45">
      <c r="A2765" s="6" t="s">
        <v>6784</v>
      </c>
      <c r="B2765" s="6" t="s">
        <v>6911</v>
      </c>
      <c r="C2765" s="6" t="s">
        <v>6912</v>
      </c>
      <c r="D2765" s="6" t="s">
        <v>3739</v>
      </c>
      <c r="E2765" s="6" t="s">
        <v>3740</v>
      </c>
      <c r="F2765" s="6" t="s">
        <v>13</v>
      </c>
      <c r="G2765" s="6" t="s">
        <v>493</v>
      </c>
      <c r="H2765" s="6"/>
      <c r="I2765" s="6" t="s">
        <v>93</v>
      </c>
      <c r="J2765" s="6"/>
      <c r="K2765" s="6"/>
      <c r="L2765" s="6" t="s">
        <v>3741</v>
      </c>
      <c r="M2765" s="6"/>
      <c r="N2765" s="6" t="s">
        <v>3742</v>
      </c>
      <c r="O2765" s="6" t="str">
        <f>HYPERLINK("https://ceds.ed.gov/cedselementdetails.aspx?termid=5670")</f>
        <v>https://ceds.ed.gov/cedselementdetails.aspx?termid=5670</v>
      </c>
      <c r="P2765" s="6" t="str">
        <f>HYPERLINK("https://ceds.ed.gov/elementComment.aspx?elementName=Learning Standard Document Identifier URI &amp;elementID=5670", "Click here to submit comment")</f>
        <v>Click here to submit comment</v>
      </c>
    </row>
    <row r="2766" spans="1:16" ht="60">
      <c r="A2766" s="6" t="s">
        <v>6784</v>
      </c>
      <c r="B2766" s="6" t="s">
        <v>6911</v>
      </c>
      <c r="C2766" s="6" t="s">
        <v>6912</v>
      </c>
      <c r="D2766" s="6" t="s">
        <v>3743</v>
      </c>
      <c r="E2766" s="6" t="s">
        <v>3744</v>
      </c>
      <c r="F2766" s="6" t="s">
        <v>13</v>
      </c>
      <c r="G2766" s="6"/>
      <c r="H2766" s="6"/>
      <c r="I2766" s="6" t="s">
        <v>1440</v>
      </c>
      <c r="J2766" s="6"/>
      <c r="K2766" s="6"/>
      <c r="L2766" s="6" t="s">
        <v>3745</v>
      </c>
      <c r="M2766" s="6"/>
      <c r="N2766" s="6" t="s">
        <v>3746</v>
      </c>
      <c r="O2766" s="6" t="str">
        <f>HYPERLINK("https://ceds.ed.gov/cedselementdetails.aspx?termid=5676")</f>
        <v>https://ceds.ed.gov/cedselementdetails.aspx?termid=5676</v>
      </c>
      <c r="P2766" s="6" t="str">
        <f>HYPERLINK("https://ceds.ed.gov/elementComment.aspx?elementName=Learning Standard Document Jurisdiction &amp;elementID=5676", "Click here to submit comment")</f>
        <v>Click here to submit comment</v>
      </c>
    </row>
    <row r="2767" spans="1:16" ht="90">
      <c r="A2767" s="6" t="s">
        <v>6784</v>
      </c>
      <c r="B2767" s="6" t="s">
        <v>6911</v>
      </c>
      <c r="C2767" s="6" t="s">
        <v>6912</v>
      </c>
      <c r="D2767" s="6" t="s">
        <v>3755</v>
      </c>
      <c r="E2767" s="6" t="s">
        <v>3756</v>
      </c>
      <c r="F2767" s="6" t="s">
        <v>6242</v>
      </c>
      <c r="G2767" s="6"/>
      <c r="H2767" s="6"/>
      <c r="I2767" s="6"/>
      <c r="J2767" s="6"/>
      <c r="K2767" s="6"/>
      <c r="L2767" s="6" t="s">
        <v>3757</v>
      </c>
      <c r="M2767" s="6"/>
      <c r="N2767" s="6" t="s">
        <v>3758</v>
      </c>
      <c r="O2767" s="6" t="str">
        <f>HYPERLINK("https://ceds.ed.gov/cedselementdetails.aspx?termid=5675")</f>
        <v>https://ceds.ed.gov/cedselementdetails.aspx?termid=5675</v>
      </c>
      <c r="P2767" s="6" t="str">
        <f>HYPERLINK("https://ceds.ed.gov/elementComment.aspx?elementName=Learning Standard Document Publication Status &amp;elementID=5675", "Click here to submit comment")</f>
        <v>Click here to submit comment</v>
      </c>
    </row>
    <row r="2768" spans="1:16" ht="30">
      <c r="A2768" s="6" t="s">
        <v>6784</v>
      </c>
      <c r="B2768" s="6" t="s">
        <v>6911</v>
      </c>
      <c r="C2768" s="6" t="s">
        <v>6912</v>
      </c>
      <c r="D2768" s="6" t="s">
        <v>3771</v>
      </c>
      <c r="E2768" s="6" t="s">
        <v>3772</v>
      </c>
      <c r="F2768" s="6" t="s">
        <v>13</v>
      </c>
      <c r="G2768" s="6" t="s">
        <v>493</v>
      </c>
      <c r="H2768" s="6"/>
      <c r="I2768" s="6" t="s">
        <v>100</v>
      </c>
      <c r="J2768" s="6"/>
      <c r="K2768" s="6"/>
      <c r="L2768" s="6" t="s">
        <v>3773</v>
      </c>
      <c r="M2768" s="6"/>
      <c r="N2768" s="6" t="s">
        <v>3774</v>
      </c>
      <c r="O2768" s="6" t="str">
        <f>HYPERLINK("https://ceds.ed.gov/cedselementdetails.aspx?termid=5679")</f>
        <v>https://ceds.ed.gov/cedselementdetails.aspx?termid=5679</v>
      </c>
      <c r="P2768" s="6" t="str">
        <f>HYPERLINK("https://ceds.ed.gov/elementComment.aspx?elementName=Learning Standard Document Subject &amp;elementID=5679", "Click here to submit comment")</f>
        <v>Click here to submit comment</v>
      </c>
    </row>
    <row r="2769" spans="1:16" ht="30">
      <c r="A2769" s="6" t="s">
        <v>6784</v>
      </c>
      <c r="B2769" s="6" t="s">
        <v>6911</v>
      </c>
      <c r="C2769" s="6" t="s">
        <v>6912</v>
      </c>
      <c r="D2769" s="6" t="s">
        <v>3775</v>
      </c>
      <c r="E2769" s="6" t="s">
        <v>3776</v>
      </c>
      <c r="F2769" s="6" t="s">
        <v>13</v>
      </c>
      <c r="G2769" s="6" t="s">
        <v>493</v>
      </c>
      <c r="H2769" s="6"/>
      <c r="I2769" s="6" t="s">
        <v>1440</v>
      </c>
      <c r="J2769" s="6"/>
      <c r="K2769" s="6"/>
      <c r="L2769" s="6" t="s">
        <v>3777</v>
      </c>
      <c r="M2769" s="6"/>
      <c r="N2769" s="6" t="s">
        <v>3778</v>
      </c>
      <c r="O2769" s="6" t="str">
        <f>HYPERLINK("https://ceds.ed.gov/cedselementdetails.aspx?termid=5671")</f>
        <v>https://ceds.ed.gov/cedselementdetails.aspx?termid=5671</v>
      </c>
      <c r="P2769" s="6" t="str">
        <f>HYPERLINK("https://ceds.ed.gov/elementComment.aspx?elementName=Learning Standard Document Title &amp;elementID=5671", "Click here to submit comment")</f>
        <v>Click here to submit comment</v>
      </c>
    </row>
    <row r="2770" spans="1:16" ht="60">
      <c r="A2770" s="6" t="s">
        <v>6784</v>
      </c>
      <c r="B2770" s="6" t="s">
        <v>6911</v>
      </c>
      <c r="C2770" s="6" t="s">
        <v>6912</v>
      </c>
      <c r="D2770" s="6" t="s">
        <v>3779</v>
      </c>
      <c r="E2770" s="6" t="s">
        <v>3780</v>
      </c>
      <c r="F2770" s="6" t="s">
        <v>13</v>
      </c>
      <c r="G2770" s="6"/>
      <c r="H2770" s="6"/>
      <c r="I2770" s="6" t="s">
        <v>73</v>
      </c>
      <c r="J2770" s="6"/>
      <c r="K2770" s="6"/>
      <c r="L2770" s="6" t="s">
        <v>3781</v>
      </c>
      <c r="M2770" s="6"/>
      <c r="N2770" s="6" t="s">
        <v>3782</v>
      </c>
      <c r="O2770" s="6" t="str">
        <f>HYPERLINK("https://ceds.ed.gov/cedselementdetails.aspx?termid=5678")</f>
        <v>https://ceds.ed.gov/cedselementdetails.aspx?termid=5678</v>
      </c>
      <c r="P2770" s="6" t="str">
        <f>HYPERLINK("https://ceds.ed.gov/elementComment.aspx?elementName=Learning Standard Document Valid End Date &amp;elementID=5678", "Click here to submit comment")</f>
        <v>Click here to submit comment</v>
      </c>
    </row>
    <row r="2771" spans="1:16" ht="60">
      <c r="A2771" s="6" t="s">
        <v>6784</v>
      </c>
      <c r="B2771" s="6" t="s">
        <v>6911</v>
      </c>
      <c r="C2771" s="6" t="s">
        <v>6912</v>
      </c>
      <c r="D2771" s="6" t="s">
        <v>3783</v>
      </c>
      <c r="E2771" s="6" t="s">
        <v>3784</v>
      </c>
      <c r="F2771" s="6" t="s">
        <v>13</v>
      </c>
      <c r="G2771" s="6"/>
      <c r="H2771" s="6"/>
      <c r="I2771" s="6" t="s">
        <v>73</v>
      </c>
      <c r="J2771" s="6"/>
      <c r="K2771" s="6"/>
      <c r="L2771" s="6" t="s">
        <v>3785</v>
      </c>
      <c r="M2771" s="6"/>
      <c r="N2771" s="6" t="s">
        <v>3786</v>
      </c>
      <c r="O2771" s="6" t="str">
        <f>HYPERLINK("https://ceds.ed.gov/cedselementdetails.aspx?termid=5677")</f>
        <v>https://ceds.ed.gov/cedselementdetails.aspx?termid=5677</v>
      </c>
      <c r="P2771" s="6" t="str">
        <f>HYPERLINK("https://ceds.ed.gov/elementComment.aspx?elementName=Learning Standard Document Valid Start Date &amp;elementID=5677", "Click here to submit comment")</f>
        <v>Click here to submit comment</v>
      </c>
    </row>
    <row r="2772" spans="1:16" ht="30">
      <c r="A2772" s="6" t="s">
        <v>6784</v>
      </c>
      <c r="B2772" s="6" t="s">
        <v>6911</v>
      </c>
      <c r="C2772" s="6" t="s">
        <v>6912</v>
      </c>
      <c r="D2772" s="6" t="s">
        <v>3787</v>
      </c>
      <c r="E2772" s="6" t="s">
        <v>3788</v>
      </c>
      <c r="F2772" s="6" t="s">
        <v>13</v>
      </c>
      <c r="G2772" s="6" t="s">
        <v>493</v>
      </c>
      <c r="H2772" s="6"/>
      <c r="I2772" s="6" t="s">
        <v>100</v>
      </c>
      <c r="J2772" s="6"/>
      <c r="K2772" s="6"/>
      <c r="L2772" s="6" t="s">
        <v>3789</v>
      </c>
      <c r="M2772" s="6"/>
      <c r="N2772" s="6" t="s">
        <v>3790</v>
      </c>
      <c r="O2772" s="6" t="str">
        <f>HYPERLINK("https://ceds.ed.gov/cedselementdetails.aspx?termid=5672")</f>
        <v>https://ceds.ed.gov/cedselementdetails.aspx?termid=5672</v>
      </c>
      <c r="P2772" s="6" t="str">
        <f>HYPERLINK("https://ceds.ed.gov/elementComment.aspx?elementName=Learning Standard Document Version &amp;elementID=5672", "Click here to submit comment")</f>
        <v>Click here to submit comment</v>
      </c>
    </row>
    <row r="2773" spans="1:16" ht="75">
      <c r="A2773" s="6" t="s">
        <v>6784</v>
      </c>
      <c r="B2773" s="6" t="s">
        <v>6911</v>
      </c>
      <c r="C2773" s="6" t="s">
        <v>6912</v>
      </c>
      <c r="D2773" s="6" t="s">
        <v>3747</v>
      </c>
      <c r="E2773" s="6" t="s">
        <v>3748</v>
      </c>
      <c r="F2773" s="5" t="s">
        <v>939</v>
      </c>
      <c r="G2773" s="6"/>
      <c r="H2773" s="6"/>
      <c r="I2773" s="6"/>
      <c r="J2773" s="6"/>
      <c r="K2773" s="6" t="s">
        <v>3478</v>
      </c>
      <c r="L2773" s="6" t="s">
        <v>3749</v>
      </c>
      <c r="M2773" s="6"/>
      <c r="N2773" s="6" t="s">
        <v>3750</v>
      </c>
      <c r="O2773" s="6" t="str">
        <f>HYPERLINK("https://ceds.ed.gov/cedselementdetails.aspx?termid=5880")</f>
        <v>https://ceds.ed.gov/cedselementdetails.aspx?termid=5880</v>
      </c>
      <c r="P2773" s="6" t="str">
        <f>HYPERLINK("https://ceds.ed.gov/elementComment.aspx?elementName=Learning Standard Document Language &amp;elementID=5880", "Click here to submit comment")</f>
        <v>Click here to submit comment</v>
      </c>
    </row>
    <row r="2774" spans="1:16" ht="45">
      <c r="A2774" s="6" t="s">
        <v>6784</v>
      </c>
      <c r="B2774" s="6" t="s">
        <v>6911</v>
      </c>
      <c r="C2774" s="6" t="s">
        <v>6912</v>
      </c>
      <c r="D2774" s="6" t="s">
        <v>3751</v>
      </c>
      <c r="E2774" s="6" t="s">
        <v>3752</v>
      </c>
      <c r="F2774" s="6" t="s">
        <v>13</v>
      </c>
      <c r="G2774" s="6"/>
      <c r="H2774" s="6"/>
      <c r="I2774" s="6" t="s">
        <v>93</v>
      </c>
      <c r="J2774" s="6"/>
      <c r="K2774" s="6"/>
      <c r="L2774" s="6" t="s">
        <v>3753</v>
      </c>
      <c r="M2774" s="6"/>
      <c r="N2774" s="6" t="s">
        <v>3754</v>
      </c>
      <c r="O2774" s="6" t="str">
        <f>HYPERLINK("https://ceds.ed.gov/cedselementdetails.aspx?termid=5882")</f>
        <v>https://ceds.ed.gov/cedselementdetails.aspx?termid=5882</v>
      </c>
      <c r="P2774" s="6" t="str">
        <f>HYPERLINK("https://ceds.ed.gov/elementComment.aspx?elementName=Learning Standard Document License &amp;elementID=5882", "Click here to submit comment")</f>
        <v>Click here to submit comment</v>
      </c>
    </row>
    <row r="2775" spans="1:16" ht="45">
      <c r="A2775" s="6" t="s">
        <v>6784</v>
      </c>
      <c r="B2775" s="6" t="s">
        <v>6911</v>
      </c>
      <c r="C2775" s="6" t="s">
        <v>6912</v>
      </c>
      <c r="D2775" s="6" t="s">
        <v>3759</v>
      </c>
      <c r="E2775" s="6" t="s">
        <v>3760</v>
      </c>
      <c r="F2775" s="6" t="s">
        <v>13</v>
      </c>
      <c r="G2775" s="6"/>
      <c r="H2775" s="6"/>
      <c r="I2775" s="6" t="s">
        <v>100</v>
      </c>
      <c r="J2775" s="6"/>
      <c r="K2775" s="6"/>
      <c r="L2775" s="6" t="s">
        <v>3761</v>
      </c>
      <c r="M2775" s="6"/>
      <c r="N2775" s="6" t="s">
        <v>3762</v>
      </c>
      <c r="O2775" s="6" t="str">
        <f>HYPERLINK("https://ceds.ed.gov/cedselementdetails.aspx?termid=5884")</f>
        <v>https://ceds.ed.gov/cedselementdetails.aspx?termid=5884</v>
      </c>
      <c r="P2775" s="6" t="str">
        <f>HYPERLINK("https://ceds.ed.gov/elementComment.aspx?elementName=Learning Standard Document Publisher &amp;elementID=5884", "Click here to submit comment")</f>
        <v>Click here to submit comment</v>
      </c>
    </row>
    <row r="2776" spans="1:16" ht="30">
      <c r="A2776" s="6" t="s">
        <v>6784</v>
      </c>
      <c r="B2776" s="6" t="s">
        <v>6911</v>
      </c>
      <c r="C2776" s="6" t="s">
        <v>6912</v>
      </c>
      <c r="D2776" s="6" t="s">
        <v>3763</v>
      </c>
      <c r="E2776" s="6" t="s">
        <v>3764</v>
      </c>
      <c r="F2776" s="6" t="s">
        <v>13</v>
      </c>
      <c r="G2776" s="6"/>
      <c r="H2776" s="6"/>
      <c r="I2776" s="6" t="s">
        <v>93</v>
      </c>
      <c r="J2776" s="6"/>
      <c r="K2776" s="6"/>
      <c r="L2776" s="6" t="s">
        <v>3765</v>
      </c>
      <c r="M2776" s="6"/>
      <c r="N2776" s="6" t="s">
        <v>3766</v>
      </c>
      <c r="O2776" s="6" t="str">
        <f>HYPERLINK("https://ceds.ed.gov/cedselementdetails.aspx?termid=5885")</f>
        <v>https://ceds.ed.gov/cedselementdetails.aspx?termid=5885</v>
      </c>
      <c r="P2776" s="6" t="str">
        <f>HYPERLINK("https://ceds.ed.gov/elementComment.aspx?elementName=Learning Standard Document Rights &amp;elementID=5885", "Click here to submit comment")</f>
        <v>Click here to submit comment</v>
      </c>
    </row>
    <row r="2777" spans="1:16" ht="45">
      <c r="A2777" s="6" t="s">
        <v>6784</v>
      </c>
      <c r="B2777" s="6" t="s">
        <v>6911</v>
      </c>
      <c r="C2777" s="6" t="s">
        <v>6912</v>
      </c>
      <c r="D2777" s="6" t="s">
        <v>3767</v>
      </c>
      <c r="E2777" s="6" t="s">
        <v>3768</v>
      </c>
      <c r="F2777" s="6" t="s">
        <v>13</v>
      </c>
      <c r="G2777" s="6"/>
      <c r="H2777" s="6"/>
      <c r="I2777" s="6" t="s">
        <v>100</v>
      </c>
      <c r="J2777" s="6"/>
      <c r="K2777" s="6"/>
      <c r="L2777" s="6" t="s">
        <v>3769</v>
      </c>
      <c r="M2777" s="6"/>
      <c r="N2777" s="6" t="s">
        <v>3770</v>
      </c>
      <c r="O2777" s="6" t="str">
        <f>HYPERLINK("https://ceds.ed.gov/cedselementdetails.aspx?termid=5886")</f>
        <v>https://ceds.ed.gov/cedselementdetails.aspx?termid=5886</v>
      </c>
      <c r="P2777" s="6" t="str">
        <f>HYPERLINK("https://ceds.ed.gov/elementComment.aspx?elementName=Learning Standard Document Rights Holder &amp;elementID=5886", "Click here to submit comment")</f>
        <v>Click here to submit comment</v>
      </c>
    </row>
    <row r="2778" spans="1:16" ht="60">
      <c r="A2778" s="6" t="s">
        <v>6784</v>
      </c>
      <c r="B2778" s="6" t="s">
        <v>6911</v>
      </c>
      <c r="C2778" s="6" t="s">
        <v>6912</v>
      </c>
      <c r="D2778" s="6" t="s">
        <v>3945</v>
      </c>
      <c r="E2778" s="6" t="s">
        <v>3946</v>
      </c>
      <c r="F2778" s="6" t="s">
        <v>13</v>
      </c>
      <c r="G2778" s="6"/>
      <c r="H2778" s="6" t="s">
        <v>54</v>
      </c>
      <c r="I2778" s="6" t="s">
        <v>73</v>
      </c>
      <c r="J2778" s="6"/>
      <c r="K2778" s="6" t="s">
        <v>3947</v>
      </c>
      <c r="L2778" s="6" t="s">
        <v>3948</v>
      </c>
      <c r="M2778" s="6"/>
      <c r="N2778" s="6" t="s">
        <v>3949</v>
      </c>
      <c r="O2778" s="6" t="str">
        <f>HYPERLINK("https://ceds.ed.gov/cedselementdetails.aspx?termid=6483")</f>
        <v>https://ceds.ed.gov/cedselementdetails.aspx?termid=6483</v>
      </c>
      <c r="P2778" s="6" t="str">
        <f>HYPERLINK("https://ceds.ed.gov/elementComment.aspx?elementName=Learning Standard Item Valid End Date &amp;elementID=6483", "Click here to submit comment")</f>
        <v>Click here to submit comment</v>
      </c>
    </row>
    <row r="2779" spans="1:16" ht="45">
      <c r="A2779" s="6" t="s">
        <v>6784</v>
      </c>
      <c r="B2779" s="6" t="s">
        <v>6911</v>
      </c>
      <c r="C2779" s="6" t="s">
        <v>6912</v>
      </c>
      <c r="D2779" s="6" t="s">
        <v>3950</v>
      </c>
      <c r="E2779" s="6" t="s">
        <v>3951</v>
      </c>
      <c r="F2779" s="6" t="s">
        <v>13</v>
      </c>
      <c r="G2779" s="6"/>
      <c r="H2779" s="6" t="s">
        <v>54</v>
      </c>
      <c r="I2779" s="6" t="s">
        <v>73</v>
      </c>
      <c r="J2779" s="6"/>
      <c r="K2779" s="6"/>
      <c r="L2779" s="6" t="s">
        <v>3952</v>
      </c>
      <c r="M2779" s="6"/>
      <c r="N2779" s="6" t="s">
        <v>3953</v>
      </c>
      <c r="O2779" s="6" t="str">
        <f>HYPERLINK("https://ceds.ed.gov/cedselementdetails.aspx?termid=6484")</f>
        <v>https://ceds.ed.gov/cedselementdetails.aspx?termid=6484</v>
      </c>
      <c r="P2779" s="6" t="str">
        <f>HYPERLINK("https://ceds.ed.gov/elementComment.aspx?elementName=Learning Standard Item Valid Start Date &amp;elementID=6484", "Click here to submit comment")</f>
        <v>Click here to submit comment</v>
      </c>
    </row>
    <row r="2780" spans="1:16" ht="120">
      <c r="A2780" s="6" t="s">
        <v>6784</v>
      </c>
      <c r="B2780" s="6" t="s">
        <v>6911</v>
      </c>
      <c r="C2780" s="6" t="s">
        <v>6913</v>
      </c>
      <c r="D2780" s="6" t="s">
        <v>3577</v>
      </c>
      <c r="E2780" s="6" t="s">
        <v>3578</v>
      </c>
      <c r="F2780" s="6" t="s">
        <v>6230</v>
      </c>
      <c r="G2780" s="6"/>
      <c r="H2780" s="6" t="s">
        <v>66</v>
      </c>
      <c r="I2780" s="6"/>
      <c r="J2780" s="6" t="s">
        <v>2645</v>
      </c>
      <c r="K2780" s="6" t="s">
        <v>3579</v>
      </c>
      <c r="L2780" s="6" t="s">
        <v>3580</v>
      </c>
      <c r="M2780" s="6"/>
      <c r="N2780" s="6" t="s">
        <v>3581</v>
      </c>
      <c r="O2780" s="6" t="str">
        <f>HYPERLINK("https://ceds.ed.gov/cedselementdetails.aspx?termid=5879")</f>
        <v>https://ceds.ed.gov/cedselementdetails.aspx?termid=5879</v>
      </c>
      <c r="P2780" s="6" t="str">
        <f>HYPERLINK("https://ceds.ed.gov/elementComment.aspx?elementName=Learning Resource Competency Alignment Type &amp;elementID=5879", "Click here to submit comment")</f>
        <v>Click here to submit comment</v>
      </c>
    </row>
    <row r="2781" spans="1:16" ht="90">
      <c r="A2781" s="6" t="s">
        <v>6784</v>
      </c>
      <c r="B2781" s="6" t="s">
        <v>6911</v>
      </c>
      <c r="C2781" s="6" t="s">
        <v>6856</v>
      </c>
      <c r="D2781" s="6" t="s">
        <v>3832</v>
      </c>
      <c r="E2781" s="6" t="s">
        <v>3833</v>
      </c>
      <c r="F2781" s="6" t="s">
        <v>13</v>
      </c>
      <c r="G2781" s="6"/>
      <c r="H2781" s="6"/>
      <c r="I2781" s="6" t="s">
        <v>100</v>
      </c>
      <c r="J2781" s="6"/>
      <c r="K2781" s="6" t="s">
        <v>3834</v>
      </c>
      <c r="L2781" s="6" t="s">
        <v>3835</v>
      </c>
      <c r="M2781" s="6" t="s">
        <v>3836</v>
      </c>
      <c r="N2781" s="6" t="s">
        <v>3837</v>
      </c>
      <c r="O2781" s="6" t="str">
        <f>HYPERLINK("https://ceds.ed.gov/cedselementdetails.aspx?termid=5669")</f>
        <v>https://ceds.ed.gov/cedselementdetails.aspx?termid=5669</v>
      </c>
      <c r="P2781" s="6" t="str">
        <f>HYPERLINK("https://ceds.ed.gov/elementComment.aspx?elementName=Learning Standard Item Code &amp;elementID=5669", "Click here to submit comment")</f>
        <v>Click here to submit comment</v>
      </c>
    </row>
    <row r="2782" spans="1:16" ht="409.5">
      <c r="A2782" s="6" t="s">
        <v>6784</v>
      </c>
      <c r="B2782" s="6" t="s">
        <v>6911</v>
      </c>
      <c r="C2782" s="6" t="s">
        <v>6856</v>
      </c>
      <c r="D2782" s="6" t="s">
        <v>3851</v>
      </c>
      <c r="E2782" s="6" t="s">
        <v>3852</v>
      </c>
      <c r="F2782" s="7" t="s">
        <v>6400</v>
      </c>
      <c r="G2782" s="6"/>
      <c r="H2782" s="6"/>
      <c r="I2782" s="6"/>
      <c r="J2782" s="6"/>
      <c r="K2782" s="6" t="s">
        <v>3853</v>
      </c>
      <c r="L2782" s="6" t="s">
        <v>3854</v>
      </c>
      <c r="M2782" s="6"/>
      <c r="N2782" s="6" t="s">
        <v>3855</v>
      </c>
      <c r="O2782" s="6" t="str">
        <f>HYPERLINK("https://ceds.ed.gov/cedselementdetails.aspx?termid=5701")</f>
        <v>https://ceds.ed.gov/cedselementdetails.aspx?termid=5701</v>
      </c>
      <c r="P2782" s="6" t="str">
        <f>HYPERLINK("https://ceds.ed.gov/elementComment.aspx?elementName=Learning Standard Item Education Level &amp;elementID=5701", "Click here to submit comment")</f>
        <v>Click here to submit comment</v>
      </c>
    </row>
    <row r="2783" spans="1:16" ht="120">
      <c r="A2783" s="6" t="s">
        <v>6784</v>
      </c>
      <c r="B2783" s="6" t="s">
        <v>6911</v>
      </c>
      <c r="C2783" s="6" t="s">
        <v>6856</v>
      </c>
      <c r="D2783" s="6" t="s">
        <v>3856</v>
      </c>
      <c r="E2783" s="6" t="s">
        <v>3857</v>
      </c>
      <c r="F2783" s="6" t="s">
        <v>13</v>
      </c>
      <c r="G2783" s="6" t="s">
        <v>493</v>
      </c>
      <c r="H2783" s="6"/>
      <c r="I2783" s="6" t="s">
        <v>3858</v>
      </c>
      <c r="J2783" s="6"/>
      <c r="K2783" s="6"/>
      <c r="L2783" s="6" t="s">
        <v>3859</v>
      </c>
      <c r="M2783" s="6" t="s">
        <v>3860</v>
      </c>
      <c r="N2783" s="6" t="s">
        <v>3861</v>
      </c>
      <c r="O2783" s="6" t="str">
        <f>HYPERLINK("https://ceds.ed.gov/cedselementdetails.aspx?termid=5666")</f>
        <v>https://ceds.ed.gov/cedselementdetails.aspx?termid=5666</v>
      </c>
      <c r="P2783" s="6" t="str">
        <f>HYPERLINK("https://ceds.ed.gov/elementComment.aspx?elementName=Learning Standard Item Identifier &amp;elementID=5666", "Click here to submit comment")</f>
        <v>Click here to submit comment</v>
      </c>
    </row>
    <row r="2784" spans="1:16" ht="150">
      <c r="A2784" s="6" t="s">
        <v>6784</v>
      </c>
      <c r="B2784" s="6" t="s">
        <v>6911</v>
      </c>
      <c r="C2784" s="6" t="s">
        <v>6856</v>
      </c>
      <c r="D2784" s="6" t="s">
        <v>3899</v>
      </c>
      <c r="E2784" s="6" t="s">
        <v>3900</v>
      </c>
      <c r="F2784" s="6" t="s">
        <v>13</v>
      </c>
      <c r="G2784" s="6" t="s">
        <v>493</v>
      </c>
      <c r="H2784" s="6"/>
      <c r="I2784" s="6" t="s">
        <v>3858</v>
      </c>
      <c r="J2784" s="6"/>
      <c r="K2784" s="6" t="s">
        <v>3901</v>
      </c>
      <c r="L2784" s="6" t="s">
        <v>3902</v>
      </c>
      <c r="M2784" s="6"/>
      <c r="N2784" s="6" t="s">
        <v>3903</v>
      </c>
      <c r="O2784" s="6" t="str">
        <f>HYPERLINK("https://ceds.ed.gov/cedselementdetails.aspx?termid=5691")</f>
        <v>https://ceds.ed.gov/cedselementdetails.aspx?termid=5691</v>
      </c>
      <c r="P2784" s="6" t="str">
        <f>HYPERLINK("https://ceds.ed.gov/elementComment.aspx?elementName=Learning Standard Item Prerequisite Identifier &amp;elementID=5691", "Click here to submit comment")</f>
        <v>Click here to submit comment</v>
      </c>
    </row>
    <row r="2785" spans="1:16" ht="225">
      <c r="A2785" s="6" t="s">
        <v>6784</v>
      </c>
      <c r="B2785" s="6" t="s">
        <v>6911</v>
      </c>
      <c r="C2785" s="6" t="s">
        <v>6856</v>
      </c>
      <c r="D2785" s="6" t="s">
        <v>3909</v>
      </c>
      <c r="E2785" s="6" t="s">
        <v>3910</v>
      </c>
      <c r="F2785" s="6" t="s">
        <v>13</v>
      </c>
      <c r="G2785" s="6" t="s">
        <v>493</v>
      </c>
      <c r="H2785" s="6"/>
      <c r="I2785" s="6" t="s">
        <v>319</v>
      </c>
      <c r="J2785" s="6"/>
      <c r="K2785" s="6" t="s">
        <v>3911</v>
      </c>
      <c r="L2785" s="6" t="s">
        <v>3912</v>
      </c>
      <c r="M2785" s="6" t="s">
        <v>3913</v>
      </c>
      <c r="N2785" s="6" t="s">
        <v>3914</v>
      </c>
      <c r="O2785" s="6" t="str">
        <f>HYPERLINK("https://ceds.ed.gov/cedselementdetails.aspx?termid=5667")</f>
        <v>https://ceds.ed.gov/cedselementdetails.aspx?termid=5667</v>
      </c>
      <c r="P2785" s="6" t="str">
        <f>HYPERLINK("https://ceds.ed.gov/elementComment.aspx?elementName=Learning Standard Item Statement &amp;elementID=5667", "Click here to submit comment")</f>
        <v>Click here to submit comment</v>
      </c>
    </row>
    <row r="2786" spans="1:16" ht="75">
      <c r="A2786" s="6" t="s">
        <v>6784</v>
      </c>
      <c r="B2786" s="6" t="s">
        <v>6911</v>
      </c>
      <c r="C2786" s="6" t="s">
        <v>6856</v>
      </c>
      <c r="D2786" s="6" t="s">
        <v>3931</v>
      </c>
      <c r="E2786" s="6" t="s">
        <v>3932</v>
      </c>
      <c r="F2786" s="6" t="s">
        <v>13</v>
      </c>
      <c r="G2786" s="6" t="s">
        <v>493</v>
      </c>
      <c r="H2786" s="6"/>
      <c r="I2786" s="6" t="s">
        <v>106</v>
      </c>
      <c r="J2786" s="6"/>
      <c r="K2786" s="6"/>
      <c r="L2786" s="6" t="s">
        <v>3933</v>
      </c>
      <c r="M2786" s="6" t="s">
        <v>3934</v>
      </c>
      <c r="N2786" s="6" t="s">
        <v>3935</v>
      </c>
      <c r="O2786" s="6" t="str">
        <f>HYPERLINK("https://ceds.ed.gov/cedselementdetails.aspx?termid=5668")</f>
        <v>https://ceds.ed.gov/cedselementdetails.aspx?termid=5668</v>
      </c>
      <c r="P2786" s="6" t="str">
        <f>HYPERLINK("https://ceds.ed.gov/elementComment.aspx?elementName=Learning Standard Item Type &amp;elementID=5668", "Click here to submit comment")</f>
        <v>Click here to submit comment</v>
      </c>
    </row>
    <row r="2787" spans="1:16" ht="240">
      <c r="A2787" s="6" t="s">
        <v>6784</v>
      </c>
      <c r="B2787" s="6" t="s">
        <v>6911</v>
      </c>
      <c r="C2787" s="6" t="s">
        <v>6856</v>
      </c>
      <c r="D2787" s="6" t="s">
        <v>3904</v>
      </c>
      <c r="E2787" s="6" t="s">
        <v>3905</v>
      </c>
      <c r="F2787" s="6" t="s">
        <v>13</v>
      </c>
      <c r="G2787" s="6"/>
      <c r="H2787" s="6" t="s">
        <v>54</v>
      </c>
      <c r="I2787" s="6" t="s">
        <v>3906</v>
      </c>
      <c r="J2787" s="6"/>
      <c r="K2787" s="6" t="s">
        <v>3848</v>
      </c>
      <c r="L2787" s="6" t="s">
        <v>3907</v>
      </c>
      <c r="M2787" s="6"/>
      <c r="N2787" s="6" t="s">
        <v>3908</v>
      </c>
      <c r="O2787" s="6" t="str">
        <f>HYPERLINK("https://ceds.ed.gov/cedselementdetails.aspx?termid=6498")</f>
        <v>https://ceds.ed.gov/cedselementdetails.aspx?termid=6498</v>
      </c>
      <c r="P2787" s="6" t="str">
        <f>HYPERLINK("https://ceds.ed.gov/elementComment.aspx?elementName=Learning Standard Item Previous Version Identifier &amp;elementID=6498", "Click here to submit comment")</f>
        <v>Click here to submit comment</v>
      </c>
    </row>
    <row r="2788" spans="1:16" ht="60">
      <c r="A2788" s="6" t="s">
        <v>6784</v>
      </c>
      <c r="B2788" s="6" t="s">
        <v>6911</v>
      </c>
      <c r="C2788" s="6" t="s">
        <v>6856</v>
      </c>
      <c r="D2788" s="6" t="s">
        <v>3828</v>
      </c>
      <c r="E2788" s="6" t="s">
        <v>3829</v>
      </c>
      <c r="F2788" s="6" t="s">
        <v>6245</v>
      </c>
      <c r="G2788" s="6"/>
      <c r="H2788" s="6"/>
      <c r="I2788" s="6"/>
      <c r="J2788" s="6"/>
      <c r="K2788" s="6"/>
      <c r="L2788" s="6" t="s">
        <v>3830</v>
      </c>
      <c r="M2788" s="6"/>
      <c r="N2788" s="6" t="s">
        <v>3831</v>
      </c>
      <c r="O2788" s="6" t="str">
        <f>HYPERLINK("https://ceds.ed.gov/cedselementdetails.aspx?termid=5875")</f>
        <v>https://ceds.ed.gov/cedselementdetails.aspx?termid=5875</v>
      </c>
      <c r="P2788" s="6" t="str">
        <f>HYPERLINK("https://ceds.ed.gov/elementComment.aspx?elementName=Learning Standard Item Blooms Taxonomy Domain &amp;elementID=5875", "Click here to submit comment")</f>
        <v>Click here to submit comment</v>
      </c>
    </row>
    <row r="2789" spans="1:16" ht="45">
      <c r="A2789" s="6" t="s">
        <v>6784</v>
      </c>
      <c r="B2789" s="6" t="s">
        <v>6911</v>
      </c>
      <c r="C2789" s="6" t="s">
        <v>6856</v>
      </c>
      <c r="D2789" s="6" t="s">
        <v>3838</v>
      </c>
      <c r="E2789" s="6" t="s">
        <v>3839</v>
      </c>
      <c r="F2789" s="6" t="s">
        <v>13</v>
      </c>
      <c r="G2789" s="6"/>
      <c r="H2789" s="6"/>
      <c r="I2789" s="6" t="s">
        <v>93</v>
      </c>
      <c r="J2789" s="6"/>
      <c r="K2789" s="6"/>
      <c r="L2789" s="6" t="s">
        <v>3840</v>
      </c>
      <c r="M2789" s="6"/>
      <c r="N2789" s="6" t="s">
        <v>3841</v>
      </c>
      <c r="O2789" s="6" t="str">
        <f>HYPERLINK("https://ceds.ed.gov/cedselementdetails.aspx?termid=5887")</f>
        <v>https://ceds.ed.gov/cedselementdetails.aspx?termid=5887</v>
      </c>
      <c r="P2789" s="6" t="str">
        <f>HYPERLINK("https://ceds.ed.gov/elementComment.aspx?elementName=Learning Standard Item Concept Keyword &amp;elementID=5887", "Click here to submit comment")</f>
        <v>Click here to submit comment</v>
      </c>
    </row>
    <row r="2790" spans="1:16" ht="75">
      <c r="A2790" s="6" t="s">
        <v>6784</v>
      </c>
      <c r="B2790" s="6" t="s">
        <v>6911</v>
      </c>
      <c r="C2790" s="6" t="s">
        <v>6856</v>
      </c>
      <c r="D2790" s="6" t="s">
        <v>3842</v>
      </c>
      <c r="E2790" s="6" t="s">
        <v>3843</v>
      </c>
      <c r="F2790" s="6" t="s">
        <v>13</v>
      </c>
      <c r="G2790" s="6"/>
      <c r="H2790" s="6"/>
      <c r="I2790" s="6" t="s">
        <v>100</v>
      </c>
      <c r="J2790" s="6"/>
      <c r="K2790" s="6"/>
      <c r="L2790" s="6" t="s">
        <v>3844</v>
      </c>
      <c r="M2790" s="6"/>
      <c r="N2790" s="6" t="s">
        <v>3845</v>
      </c>
      <c r="O2790" s="6" t="str">
        <f>HYPERLINK("https://ceds.ed.gov/cedselementdetails.aspx?termid=5888")</f>
        <v>https://ceds.ed.gov/cedselementdetails.aspx?termid=5888</v>
      </c>
      <c r="P2790" s="6" t="str">
        <f>HYPERLINK("https://ceds.ed.gov/elementComment.aspx?elementName=Learning Standard Item Concept Term &amp;elementID=5888", "Click here to submit comment")</f>
        <v>Click here to submit comment</v>
      </c>
    </row>
    <row r="2791" spans="1:16" ht="240">
      <c r="A2791" s="6" t="s">
        <v>6784</v>
      </c>
      <c r="B2791" s="6" t="s">
        <v>6911</v>
      </c>
      <c r="C2791" s="6" t="s">
        <v>6856</v>
      </c>
      <c r="D2791" s="6" t="s">
        <v>3846</v>
      </c>
      <c r="E2791" s="6" t="s">
        <v>3847</v>
      </c>
      <c r="F2791" s="6" t="s">
        <v>5963</v>
      </c>
      <c r="G2791" s="6"/>
      <c r="H2791" s="6" t="s">
        <v>54</v>
      </c>
      <c r="I2791" s="6"/>
      <c r="J2791" s="6"/>
      <c r="K2791" s="6" t="s">
        <v>3848</v>
      </c>
      <c r="L2791" s="6" t="s">
        <v>3849</v>
      </c>
      <c r="M2791" s="6"/>
      <c r="N2791" s="6" t="s">
        <v>3850</v>
      </c>
      <c r="O2791" s="6" t="str">
        <f>HYPERLINK("https://ceds.ed.gov/cedselementdetails.aspx?termid=6499")</f>
        <v>https://ceds.ed.gov/cedselementdetails.aspx?termid=6499</v>
      </c>
      <c r="P2791" s="6" t="str">
        <f>HYPERLINK("https://ceds.ed.gov/elementComment.aspx?elementName=Learning Standard Item Current Version Indicator &amp;elementID=6499", "Click here to submit comment")</f>
        <v>Click here to submit comment</v>
      </c>
    </row>
    <row r="2792" spans="1:16" ht="75">
      <c r="A2792" s="6" t="s">
        <v>6784</v>
      </c>
      <c r="B2792" s="6" t="s">
        <v>6911</v>
      </c>
      <c r="C2792" s="6" t="s">
        <v>6856</v>
      </c>
      <c r="D2792" s="6" t="s">
        <v>3862</v>
      </c>
      <c r="E2792" s="6" t="s">
        <v>3863</v>
      </c>
      <c r="F2792" s="5" t="s">
        <v>939</v>
      </c>
      <c r="G2792" s="6"/>
      <c r="H2792" s="6"/>
      <c r="I2792" s="6"/>
      <c r="J2792" s="6"/>
      <c r="K2792" s="6" t="s">
        <v>3478</v>
      </c>
      <c r="L2792" s="6" t="s">
        <v>3864</v>
      </c>
      <c r="M2792" s="6"/>
      <c r="N2792" s="6" t="s">
        <v>3865</v>
      </c>
      <c r="O2792" s="6" t="str">
        <f>HYPERLINK("https://ceds.ed.gov/cedselementdetails.aspx?termid=5881")</f>
        <v>https://ceds.ed.gov/cedselementdetails.aspx?termid=5881</v>
      </c>
      <c r="P2792" s="6" t="str">
        <f>HYPERLINK("https://ceds.ed.gov/elementComment.aspx?elementName=Learning Standard Item Language &amp;elementID=5881", "Click here to submit comment")</f>
        <v>Click here to submit comment</v>
      </c>
    </row>
    <row r="2793" spans="1:16" ht="60">
      <c r="A2793" s="6" t="s">
        <v>6784</v>
      </c>
      <c r="B2793" s="6" t="s">
        <v>6911</v>
      </c>
      <c r="C2793" s="6" t="s">
        <v>6856</v>
      </c>
      <c r="D2793" s="6" t="s">
        <v>3866</v>
      </c>
      <c r="E2793" s="6" t="s">
        <v>3867</v>
      </c>
      <c r="F2793" s="6" t="s">
        <v>13</v>
      </c>
      <c r="G2793" s="6"/>
      <c r="H2793" s="6"/>
      <c r="I2793" s="6" t="s">
        <v>93</v>
      </c>
      <c r="J2793" s="6"/>
      <c r="K2793" s="6"/>
      <c r="L2793" s="6" t="s">
        <v>3868</v>
      </c>
      <c r="M2793" s="6"/>
      <c r="N2793" s="6" t="s">
        <v>3869</v>
      </c>
      <c r="O2793" s="6" t="str">
        <f>HYPERLINK("https://ceds.ed.gov/cedselementdetails.aspx?termid=5883")</f>
        <v>https://ceds.ed.gov/cedselementdetails.aspx?termid=5883</v>
      </c>
      <c r="P2793" s="6" t="str">
        <f>HYPERLINK("https://ceds.ed.gov/elementComment.aspx?elementName=Learning Standard Item License &amp;elementID=5883", "Click here to submit comment")</f>
        <v>Click here to submit comment</v>
      </c>
    </row>
    <row r="2794" spans="1:16" ht="195">
      <c r="A2794" s="6" t="s">
        <v>6784</v>
      </c>
      <c r="B2794" s="6" t="s">
        <v>6911</v>
      </c>
      <c r="C2794" s="6" t="s">
        <v>6856</v>
      </c>
      <c r="D2794" s="6" t="s">
        <v>3870</v>
      </c>
      <c r="E2794" s="6" t="s">
        <v>3871</v>
      </c>
      <c r="F2794" s="7" t="s">
        <v>6569</v>
      </c>
      <c r="G2794" s="6"/>
      <c r="H2794" s="6"/>
      <c r="I2794" s="6"/>
      <c r="J2794" s="6"/>
      <c r="K2794" s="6"/>
      <c r="L2794" s="6" t="s">
        <v>3872</v>
      </c>
      <c r="M2794" s="6"/>
      <c r="N2794" s="6" t="s">
        <v>3873</v>
      </c>
      <c r="O2794" s="6" t="str">
        <f>HYPERLINK("https://ceds.ed.gov/cedselementdetails.aspx?termid=5876")</f>
        <v>https://ceds.ed.gov/cedselementdetails.aspx?termid=5876</v>
      </c>
      <c r="P2794" s="6" t="str">
        <f>HYPERLINK("https://ceds.ed.gov/elementComment.aspx?elementName=Learning Standard Item Multiple Intelligence &amp;elementID=5876", "Click here to submit comment")</f>
        <v>Click here to submit comment</v>
      </c>
    </row>
    <row r="2795" spans="1:16" ht="30">
      <c r="A2795" s="6" t="s">
        <v>6784</v>
      </c>
      <c r="B2795" s="6" t="s">
        <v>6911</v>
      </c>
      <c r="C2795" s="6" t="s">
        <v>6856</v>
      </c>
      <c r="D2795" s="6" t="s">
        <v>3883</v>
      </c>
      <c r="E2795" s="6" t="s">
        <v>3884</v>
      </c>
      <c r="F2795" s="6" t="s">
        <v>13</v>
      </c>
      <c r="G2795" s="6"/>
      <c r="H2795" s="6"/>
      <c r="I2795" s="6" t="s">
        <v>319</v>
      </c>
      <c r="J2795" s="6"/>
      <c r="K2795" s="6"/>
      <c r="L2795" s="6" t="s">
        <v>3885</v>
      </c>
      <c r="M2795" s="6"/>
      <c r="N2795" s="6" t="s">
        <v>3886</v>
      </c>
      <c r="O2795" s="6" t="str">
        <f>HYPERLINK("https://ceds.ed.gov/cedselementdetails.aspx?termid=6215")</f>
        <v>https://ceds.ed.gov/cedselementdetails.aspx?termid=6215</v>
      </c>
      <c r="P2795" s="6" t="str">
        <f>HYPERLINK("https://ceds.ed.gov/elementComment.aspx?elementName=Learning Standard Item Notes &amp;elementID=6215", "Click here to submit comment")</f>
        <v>Click here to submit comment</v>
      </c>
    </row>
    <row r="2796" spans="1:16" ht="60">
      <c r="A2796" s="6" t="s">
        <v>6784</v>
      </c>
      <c r="B2796" s="6" t="s">
        <v>6911</v>
      </c>
      <c r="C2796" s="6" t="s">
        <v>6856</v>
      </c>
      <c r="D2796" s="6" t="s">
        <v>3887</v>
      </c>
      <c r="E2796" s="6" t="s">
        <v>3888</v>
      </c>
      <c r="F2796" s="6" t="s">
        <v>13</v>
      </c>
      <c r="G2796" s="6"/>
      <c r="H2796" s="6"/>
      <c r="I2796" s="6" t="s">
        <v>100</v>
      </c>
      <c r="J2796" s="6"/>
      <c r="K2796" s="6"/>
      <c r="L2796" s="6" t="s">
        <v>3889</v>
      </c>
      <c r="M2796" s="6"/>
      <c r="N2796" s="6" t="s">
        <v>3890</v>
      </c>
      <c r="O2796" s="6" t="str">
        <f>HYPERLINK("https://ceds.ed.gov/cedselementdetails.aspx?termid=5873")</f>
        <v>https://ceds.ed.gov/cedselementdetails.aspx?termid=5873</v>
      </c>
      <c r="P2796" s="6" t="str">
        <f>HYPERLINK("https://ceds.ed.gov/elementComment.aspx?elementName=Learning Standard Item Parent Code &amp;elementID=5873", "Click here to submit comment")</f>
        <v>Click here to submit comment</v>
      </c>
    </row>
    <row r="2797" spans="1:16" ht="135">
      <c r="A2797" s="6" t="s">
        <v>6784</v>
      </c>
      <c r="B2797" s="6" t="s">
        <v>6911</v>
      </c>
      <c r="C2797" s="6" t="s">
        <v>6856</v>
      </c>
      <c r="D2797" s="6" t="s">
        <v>3891</v>
      </c>
      <c r="E2797" s="6" t="s">
        <v>3892</v>
      </c>
      <c r="F2797" s="6" t="s">
        <v>13</v>
      </c>
      <c r="G2797" s="6"/>
      <c r="H2797" s="6"/>
      <c r="I2797" s="6" t="s">
        <v>3858</v>
      </c>
      <c r="J2797" s="6"/>
      <c r="K2797" s="6"/>
      <c r="L2797" s="6" t="s">
        <v>3893</v>
      </c>
      <c r="M2797" s="6"/>
      <c r="N2797" s="6" t="s">
        <v>3894</v>
      </c>
      <c r="O2797" s="6" t="str">
        <f>HYPERLINK("https://ceds.ed.gov/cedselementdetails.aspx?termid=5872")</f>
        <v>https://ceds.ed.gov/cedselementdetails.aspx?termid=5872</v>
      </c>
      <c r="P2797" s="6" t="str">
        <f>HYPERLINK("https://ceds.ed.gov/elementComment.aspx?elementName=Learning Standard Item Parent Identifier &amp;elementID=5872", "Click here to submit comment")</f>
        <v>Click here to submit comment</v>
      </c>
    </row>
    <row r="2798" spans="1:16" ht="75">
      <c r="A2798" s="6" t="s">
        <v>6784</v>
      </c>
      <c r="B2798" s="6" t="s">
        <v>6911</v>
      </c>
      <c r="C2798" s="6" t="s">
        <v>6856</v>
      </c>
      <c r="D2798" s="6" t="s">
        <v>3895</v>
      </c>
      <c r="E2798" s="6" t="s">
        <v>3896</v>
      </c>
      <c r="F2798" s="6" t="s">
        <v>13</v>
      </c>
      <c r="G2798" s="6"/>
      <c r="H2798" s="6"/>
      <c r="I2798" s="6" t="s">
        <v>93</v>
      </c>
      <c r="J2798" s="6"/>
      <c r="K2798" s="6"/>
      <c r="L2798" s="6" t="s">
        <v>3897</v>
      </c>
      <c r="M2798" s="6"/>
      <c r="N2798" s="6" t="s">
        <v>3898</v>
      </c>
      <c r="O2798" s="6" t="str">
        <f>HYPERLINK("https://ceds.ed.gov/cedselementdetails.aspx?termid=6078")</f>
        <v>https://ceds.ed.gov/cedselementdetails.aspx?termid=6078</v>
      </c>
      <c r="P2798" s="6" t="str">
        <f>HYPERLINK("https://ceds.ed.gov/elementComment.aspx?elementName=Learning Standard Item Parent URL &amp;elementID=6078", "Click here to submit comment")</f>
        <v>Click here to submit comment</v>
      </c>
    </row>
    <row r="2799" spans="1:16" ht="75">
      <c r="A2799" s="6" t="s">
        <v>6784</v>
      </c>
      <c r="B2799" s="6" t="s">
        <v>6911</v>
      </c>
      <c r="C2799" s="6" t="s">
        <v>6856</v>
      </c>
      <c r="D2799" s="6" t="s">
        <v>3919</v>
      </c>
      <c r="E2799" s="6" t="s">
        <v>3920</v>
      </c>
      <c r="F2799" s="6" t="s">
        <v>13</v>
      </c>
      <c r="G2799" s="6"/>
      <c r="H2799" s="6"/>
      <c r="I2799" s="6" t="s">
        <v>545</v>
      </c>
      <c r="J2799" s="6"/>
      <c r="K2799" s="6"/>
      <c r="L2799" s="6" t="s">
        <v>3921</v>
      </c>
      <c r="M2799" s="6"/>
      <c r="N2799" s="6" t="s">
        <v>3922</v>
      </c>
      <c r="O2799" s="6" t="str">
        <f>HYPERLINK("https://ceds.ed.gov/cedselementdetails.aspx?termid=6115")</f>
        <v>https://ceds.ed.gov/cedselementdetails.aspx?termid=6115</v>
      </c>
      <c r="P2799" s="6" t="str">
        <f>HYPERLINK("https://ceds.ed.gov/elementComment.aspx?elementName=Learning Standard Item Text Complexity Maximum Value &amp;elementID=6115", "Click here to submit comment")</f>
        <v>Click here to submit comment</v>
      </c>
    </row>
    <row r="2800" spans="1:16" ht="75">
      <c r="A2800" s="6" t="s">
        <v>6784</v>
      </c>
      <c r="B2800" s="6" t="s">
        <v>6911</v>
      </c>
      <c r="C2800" s="6" t="s">
        <v>6856</v>
      </c>
      <c r="D2800" s="6" t="s">
        <v>3923</v>
      </c>
      <c r="E2800" s="6" t="s">
        <v>3924</v>
      </c>
      <c r="F2800" s="6" t="s">
        <v>13</v>
      </c>
      <c r="G2800" s="6"/>
      <c r="H2800" s="6"/>
      <c r="I2800" s="6" t="s">
        <v>545</v>
      </c>
      <c r="J2800" s="6"/>
      <c r="K2800" s="6"/>
      <c r="L2800" s="6" t="s">
        <v>3925</v>
      </c>
      <c r="M2800" s="6"/>
      <c r="N2800" s="6" t="s">
        <v>3926</v>
      </c>
      <c r="O2800" s="6" t="str">
        <f>HYPERLINK("https://ceds.ed.gov/cedselementdetails.aspx?termid=6114")</f>
        <v>https://ceds.ed.gov/cedselementdetails.aspx?termid=6114</v>
      </c>
      <c r="P2800" s="6" t="str">
        <f>HYPERLINK("https://ceds.ed.gov/elementComment.aspx?elementName=Learning Standard Item Text Complexity Minimum Value &amp;elementID=6114", "Click here to submit comment")</f>
        <v>Click here to submit comment</v>
      </c>
    </row>
    <row r="2801" spans="1:16" ht="60">
      <c r="A2801" s="6" t="s">
        <v>6784</v>
      </c>
      <c r="B2801" s="6" t="s">
        <v>6911</v>
      </c>
      <c r="C2801" s="6" t="s">
        <v>6856</v>
      </c>
      <c r="D2801" s="6" t="s">
        <v>3927</v>
      </c>
      <c r="E2801" s="6" t="s">
        <v>3928</v>
      </c>
      <c r="F2801" s="6" t="s">
        <v>13</v>
      </c>
      <c r="G2801" s="6"/>
      <c r="H2801" s="6"/>
      <c r="I2801" s="6" t="s">
        <v>100</v>
      </c>
      <c r="J2801" s="6"/>
      <c r="K2801" s="6"/>
      <c r="L2801" s="6" t="s">
        <v>3929</v>
      </c>
      <c r="M2801" s="6"/>
      <c r="N2801" s="6" t="s">
        <v>3930</v>
      </c>
      <c r="O2801" s="6" t="str">
        <f>HYPERLINK("https://ceds.ed.gov/cedselementdetails.aspx?termid=5910")</f>
        <v>https://ceds.ed.gov/cedselementdetails.aspx?termid=5910</v>
      </c>
      <c r="P2801" s="6" t="str">
        <f>HYPERLINK("https://ceds.ed.gov/elementComment.aspx?elementName=Learning Standard Item Text Complexity System &amp;elementID=5910", "Click here to submit comment")</f>
        <v>Click here to submit comment</v>
      </c>
    </row>
    <row r="2802" spans="1:16" ht="45">
      <c r="A2802" s="6" t="s">
        <v>6784</v>
      </c>
      <c r="B2802" s="6" t="s">
        <v>6911</v>
      </c>
      <c r="C2802" s="6" t="s">
        <v>6856</v>
      </c>
      <c r="D2802" s="6" t="s">
        <v>3936</v>
      </c>
      <c r="E2802" s="6" t="s">
        <v>3937</v>
      </c>
      <c r="F2802" s="6" t="s">
        <v>13</v>
      </c>
      <c r="G2802" s="6"/>
      <c r="H2802" s="6"/>
      <c r="I2802" s="6" t="s">
        <v>1127</v>
      </c>
      <c r="J2802" s="6"/>
      <c r="K2802" s="6" t="s">
        <v>3938</v>
      </c>
      <c r="L2802" s="6" t="s">
        <v>3939</v>
      </c>
      <c r="M2802" s="6"/>
      <c r="N2802" s="6" t="s">
        <v>3940</v>
      </c>
      <c r="O2802" s="6" t="str">
        <f>HYPERLINK("https://ceds.ed.gov/cedselementdetails.aspx?termid=5870")</f>
        <v>https://ceds.ed.gov/cedselementdetails.aspx?termid=5870</v>
      </c>
      <c r="P2802" s="6" t="str">
        <f>HYPERLINK("https://ceds.ed.gov/elementComment.aspx?elementName=Learning Standard Item Typical Age Range &amp;elementID=5870", "Click here to submit comment")</f>
        <v>Click here to submit comment</v>
      </c>
    </row>
    <row r="2803" spans="1:16" ht="60">
      <c r="A2803" s="6" t="s">
        <v>6784</v>
      </c>
      <c r="B2803" s="6" t="s">
        <v>6911</v>
      </c>
      <c r="C2803" s="6" t="s">
        <v>6856</v>
      </c>
      <c r="D2803" s="6" t="s">
        <v>3941</v>
      </c>
      <c r="E2803" s="6" t="s">
        <v>3942</v>
      </c>
      <c r="F2803" s="6" t="s">
        <v>13</v>
      </c>
      <c r="G2803" s="6"/>
      <c r="H2803" s="6"/>
      <c r="I2803" s="6" t="s">
        <v>93</v>
      </c>
      <c r="J2803" s="6"/>
      <c r="K2803" s="6"/>
      <c r="L2803" s="6" t="s">
        <v>3943</v>
      </c>
      <c r="M2803" s="6"/>
      <c r="N2803" s="6" t="s">
        <v>3944</v>
      </c>
      <c r="O2803" s="6" t="str">
        <f>HYPERLINK("https://ceds.ed.gov/cedselementdetails.aspx?termid=5874")</f>
        <v>https://ceds.ed.gov/cedselementdetails.aspx?termid=5874</v>
      </c>
      <c r="P2803" s="6" t="str">
        <f>HYPERLINK("https://ceds.ed.gov/elementComment.aspx?elementName=Learning Standard Item URL &amp;elementID=5874", "Click here to submit comment")</f>
        <v>Click here to submit comment</v>
      </c>
    </row>
    <row r="2804" spans="1:16" ht="45">
      <c r="A2804" s="6" t="s">
        <v>6784</v>
      </c>
      <c r="B2804" s="6" t="s">
        <v>6911</v>
      </c>
      <c r="C2804" s="6" t="s">
        <v>6856</v>
      </c>
      <c r="D2804" s="6" t="s">
        <v>3954</v>
      </c>
      <c r="E2804" s="6" t="s">
        <v>3955</v>
      </c>
      <c r="F2804" s="6" t="s">
        <v>13</v>
      </c>
      <c r="G2804" s="6"/>
      <c r="H2804" s="6"/>
      <c r="I2804" s="6" t="s">
        <v>319</v>
      </c>
      <c r="J2804" s="6"/>
      <c r="K2804" s="6"/>
      <c r="L2804" s="6" t="s">
        <v>3956</v>
      </c>
      <c r="M2804" s="6"/>
      <c r="N2804" s="6" t="s">
        <v>3957</v>
      </c>
      <c r="O2804" s="6" t="str">
        <f>HYPERLINK("https://ceds.ed.gov/cedselementdetails.aspx?termid=6216")</f>
        <v>https://ceds.ed.gov/cedselementdetails.aspx?termid=6216</v>
      </c>
      <c r="P2804" s="6" t="str">
        <f>HYPERLINK("https://ceds.ed.gov/elementComment.aspx?elementName=Learning Standard Item Version &amp;elementID=6216", "Click here to submit comment")</f>
        <v>Click here to submit comment</v>
      </c>
    </row>
    <row r="2805" spans="1:16" ht="60">
      <c r="A2805" s="6" t="s">
        <v>6784</v>
      </c>
      <c r="B2805" s="6" t="s">
        <v>6911</v>
      </c>
      <c r="C2805" s="6" t="s">
        <v>6914</v>
      </c>
      <c r="D2805" s="6" t="s">
        <v>3804</v>
      </c>
      <c r="E2805" s="6" t="s">
        <v>3805</v>
      </c>
      <c r="F2805" s="6" t="s">
        <v>13</v>
      </c>
      <c r="G2805" s="6"/>
      <c r="H2805" s="6" t="s">
        <v>3</v>
      </c>
      <c r="I2805" s="6" t="s">
        <v>93</v>
      </c>
      <c r="J2805" s="6"/>
      <c r="K2805" s="6"/>
      <c r="L2805" s="6" t="s">
        <v>3806</v>
      </c>
      <c r="M2805" s="6"/>
      <c r="N2805" s="6" t="s">
        <v>3807</v>
      </c>
      <c r="O2805" s="6" t="str">
        <f>HYPERLINK("https://ceds.ed.gov/cedselementdetails.aspx?termid=5871")</f>
        <v>https://ceds.ed.gov/cedselementdetails.aspx?termid=5871</v>
      </c>
      <c r="P2805" s="6" t="str">
        <f>HYPERLINK("https://ceds.ed.gov/elementComment.aspx?elementName=Learning Standard Item Association Identifier &amp;elementID=5871", "Click here to submit comment")</f>
        <v>Click here to submit comment</v>
      </c>
    </row>
    <row r="2806" spans="1:16" ht="165">
      <c r="A2806" s="14" t="s">
        <v>6784</v>
      </c>
      <c r="B2806" s="14" t="s">
        <v>6911</v>
      </c>
      <c r="C2806" s="14" t="s">
        <v>6914</v>
      </c>
      <c r="D2806" s="14" t="s">
        <v>3816</v>
      </c>
      <c r="E2806" s="14" t="s">
        <v>3817</v>
      </c>
      <c r="F2806" s="15" t="s">
        <v>6568</v>
      </c>
      <c r="G2806" s="14"/>
      <c r="H2806" s="14" t="s">
        <v>66</v>
      </c>
      <c r="I2806" s="14"/>
      <c r="J2806" s="14" t="s">
        <v>848</v>
      </c>
      <c r="K2806" s="6" t="s">
        <v>3818</v>
      </c>
      <c r="L2806" s="14" t="s">
        <v>3820</v>
      </c>
      <c r="M2806" s="14"/>
      <c r="N2806" s="14" t="s">
        <v>3821</v>
      </c>
      <c r="O2806" s="14" t="str">
        <f>HYPERLINK("https://ceds.ed.gov/cedselementdetails.aspx?termid=5869")</f>
        <v>https://ceds.ed.gov/cedselementdetails.aspx?termid=5869</v>
      </c>
      <c r="P2806" s="14" t="str">
        <f>HYPERLINK("https://ceds.ed.gov/elementComment.aspx?elementName=Learning Standard Item Association Type &amp;elementID=5869", "Click here to submit comment")</f>
        <v>Click here to submit comment</v>
      </c>
    </row>
    <row r="2807" spans="1:16" ht="135">
      <c r="A2807" s="14"/>
      <c r="B2807" s="14"/>
      <c r="C2807" s="14"/>
      <c r="D2807" s="14"/>
      <c r="E2807" s="14"/>
      <c r="F2807" s="14"/>
      <c r="G2807" s="14"/>
      <c r="H2807" s="14"/>
      <c r="I2807" s="14"/>
      <c r="J2807" s="14"/>
      <c r="K2807" s="6" t="s">
        <v>3819</v>
      </c>
      <c r="L2807" s="14"/>
      <c r="M2807" s="14"/>
      <c r="N2807" s="14"/>
      <c r="O2807" s="14"/>
      <c r="P2807" s="14"/>
    </row>
    <row r="2808" spans="1:16" ht="120">
      <c r="A2808" s="6" t="s">
        <v>6784</v>
      </c>
      <c r="B2808" s="6" t="s">
        <v>6911</v>
      </c>
      <c r="C2808" s="6" t="s">
        <v>6915</v>
      </c>
      <c r="D2808" s="6" t="s">
        <v>1743</v>
      </c>
      <c r="E2808" s="6" t="s">
        <v>1744</v>
      </c>
      <c r="F2808" s="6" t="s">
        <v>13</v>
      </c>
      <c r="G2808" s="6"/>
      <c r="H2808" s="6"/>
      <c r="I2808" s="6" t="s">
        <v>93</v>
      </c>
      <c r="J2808" s="6"/>
      <c r="K2808" s="6" t="s">
        <v>1745</v>
      </c>
      <c r="L2808" s="6" t="s">
        <v>1746</v>
      </c>
      <c r="M2808" s="6"/>
      <c r="N2808" s="6" t="s">
        <v>1747</v>
      </c>
      <c r="O2808" s="6" t="str">
        <f>HYPERLINK("https://ceds.ed.gov/cedselementdetails.aspx?termid=5877")</f>
        <v>https://ceds.ed.gov/cedselementdetails.aspx?termid=5877</v>
      </c>
      <c r="P2808" s="6" t="str">
        <f>HYPERLINK("https://ceds.ed.gov/elementComment.aspx?elementName=Competency Set Completion Criteria &amp;elementID=5877", "Click here to submit comment")</f>
        <v>Click here to submit comment</v>
      </c>
    </row>
    <row r="2809" spans="1:16" ht="90">
      <c r="A2809" s="6" t="s">
        <v>6784</v>
      </c>
      <c r="B2809" s="6" t="s">
        <v>6911</v>
      </c>
      <c r="C2809" s="6" t="s">
        <v>6915</v>
      </c>
      <c r="D2809" s="6" t="s">
        <v>1748</v>
      </c>
      <c r="E2809" s="6" t="s">
        <v>1749</v>
      </c>
      <c r="F2809" s="6" t="s">
        <v>13</v>
      </c>
      <c r="G2809" s="6"/>
      <c r="H2809" s="6"/>
      <c r="I2809" s="6" t="s">
        <v>308</v>
      </c>
      <c r="J2809" s="6"/>
      <c r="K2809" s="6" t="s">
        <v>1750</v>
      </c>
      <c r="L2809" s="6" t="s">
        <v>1751</v>
      </c>
      <c r="M2809" s="6"/>
      <c r="N2809" s="6" t="s">
        <v>1752</v>
      </c>
      <c r="O2809" s="6" t="str">
        <f>HYPERLINK("https://ceds.ed.gov/cedselementdetails.aspx?termid=5878")</f>
        <v>https://ceds.ed.gov/cedselementdetails.aspx?termid=5878</v>
      </c>
      <c r="P2809" s="6" t="str">
        <f>HYPERLINK("https://ceds.ed.gov/elementComment.aspx?elementName=Competency Set Completion Criteria Threshold &amp;elementID=5878", "Click here to submit comment")</f>
        <v>Click here to submit comment</v>
      </c>
    </row>
    <row r="2810" spans="1:16" ht="30">
      <c r="A2810" s="6" t="s">
        <v>6784</v>
      </c>
      <c r="B2810" s="6" t="s">
        <v>6860</v>
      </c>
      <c r="C2810" s="6"/>
      <c r="D2810" s="6" t="s">
        <v>1209</v>
      </c>
      <c r="E2810" s="6" t="s">
        <v>1210</v>
      </c>
      <c r="F2810" s="6" t="s">
        <v>13</v>
      </c>
      <c r="G2810" s="6" t="s">
        <v>6018</v>
      </c>
      <c r="H2810" s="6" t="s">
        <v>66</v>
      </c>
      <c r="I2810" s="6" t="s">
        <v>100</v>
      </c>
      <c r="J2810" s="6" t="s">
        <v>1211</v>
      </c>
      <c r="K2810" s="6"/>
      <c r="L2810" s="6" t="s">
        <v>1212</v>
      </c>
      <c r="M2810" s="6"/>
      <c r="N2810" s="6" t="s">
        <v>1213</v>
      </c>
      <c r="O2810" s="6" t="str">
        <f>HYPERLINK("https://ceds.ed.gov/cedselementdetails.aspx?termid=5412")</f>
        <v>https://ceds.ed.gov/cedselementdetails.aspx?termid=5412</v>
      </c>
      <c r="P2810" s="6" t="str">
        <f>HYPERLINK("https://ceds.ed.gov/elementComment.aspx?elementName=Assessment Rubric Identifier &amp;elementID=5412", "Click here to submit comment")</f>
        <v>Click here to submit comment</v>
      </c>
    </row>
    <row r="2811" spans="1:16" ht="30">
      <c r="A2811" s="6" t="s">
        <v>6784</v>
      </c>
      <c r="B2811" s="6" t="s">
        <v>6860</v>
      </c>
      <c r="C2811" s="6"/>
      <c r="D2811" s="6" t="s">
        <v>1214</v>
      </c>
      <c r="E2811" s="6" t="s">
        <v>1215</v>
      </c>
      <c r="F2811" s="6" t="s">
        <v>13</v>
      </c>
      <c r="G2811" s="6" t="s">
        <v>6018</v>
      </c>
      <c r="H2811" s="6" t="s">
        <v>66</v>
      </c>
      <c r="I2811" s="6" t="s">
        <v>100</v>
      </c>
      <c r="J2811" s="6" t="s">
        <v>1216</v>
      </c>
      <c r="K2811" s="6"/>
      <c r="L2811" s="6" t="s">
        <v>1217</v>
      </c>
      <c r="M2811" s="6"/>
      <c r="N2811" s="6" t="s">
        <v>1218</v>
      </c>
      <c r="O2811" s="6" t="str">
        <f>HYPERLINK("https://ceds.ed.gov/cedselementdetails.aspx?termid=5411")</f>
        <v>https://ceds.ed.gov/cedselementdetails.aspx?termid=5411</v>
      </c>
      <c r="P2811" s="6" t="str">
        <f>HYPERLINK("https://ceds.ed.gov/elementComment.aspx?elementName=Assessment Rubric Title &amp;elementID=5411", "Click here to submit comment")</f>
        <v>Click here to submit comment</v>
      </c>
    </row>
    <row r="2812" spans="1:16" ht="30">
      <c r="A2812" s="6" t="s">
        <v>6784</v>
      </c>
      <c r="B2812" s="6" t="s">
        <v>6860</v>
      </c>
      <c r="C2812" s="6"/>
      <c r="D2812" s="6" t="s">
        <v>1219</v>
      </c>
      <c r="E2812" s="6" t="s">
        <v>1220</v>
      </c>
      <c r="F2812" s="6" t="s">
        <v>13</v>
      </c>
      <c r="G2812" s="6" t="s">
        <v>6018</v>
      </c>
      <c r="H2812" s="6" t="s">
        <v>66</v>
      </c>
      <c r="I2812" s="6" t="s">
        <v>100</v>
      </c>
      <c r="J2812" s="6" t="s">
        <v>1221</v>
      </c>
      <c r="K2812" s="6"/>
      <c r="L2812" s="6" t="s">
        <v>1222</v>
      </c>
      <c r="M2812" s="6"/>
      <c r="N2812" s="6" t="s">
        <v>1223</v>
      </c>
      <c r="O2812" s="6" t="str">
        <f>HYPERLINK("https://ceds.ed.gov/cedselementdetails.aspx?termid=5413")</f>
        <v>https://ceds.ed.gov/cedselementdetails.aspx?termid=5413</v>
      </c>
      <c r="P2812" s="6" t="str">
        <f>HYPERLINK("https://ceds.ed.gov/elementComment.aspx?elementName=Assessment Rubric URL Reference &amp;elementID=5413", "Click here to submit comment")</f>
        <v>Click here to submit comment</v>
      </c>
    </row>
    <row r="2813" spans="1:16" ht="30">
      <c r="A2813" s="6" t="s">
        <v>6784</v>
      </c>
      <c r="B2813" s="6" t="s">
        <v>6857</v>
      </c>
      <c r="C2813" s="6"/>
      <c r="D2813" s="6" t="s">
        <v>3439</v>
      </c>
      <c r="E2813" s="6" t="s">
        <v>3440</v>
      </c>
      <c r="F2813" s="6" t="s">
        <v>13</v>
      </c>
      <c r="G2813" s="6"/>
      <c r="H2813" s="6"/>
      <c r="I2813" s="6" t="s">
        <v>73</v>
      </c>
      <c r="J2813" s="6"/>
      <c r="K2813" s="6"/>
      <c r="L2813" s="6" t="s">
        <v>3441</v>
      </c>
      <c r="M2813" s="6"/>
      <c r="N2813" s="6" t="s">
        <v>3442</v>
      </c>
      <c r="O2813" s="6" t="str">
        <f>HYPERLINK("https://ceds.ed.gov/cedselementdetails.aspx?termid=5938")</f>
        <v>https://ceds.ed.gov/cedselementdetails.aspx?termid=5938</v>
      </c>
      <c r="P2813" s="6" t="str">
        <f>HYPERLINK("https://ceds.ed.gov/elementComment.aspx?elementName=Learner Action Date &amp;elementID=5938", "Click here to submit comment")</f>
        <v>Click here to submit comment</v>
      </c>
    </row>
    <row r="2814" spans="1:16" ht="30">
      <c r="A2814" s="6" t="s">
        <v>6784</v>
      </c>
      <c r="B2814" s="6" t="s">
        <v>6857</v>
      </c>
      <c r="C2814" s="6"/>
      <c r="D2814" s="6" t="s">
        <v>3443</v>
      </c>
      <c r="E2814" s="6" t="s">
        <v>3444</v>
      </c>
      <c r="F2814" s="6" t="s">
        <v>13</v>
      </c>
      <c r="G2814" s="6"/>
      <c r="H2814" s="6"/>
      <c r="I2814" s="6" t="s">
        <v>3445</v>
      </c>
      <c r="J2814" s="6"/>
      <c r="K2814" s="6"/>
      <c r="L2814" s="6" t="s">
        <v>3446</v>
      </c>
      <c r="M2814" s="6"/>
      <c r="N2814" s="6" t="s">
        <v>3447</v>
      </c>
      <c r="O2814" s="6" t="str">
        <f>HYPERLINK("https://ceds.ed.gov/cedselementdetails.aspx?termid=5937")</f>
        <v>https://ceds.ed.gov/cedselementdetails.aspx?termid=5937</v>
      </c>
      <c r="P2814" s="6" t="str">
        <f>HYPERLINK("https://ceds.ed.gov/elementComment.aspx?elementName=Learner Action Time &amp;elementID=5937", "Click here to submit comment")</f>
        <v>Click here to submit comment</v>
      </c>
    </row>
    <row r="2815" spans="1:16" ht="225">
      <c r="A2815" s="6" t="s">
        <v>6784</v>
      </c>
      <c r="B2815" s="6" t="s">
        <v>6857</v>
      </c>
      <c r="C2815" s="6"/>
      <c r="D2815" s="6" t="s">
        <v>3448</v>
      </c>
      <c r="E2815" s="6" t="s">
        <v>3449</v>
      </c>
      <c r="F2815" s="7" t="s">
        <v>6564</v>
      </c>
      <c r="G2815" s="6"/>
      <c r="H2815" s="6"/>
      <c r="I2815" s="6"/>
      <c r="J2815" s="6"/>
      <c r="K2815" s="6"/>
      <c r="L2815" s="6" t="s">
        <v>3450</v>
      </c>
      <c r="M2815" s="6"/>
      <c r="N2815" s="6" t="s">
        <v>3451</v>
      </c>
      <c r="O2815" s="6" t="str">
        <f>HYPERLINK("https://ceds.ed.gov/cedselementdetails.aspx?termid=5935")</f>
        <v>https://ceds.ed.gov/cedselementdetails.aspx?termid=5935</v>
      </c>
      <c r="P2815" s="6" t="str">
        <f>HYPERLINK("https://ceds.ed.gov/elementComment.aspx?elementName=Learner Action Type &amp;elementID=5935", "Click here to submit comment")</f>
        <v>Click here to submit comment</v>
      </c>
    </row>
    <row r="2816" spans="1:16" ht="75">
      <c r="A2816" s="6" t="s">
        <v>6784</v>
      </c>
      <c r="B2816" s="6" t="s">
        <v>6857</v>
      </c>
      <c r="C2816" s="6"/>
      <c r="D2816" s="6" t="s">
        <v>3452</v>
      </c>
      <c r="E2816" s="6" t="s">
        <v>3453</v>
      </c>
      <c r="F2816" s="6" t="s">
        <v>13</v>
      </c>
      <c r="G2816" s="6"/>
      <c r="H2816" s="6"/>
      <c r="I2816" s="6" t="s">
        <v>319</v>
      </c>
      <c r="J2816" s="6"/>
      <c r="K2816" s="6"/>
      <c r="L2816" s="6" t="s">
        <v>3454</v>
      </c>
      <c r="M2816" s="6"/>
      <c r="N2816" s="6" t="s">
        <v>3455</v>
      </c>
      <c r="O2816" s="6" t="str">
        <f>HYPERLINK("https://ceds.ed.gov/cedselementdetails.aspx?termid=5936")</f>
        <v>https://ceds.ed.gov/cedselementdetails.aspx?termid=5936</v>
      </c>
      <c r="P2816" s="6" t="str">
        <f>HYPERLINK("https://ceds.ed.gov/elementComment.aspx?elementName=Learner Action Value &amp;elementID=5936", "Click here to submit comment")</f>
        <v>Click here to submit comment</v>
      </c>
    </row>
    <row r="2817" spans="1:16" ht="30">
      <c r="A2817" s="6" t="s">
        <v>6784</v>
      </c>
      <c r="B2817" s="6" t="s">
        <v>6860</v>
      </c>
      <c r="C2817" s="6"/>
      <c r="D2817" s="6" t="s">
        <v>5082</v>
      </c>
      <c r="E2817" s="6" t="s">
        <v>5083</v>
      </c>
      <c r="F2817" s="6" t="s">
        <v>13</v>
      </c>
      <c r="G2817" s="6"/>
      <c r="H2817" s="6" t="s">
        <v>54</v>
      </c>
      <c r="I2817" s="6" t="s">
        <v>100</v>
      </c>
      <c r="J2817" s="6"/>
      <c r="K2817" s="6"/>
      <c r="L2817" s="6" t="s">
        <v>5084</v>
      </c>
      <c r="M2817" s="6"/>
      <c r="N2817" s="6" t="s">
        <v>5085</v>
      </c>
      <c r="O2817" s="6" t="str">
        <f>HYPERLINK("https://ceds.ed.gov/cedselementdetails.aspx?termid=6441")</f>
        <v>https://ceds.ed.gov/cedselementdetails.aspx?termid=6441</v>
      </c>
      <c r="P2817" s="6" t="str">
        <f>HYPERLINK("https://ceds.ed.gov/elementComment.aspx?elementName=Rubric Criterion Category &amp;elementID=6441", "Click here to submit comment")</f>
        <v>Click here to submit comment</v>
      </c>
    </row>
    <row r="2818" spans="1:16" ht="45">
      <c r="A2818" s="6" t="s">
        <v>6784</v>
      </c>
      <c r="B2818" s="6" t="s">
        <v>6860</v>
      </c>
      <c r="C2818" s="6"/>
      <c r="D2818" s="6" t="s">
        <v>5086</v>
      </c>
      <c r="E2818" s="6" t="s">
        <v>5087</v>
      </c>
      <c r="F2818" s="6" t="s">
        <v>13</v>
      </c>
      <c r="G2818" s="6"/>
      <c r="H2818" s="6" t="s">
        <v>54</v>
      </c>
      <c r="I2818" s="6" t="s">
        <v>319</v>
      </c>
      <c r="J2818" s="6"/>
      <c r="K2818" s="6"/>
      <c r="L2818" s="6" t="s">
        <v>5088</v>
      </c>
      <c r="M2818" s="6"/>
      <c r="N2818" s="6" t="s">
        <v>5089</v>
      </c>
      <c r="O2818" s="6" t="str">
        <f>HYPERLINK("https://ceds.ed.gov/cedselementdetails.aspx?termid=6442")</f>
        <v>https://ceds.ed.gov/cedselementdetails.aspx?termid=6442</v>
      </c>
      <c r="P2818" s="6" t="str">
        <f>HYPERLINK("https://ceds.ed.gov/elementComment.aspx?elementName=Rubric Criterion Description &amp;elementID=6442", "Click here to submit comment")</f>
        <v>Click here to submit comment</v>
      </c>
    </row>
    <row r="2819" spans="1:16" ht="60">
      <c r="A2819" s="6" t="s">
        <v>6784</v>
      </c>
      <c r="B2819" s="6" t="s">
        <v>6860</v>
      </c>
      <c r="C2819" s="6"/>
      <c r="D2819" s="6" t="s">
        <v>5090</v>
      </c>
      <c r="E2819" s="6" t="s">
        <v>5091</v>
      </c>
      <c r="F2819" s="6" t="s">
        <v>13</v>
      </c>
      <c r="G2819" s="6"/>
      <c r="H2819" s="6" t="s">
        <v>54</v>
      </c>
      <c r="I2819" s="6" t="s">
        <v>319</v>
      </c>
      <c r="J2819" s="6"/>
      <c r="K2819" s="6"/>
      <c r="L2819" s="6" t="s">
        <v>5092</v>
      </c>
      <c r="M2819" s="6"/>
      <c r="N2819" s="6" t="s">
        <v>5093</v>
      </c>
      <c r="O2819" s="6" t="str">
        <f>HYPERLINK("https://ceds.ed.gov/cedselementdetails.aspx?termid=6443")</f>
        <v>https://ceds.ed.gov/cedselementdetails.aspx?termid=6443</v>
      </c>
      <c r="P2819" s="6" t="str">
        <f>HYPERLINK("https://ceds.ed.gov/elementComment.aspx?elementName=Rubric Criterion Level Description &amp;elementID=6443", "Click here to submit comment")</f>
        <v>Click here to submit comment</v>
      </c>
    </row>
    <row r="2820" spans="1:16" ht="75">
      <c r="A2820" s="6" t="s">
        <v>6784</v>
      </c>
      <c r="B2820" s="6" t="s">
        <v>6860</v>
      </c>
      <c r="C2820" s="6"/>
      <c r="D2820" s="6" t="s">
        <v>5094</v>
      </c>
      <c r="E2820" s="6" t="s">
        <v>5095</v>
      </c>
      <c r="F2820" s="6" t="s">
        <v>13</v>
      </c>
      <c r="G2820" s="6"/>
      <c r="H2820" s="6" t="s">
        <v>54</v>
      </c>
      <c r="I2820" s="6" t="s">
        <v>319</v>
      </c>
      <c r="J2820" s="6"/>
      <c r="K2820" s="6"/>
      <c r="L2820" s="6" t="s">
        <v>5096</v>
      </c>
      <c r="M2820" s="6"/>
      <c r="N2820" s="6" t="s">
        <v>5097</v>
      </c>
      <c r="O2820" s="6" t="str">
        <f>HYPERLINK("https://ceds.ed.gov/cedselementdetails.aspx?termid=6444")</f>
        <v>https://ceds.ed.gov/cedselementdetails.aspx?termid=6444</v>
      </c>
      <c r="P2820" s="6" t="str">
        <f>HYPERLINK("https://ceds.ed.gov/elementComment.aspx?elementName=Rubric Criterion Level Feedback &amp;elementID=6444", "Click here to submit comment")</f>
        <v>Click here to submit comment</v>
      </c>
    </row>
    <row r="2821" spans="1:16" ht="45">
      <c r="A2821" s="6" t="s">
        <v>6784</v>
      </c>
      <c r="B2821" s="6" t="s">
        <v>6860</v>
      </c>
      <c r="C2821" s="6"/>
      <c r="D2821" s="6" t="s">
        <v>5098</v>
      </c>
      <c r="E2821" s="6" t="s">
        <v>5099</v>
      </c>
      <c r="F2821" s="6" t="s">
        <v>13</v>
      </c>
      <c r="G2821" s="6"/>
      <c r="H2821" s="6" t="s">
        <v>54</v>
      </c>
      <c r="I2821" s="6" t="s">
        <v>545</v>
      </c>
      <c r="J2821" s="6"/>
      <c r="K2821" s="6"/>
      <c r="L2821" s="6" t="s">
        <v>5100</v>
      </c>
      <c r="M2821" s="6"/>
      <c r="N2821" s="6" t="s">
        <v>5101</v>
      </c>
      <c r="O2821" s="6" t="str">
        <f>HYPERLINK("https://ceds.ed.gov/cedselementdetails.aspx?termid=6445")</f>
        <v>https://ceds.ed.gov/cedselementdetails.aspx?termid=6445</v>
      </c>
      <c r="P2821" s="6" t="str">
        <f>HYPERLINK("https://ceds.ed.gov/elementComment.aspx?elementName=Rubric Criterion Level Position &amp;elementID=6445", "Click here to submit comment")</f>
        <v>Click here to submit comment</v>
      </c>
    </row>
    <row r="2822" spans="1:16" ht="60">
      <c r="A2822" s="6" t="s">
        <v>6784</v>
      </c>
      <c r="B2822" s="6" t="s">
        <v>6860</v>
      </c>
      <c r="C2822" s="6"/>
      <c r="D2822" s="6" t="s">
        <v>5102</v>
      </c>
      <c r="E2822" s="6" t="s">
        <v>5103</v>
      </c>
      <c r="F2822" s="6" t="s">
        <v>13</v>
      </c>
      <c r="G2822" s="6"/>
      <c r="H2822" s="6" t="s">
        <v>54</v>
      </c>
      <c r="I2822" s="6" t="s">
        <v>106</v>
      </c>
      <c r="J2822" s="6"/>
      <c r="K2822" s="6"/>
      <c r="L2822" s="6" t="s">
        <v>5104</v>
      </c>
      <c r="M2822" s="6"/>
      <c r="N2822" s="6" t="s">
        <v>5105</v>
      </c>
      <c r="O2822" s="6" t="str">
        <f>HYPERLINK("https://ceds.ed.gov/cedselementdetails.aspx?termid=6446")</f>
        <v>https://ceds.ed.gov/cedselementdetails.aspx?termid=6446</v>
      </c>
      <c r="P2822" s="6" t="str">
        <f>HYPERLINK("https://ceds.ed.gov/elementComment.aspx?elementName=Rubric Criterion Level Quality Label &amp;elementID=6446", "Click here to submit comment")</f>
        <v>Click here to submit comment</v>
      </c>
    </row>
    <row r="2823" spans="1:16" ht="30">
      <c r="A2823" s="6" t="s">
        <v>6784</v>
      </c>
      <c r="B2823" s="6" t="s">
        <v>6860</v>
      </c>
      <c r="C2823" s="6"/>
      <c r="D2823" s="6" t="s">
        <v>5106</v>
      </c>
      <c r="E2823" s="6" t="s">
        <v>5107</v>
      </c>
      <c r="F2823" s="6" t="s">
        <v>13</v>
      </c>
      <c r="G2823" s="6"/>
      <c r="H2823" s="6" t="s">
        <v>54</v>
      </c>
      <c r="I2823" s="6" t="s">
        <v>545</v>
      </c>
      <c r="J2823" s="6"/>
      <c r="K2823" s="6"/>
      <c r="L2823" s="6" t="s">
        <v>5108</v>
      </c>
      <c r="M2823" s="6"/>
      <c r="N2823" s="6" t="s">
        <v>5109</v>
      </c>
      <c r="O2823" s="6" t="str">
        <f>HYPERLINK("https://ceds.ed.gov/cedselementdetails.aspx?termid=6447")</f>
        <v>https://ceds.ed.gov/cedselementdetails.aspx?termid=6447</v>
      </c>
      <c r="P2823" s="6" t="str">
        <f>HYPERLINK("https://ceds.ed.gov/elementComment.aspx?elementName=Rubric Criterion Level Score &amp;elementID=6447", "Click here to submit comment")</f>
        <v>Click here to submit comment</v>
      </c>
    </row>
    <row r="2824" spans="1:16" ht="45">
      <c r="A2824" s="6" t="s">
        <v>6784</v>
      </c>
      <c r="B2824" s="6" t="s">
        <v>6860</v>
      </c>
      <c r="C2824" s="6"/>
      <c r="D2824" s="6" t="s">
        <v>5110</v>
      </c>
      <c r="E2824" s="6" t="s">
        <v>5111</v>
      </c>
      <c r="F2824" s="6" t="s">
        <v>13</v>
      </c>
      <c r="G2824" s="6"/>
      <c r="H2824" s="6" t="s">
        <v>54</v>
      </c>
      <c r="I2824" s="6" t="s">
        <v>545</v>
      </c>
      <c r="J2824" s="6"/>
      <c r="K2824" s="6"/>
      <c r="L2824" s="6" t="s">
        <v>5112</v>
      </c>
      <c r="M2824" s="6"/>
      <c r="N2824" s="6" t="s">
        <v>5113</v>
      </c>
      <c r="O2824" s="6" t="str">
        <f>HYPERLINK("https://ceds.ed.gov/cedselementdetails.aspx?termid=6448")</f>
        <v>https://ceds.ed.gov/cedselementdetails.aspx?termid=6448</v>
      </c>
      <c r="P2824" s="6" t="str">
        <f>HYPERLINK("https://ceds.ed.gov/elementComment.aspx?elementName=Rubric Criterion Position &amp;elementID=6448", "Click here to submit comment")</f>
        <v>Click here to submit comment</v>
      </c>
    </row>
    <row r="2825" spans="1:16" ht="30">
      <c r="A2825" s="6" t="s">
        <v>6784</v>
      </c>
      <c r="B2825" s="6" t="s">
        <v>6860</v>
      </c>
      <c r="C2825" s="6"/>
      <c r="D2825" s="6" t="s">
        <v>5114</v>
      </c>
      <c r="E2825" s="6" t="s">
        <v>5115</v>
      </c>
      <c r="F2825" s="6" t="s">
        <v>13</v>
      </c>
      <c r="G2825" s="6"/>
      <c r="H2825" s="6" t="s">
        <v>54</v>
      </c>
      <c r="I2825" s="6" t="s">
        <v>106</v>
      </c>
      <c r="J2825" s="6"/>
      <c r="K2825" s="6"/>
      <c r="L2825" s="6" t="s">
        <v>5116</v>
      </c>
      <c r="M2825" s="6"/>
      <c r="N2825" s="6" t="s">
        <v>5117</v>
      </c>
      <c r="O2825" s="6" t="str">
        <f>HYPERLINK("https://ceds.ed.gov/cedselementdetails.aspx?termid=6449")</f>
        <v>https://ceds.ed.gov/cedselementdetails.aspx?termid=6449</v>
      </c>
      <c r="P2825" s="6" t="str">
        <f>HYPERLINK("https://ceds.ed.gov/elementComment.aspx?elementName=Rubric Criterion Title &amp;elementID=6449", "Click here to submit comment")</f>
        <v>Click here to submit comment</v>
      </c>
    </row>
    <row r="2826" spans="1:16" ht="45">
      <c r="A2826" s="6" t="s">
        <v>6784</v>
      </c>
      <c r="B2826" s="6" t="s">
        <v>6860</v>
      </c>
      <c r="C2826" s="6"/>
      <c r="D2826" s="6" t="s">
        <v>5118</v>
      </c>
      <c r="E2826" s="6" t="s">
        <v>5119</v>
      </c>
      <c r="F2826" s="6" t="s">
        <v>13</v>
      </c>
      <c r="G2826" s="6"/>
      <c r="H2826" s="6" t="s">
        <v>54</v>
      </c>
      <c r="I2826" s="6" t="s">
        <v>545</v>
      </c>
      <c r="J2826" s="6"/>
      <c r="K2826" s="6"/>
      <c r="L2826" s="6" t="s">
        <v>5120</v>
      </c>
      <c r="M2826" s="6"/>
      <c r="N2826" s="6" t="s">
        <v>5121</v>
      </c>
      <c r="O2826" s="6" t="str">
        <f>HYPERLINK("https://ceds.ed.gov/cedselementdetails.aspx?termid=6450")</f>
        <v>https://ceds.ed.gov/cedselementdetails.aspx?termid=6450</v>
      </c>
      <c r="P2826" s="6" t="str">
        <f>HYPERLINK("https://ceds.ed.gov/elementComment.aspx?elementName=Rubric Criterion Weight &amp;elementID=6450", "Click here to submit comment")</f>
        <v>Click here to submit comment</v>
      </c>
    </row>
    <row r="2827" spans="1:16" ht="30">
      <c r="A2827" s="6" t="s">
        <v>6784</v>
      </c>
      <c r="B2827" s="6" t="s">
        <v>6860</v>
      </c>
      <c r="C2827" s="6"/>
      <c r="D2827" s="6" t="s">
        <v>5122</v>
      </c>
      <c r="E2827" s="6" t="s">
        <v>5123</v>
      </c>
      <c r="F2827" s="6" t="s">
        <v>13</v>
      </c>
      <c r="G2827" s="6"/>
      <c r="H2827" s="6" t="s">
        <v>54</v>
      </c>
      <c r="I2827" s="6" t="s">
        <v>319</v>
      </c>
      <c r="J2827" s="6"/>
      <c r="K2827" s="6"/>
      <c r="L2827" s="6" t="s">
        <v>5124</v>
      </c>
      <c r="M2827" s="6"/>
      <c r="N2827" s="6" t="s">
        <v>5125</v>
      </c>
      <c r="O2827" s="6" t="str">
        <f>HYPERLINK("https://ceds.ed.gov/cedselementdetails.aspx?termid=6451")</f>
        <v>https://ceds.ed.gov/cedselementdetails.aspx?termid=6451</v>
      </c>
      <c r="P2827" s="6" t="str">
        <f>HYPERLINK("https://ceds.ed.gov/elementComment.aspx?elementName=Rubric Description &amp;elementID=6451", "Click here to submit comment")</f>
        <v>Click here to submit comment</v>
      </c>
    </row>
    <row r="2828" spans="1:16" ht="45">
      <c r="A2828" s="6" t="s">
        <v>6784</v>
      </c>
      <c r="B2828" s="6" t="s">
        <v>6858</v>
      </c>
      <c r="C2828" s="6"/>
      <c r="D2828" s="6" t="s">
        <v>3512</v>
      </c>
      <c r="E2828" s="6" t="s">
        <v>3513</v>
      </c>
      <c r="F2828" s="6" t="s">
        <v>13</v>
      </c>
      <c r="G2828" s="6"/>
      <c r="H2828" s="6"/>
      <c r="I2828" s="6" t="s">
        <v>100</v>
      </c>
      <c r="J2828" s="6"/>
      <c r="K2828" s="6"/>
      <c r="L2828" s="6" t="s">
        <v>3514</v>
      </c>
      <c r="M2828" s="6"/>
      <c r="N2828" s="6" t="s">
        <v>3515</v>
      </c>
      <c r="O2828" s="6" t="str">
        <f>HYPERLINK("https://ceds.ed.gov/cedselementdetails.aspx?termid=5940")</f>
        <v>https://ceds.ed.gov/cedselementdetails.aspx?termid=5940</v>
      </c>
      <c r="P2828" s="6" t="str">
        <f>HYPERLINK("https://ceds.ed.gov/elementComment.aspx?elementName=Learner Activity Title &amp;elementID=5940", "Click here to submit comment")</f>
        <v>Click here to submit comment</v>
      </c>
    </row>
    <row r="2829" spans="1:16" ht="45">
      <c r="A2829" s="6" t="s">
        <v>6784</v>
      </c>
      <c r="B2829" s="6" t="s">
        <v>6858</v>
      </c>
      <c r="C2829" s="6"/>
      <c r="D2829" s="6" t="s">
        <v>3464</v>
      </c>
      <c r="E2829" s="6" t="s">
        <v>3465</v>
      </c>
      <c r="F2829" s="6" t="s">
        <v>13</v>
      </c>
      <c r="G2829" s="6"/>
      <c r="H2829" s="6"/>
      <c r="I2829" s="6" t="s">
        <v>93</v>
      </c>
      <c r="J2829" s="6"/>
      <c r="K2829" s="6"/>
      <c r="L2829" s="6" t="s">
        <v>3466</v>
      </c>
      <c r="M2829" s="6"/>
      <c r="N2829" s="6" t="s">
        <v>3467</v>
      </c>
      <c r="O2829" s="6" t="str">
        <f>HYPERLINK("https://ceds.ed.gov/cedselementdetails.aspx?termid=5941")</f>
        <v>https://ceds.ed.gov/cedselementdetails.aspx?termid=5941</v>
      </c>
      <c r="P2829" s="6" t="str">
        <f>HYPERLINK("https://ceds.ed.gov/elementComment.aspx?elementName=Learner Activity Description &amp;elementID=5941", "Click here to submit comment")</f>
        <v>Click here to submit comment</v>
      </c>
    </row>
    <row r="2830" spans="1:16" ht="120">
      <c r="A2830" s="6" t="s">
        <v>6784</v>
      </c>
      <c r="B2830" s="6" t="s">
        <v>6858</v>
      </c>
      <c r="C2830" s="6"/>
      <c r="D2830" s="6" t="s">
        <v>3499</v>
      </c>
      <c r="E2830" s="6" t="s">
        <v>3500</v>
      </c>
      <c r="F2830" s="6" t="s">
        <v>13</v>
      </c>
      <c r="G2830" s="6"/>
      <c r="H2830" s="6"/>
      <c r="I2830" s="6" t="s">
        <v>93</v>
      </c>
      <c r="J2830" s="6"/>
      <c r="K2830" s="6" t="s">
        <v>3501</v>
      </c>
      <c r="L2830" s="6" t="s">
        <v>3502</v>
      </c>
      <c r="M2830" s="6"/>
      <c r="N2830" s="6" t="s">
        <v>3503</v>
      </c>
      <c r="O2830" s="6" t="str">
        <f>HYPERLINK("https://ceds.ed.gov/cedselementdetails.aspx?termid=5942")</f>
        <v>https://ceds.ed.gov/cedselementdetails.aspx?termid=5942</v>
      </c>
      <c r="P2830" s="6" t="str">
        <f>HYPERLINK("https://ceds.ed.gov/elementComment.aspx?elementName=Learner Activity Prerequisite &amp;elementID=5942", "Click here to submit comment")</f>
        <v>Click here to submit comment</v>
      </c>
    </row>
    <row r="2831" spans="1:16" ht="75">
      <c r="A2831" s="6" t="s">
        <v>6784</v>
      </c>
      <c r="B2831" s="6" t="s">
        <v>6858</v>
      </c>
      <c r="C2831" s="6"/>
      <c r="D2831" s="6" t="s">
        <v>3516</v>
      </c>
      <c r="E2831" s="6" t="s">
        <v>3517</v>
      </c>
      <c r="F2831" s="6" t="s">
        <v>6222</v>
      </c>
      <c r="G2831" s="6"/>
      <c r="H2831" s="6"/>
      <c r="I2831" s="6"/>
      <c r="J2831" s="6"/>
      <c r="K2831" s="6"/>
      <c r="L2831" s="6" t="s">
        <v>3518</v>
      </c>
      <c r="M2831" s="6"/>
      <c r="N2831" s="6" t="s">
        <v>3519</v>
      </c>
      <c r="O2831" s="6" t="str">
        <f>HYPERLINK("https://ceds.ed.gov/cedselementdetails.aspx?termid=5943")</f>
        <v>https://ceds.ed.gov/cedselementdetails.aspx?termid=5943</v>
      </c>
      <c r="P2831" s="6" t="str">
        <f>HYPERLINK("https://ceds.ed.gov/elementComment.aspx?elementName=Learner Activity Type &amp;elementID=5943", "Click here to submit comment")</f>
        <v>Click here to submit comment</v>
      </c>
    </row>
    <row r="2832" spans="1:16" ht="30">
      <c r="A2832" s="6" t="s">
        <v>6784</v>
      </c>
      <c r="B2832" s="6" t="s">
        <v>6858</v>
      </c>
      <c r="C2832" s="6"/>
      <c r="D2832" s="6" t="s">
        <v>3460</v>
      </c>
      <c r="E2832" s="6" t="s">
        <v>3461</v>
      </c>
      <c r="F2832" s="6" t="s">
        <v>13</v>
      </c>
      <c r="G2832" s="6"/>
      <c r="H2832" s="6"/>
      <c r="I2832" s="6" t="s">
        <v>73</v>
      </c>
      <c r="J2832" s="6"/>
      <c r="K2832" s="6"/>
      <c r="L2832" s="6" t="s">
        <v>3462</v>
      </c>
      <c r="M2832" s="6"/>
      <c r="N2832" s="6" t="s">
        <v>3463</v>
      </c>
      <c r="O2832" s="6" t="str">
        <f>HYPERLINK("https://ceds.ed.gov/cedselementdetails.aspx?termid=5944")</f>
        <v>https://ceds.ed.gov/cedselementdetails.aspx?termid=5944</v>
      </c>
      <c r="P2832" s="6" t="str">
        <f>HYPERLINK("https://ceds.ed.gov/elementComment.aspx?elementName=Learner Activity Creation Date &amp;elementID=5944", "Click here to submit comment")</f>
        <v>Click here to submit comment</v>
      </c>
    </row>
    <row r="2833" spans="1:16" ht="45">
      <c r="A2833" s="6" t="s">
        <v>6784</v>
      </c>
      <c r="B2833" s="6" t="s">
        <v>6858</v>
      </c>
      <c r="C2833" s="6"/>
      <c r="D2833" s="6" t="s">
        <v>3485</v>
      </c>
      <c r="E2833" s="6" t="s">
        <v>3486</v>
      </c>
      <c r="F2833" s="6" t="s">
        <v>13</v>
      </c>
      <c r="G2833" s="6"/>
      <c r="H2833" s="6"/>
      <c r="I2833" s="6" t="s">
        <v>308</v>
      </c>
      <c r="J2833" s="6"/>
      <c r="K2833" s="6" t="s">
        <v>3487</v>
      </c>
      <c r="L2833" s="6" t="s">
        <v>3488</v>
      </c>
      <c r="M2833" s="6"/>
      <c r="N2833" s="6" t="s">
        <v>3489</v>
      </c>
      <c r="O2833" s="6" t="str">
        <f>HYPERLINK("https://ceds.ed.gov/cedselementdetails.aspx?termid=5945")</f>
        <v>https://ceds.ed.gov/cedselementdetails.aspx?termid=5945</v>
      </c>
      <c r="P2833" s="6" t="str">
        <f>HYPERLINK("https://ceds.ed.gov/elementComment.aspx?elementName=Learner Activity Maximum Time Allowed &amp;elementID=5945", "Click here to submit comment")</f>
        <v>Click here to submit comment</v>
      </c>
    </row>
    <row r="2834" spans="1:16" ht="90">
      <c r="A2834" s="6" t="s">
        <v>6784</v>
      </c>
      <c r="B2834" s="6" t="s">
        <v>6858</v>
      </c>
      <c r="C2834" s="6"/>
      <c r="D2834" s="6" t="s">
        <v>3490</v>
      </c>
      <c r="E2834" s="6" t="s">
        <v>3491</v>
      </c>
      <c r="F2834" s="6" t="s">
        <v>6221</v>
      </c>
      <c r="G2834" s="6"/>
      <c r="H2834" s="6"/>
      <c r="I2834" s="6"/>
      <c r="J2834" s="6"/>
      <c r="K2834" s="6"/>
      <c r="L2834" s="6" t="s">
        <v>3492</v>
      </c>
      <c r="M2834" s="6"/>
      <c r="N2834" s="6" t="s">
        <v>3493</v>
      </c>
      <c r="O2834" s="6" t="str">
        <f>HYPERLINK("https://ceds.ed.gov/cedselementdetails.aspx?termid=5946")</f>
        <v>https://ceds.ed.gov/cedselementdetails.aspx?termid=5946</v>
      </c>
      <c r="P2834" s="6" t="str">
        <f>HYPERLINK("https://ceds.ed.gov/elementComment.aspx?elementName=Learner Activity Maximum Time Allowed Unit &amp;elementID=5946", "Click here to submit comment")</f>
        <v>Click here to submit comment</v>
      </c>
    </row>
    <row r="2835" spans="1:16" ht="30">
      <c r="A2835" s="6" t="s">
        <v>6784</v>
      </c>
      <c r="B2835" s="6" t="s">
        <v>6858</v>
      </c>
      <c r="C2835" s="6"/>
      <c r="D2835" s="6" t="s">
        <v>3468</v>
      </c>
      <c r="E2835" s="6" t="s">
        <v>3469</v>
      </c>
      <c r="F2835" s="6" t="s">
        <v>13</v>
      </c>
      <c r="G2835" s="6"/>
      <c r="H2835" s="6"/>
      <c r="I2835" s="6" t="s">
        <v>73</v>
      </c>
      <c r="J2835" s="6"/>
      <c r="K2835" s="6"/>
      <c r="L2835" s="6" t="s">
        <v>3470</v>
      </c>
      <c r="M2835" s="6"/>
      <c r="N2835" s="6" t="s">
        <v>3471</v>
      </c>
      <c r="O2835" s="6" t="str">
        <f>HYPERLINK("https://ceds.ed.gov/cedselementdetails.aspx?termid=5947")</f>
        <v>https://ceds.ed.gov/cedselementdetails.aspx?termid=5947</v>
      </c>
      <c r="P2835" s="6" t="str">
        <f>HYPERLINK("https://ceds.ed.gov/elementComment.aspx?elementName=Learner Activity Due Date &amp;elementID=5947", "Click here to submit comment")</f>
        <v>Click here to submit comment</v>
      </c>
    </row>
    <row r="2836" spans="1:16" ht="30">
      <c r="A2836" s="6" t="s">
        <v>6784</v>
      </c>
      <c r="B2836" s="6" t="s">
        <v>6858</v>
      </c>
      <c r="C2836" s="6"/>
      <c r="D2836" s="6" t="s">
        <v>3472</v>
      </c>
      <c r="E2836" s="6" t="s">
        <v>3473</v>
      </c>
      <c r="F2836" s="6" t="s">
        <v>13</v>
      </c>
      <c r="G2836" s="6"/>
      <c r="H2836" s="6"/>
      <c r="I2836" s="6" t="s">
        <v>426</v>
      </c>
      <c r="J2836" s="6"/>
      <c r="K2836" s="6"/>
      <c r="L2836" s="6" t="s">
        <v>3474</v>
      </c>
      <c r="M2836" s="6"/>
      <c r="N2836" s="6" t="s">
        <v>3475</v>
      </c>
      <c r="O2836" s="6" t="str">
        <f>HYPERLINK("https://ceds.ed.gov/cedselementdetails.aspx?termid=5948")</f>
        <v>https://ceds.ed.gov/cedselementdetails.aspx?termid=5948</v>
      </c>
      <c r="P2836" s="6" t="str">
        <f>HYPERLINK("https://ceds.ed.gov/elementComment.aspx?elementName=Learner Activity Due Time &amp;elementID=5948", "Click here to submit comment")</f>
        <v>Click here to submit comment</v>
      </c>
    </row>
    <row r="2837" spans="1:16" ht="45">
      <c r="A2837" s="6" t="s">
        <v>6784</v>
      </c>
      <c r="B2837" s="6" t="s">
        <v>6858</v>
      </c>
      <c r="C2837" s="6"/>
      <c r="D2837" s="6" t="s">
        <v>3481</v>
      </c>
      <c r="E2837" s="6" t="s">
        <v>3482</v>
      </c>
      <c r="F2837" s="6" t="s">
        <v>13</v>
      </c>
      <c r="G2837" s="6"/>
      <c r="H2837" s="6"/>
      <c r="I2837" s="6" t="s">
        <v>308</v>
      </c>
      <c r="J2837" s="6"/>
      <c r="K2837" s="6"/>
      <c r="L2837" s="6" t="s">
        <v>3483</v>
      </c>
      <c r="M2837" s="6"/>
      <c r="N2837" s="6" t="s">
        <v>3484</v>
      </c>
      <c r="O2837" s="6" t="str">
        <f>HYPERLINK("https://ceds.ed.gov/cedselementdetails.aspx?termid=5949")</f>
        <v>https://ceds.ed.gov/cedselementdetails.aspx?termid=5949</v>
      </c>
      <c r="P2837" s="6" t="str">
        <f>HYPERLINK("https://ceds.ed.gov/elementComment.aspx?elementName=Learner Activity Maximum Attempts Allowed &amp;elementID=5949", "Click here to submit comment")</f>
        <v>Click here to submit comment</v>
      </c>
    </row>
    <row r="2838" spans="1:16" ht="75">
      <c r="A2838" s="6" t="s">
        <v>6784</v>
      </c>
      <c r="B2838" s="6" t="s">
        <v>6858</v>
      </c>
      <c r="C2838" s="6"/>
      <c r="D2838" s="6" t="s">
        <v>3456</v>
      </c>
      <c r="E2838" s="6" t="s">
        <v>3457</v>
      </c>
      <c r="F2838" s="7" t="s">
        <v>6373</v>
      </c>
      <c r="G2838" s="6"/>
      <c r="H2838" s="6"/>
      <c r="I2838" s="6"/>
      <c r="J2838" s="6"/>
      <c r="K2838" s="6"/>
      <c r="L2838" s="6" t="s">
        <v>3458</v>
      </c>
      <c r="M2838" s="6"/>
      <c r="N2838" s="6" t="s">
        <v>3459</v>
      </c>
      <c r="O2838" s="6" t="str">
        <f>HYPERLINK("https://ceds.ed.gov/cedselementdetails.aspx?termid=5950")</f>
        <v>https://ceds.ed.gov/cedselementdetails.aspx?termid=5950</v>
      </c>
      <c r="P2838" s="6" t="str">
        <f>HYPERLINK("https://ceds.ed.gov/elementComment.aspx?elementName=Learner Activity Add To Grade Book Flag &amp;elementID=5950", "Click here to submit comment")</f>
        <v>Click here to submit comment</v>
      </c>
    </row>
    <row r="2839" spans="1:16" ht="60">
      <c r="A2839" s="6" t="s">
        <v>6784</v>
      </c>
      <c r="B2839" s="6" t="s">
        <v>6858</v>
      </c>
      <c r="C2839" s="6"/>
      <c r="D2839" s="6" t="s">
        <v>3504</v>
      </c>
      <c r="E2839" s="6" t="s">
        <v>3505</v>
      </c>
      <c r="F2839" s="6" t="s">
        <v>13</v>
      </c>
      <c r="G2839" s="6"/>
      <c r="H2839" s="6"/>
      <c r="I2839" s="6" t="s">
        <v>73</v>
      </c>
      <c r="J2839" s="6"/>
      <c r="K2839" s="6"/>
      <c r="L2839" s="6" t="s">
        <v>3506</v>
      </c>
      <c r="M2839" s="6"/>
      <c r="N2839" s="6" t="s">
        <v>3507</v>
      </c>
      <c r="O2839" s="6" t="str">
        <f>HYPERLINK("https://ceds.ed.gov/cedselementdetails.aspx?termid=5951")</f>
        <v>https://ceds.ed.gov/cedselementdetails.aspx?termid=5951</v>
      </c>
      <c r="P2839" s="6" t="str">
        <f>HYPERLINK("https://ceds.ed.gov/elementComment.aspx?elementName=Learner Activity Release Date &amp;elementID=5951", "Click here to submit comment")</f>
        <v>Click here to submit comment</v>
      </c>
    </row>
    <row r="2840" spans="1:16" ht="45">
      <c r="A2840" s="6" t="s">
        <v>6784</v>
      </c>
      <c r="B2840" s="6" t="s">
        <v>6858</v>
      </c>
      <c r="C2840" s="6"/>
      <c r="D2840" s="6" t="s">
        <v>3520</v>
      </c>
      <c r="E2840" s="6" t="s">
        <v>3521</v>
      </c>
      <c r="F2840" s="6" t="s">
        <v>13</v>
      </c>
      <c r="G2840" s="6"/>
      <c r="H2840" s="6"/>
      <c r="I2840" s="6" t="s">
        <v>740</v>
      </c>
      <c r="J2840" s="6"/>
      <c r="K2840" s="6"/>
      <c r="L2840" s="6" t="s">
        <v>3522</v>
      </c>
      <c r="M2840" s="6"/>
      <c r="N2840" s="6" t="s">
        <v>3523</v>
      </c>
      <c r="O2840" s="6" t="str">
        <f>HYPERLINK("https://ceds.ed.gov/cedselementdetails.aspx?termid=5952")</f>
        <v>https://ceds.ed.gov/cedselementdetails.aspx?termid=5952</v>
      </c>
      <c r="P2840" s="6" t="str">
        <f>HYPERLINK("https://ceds.ed.gov/elementComment.aspx?elementName=Learner Activity Weight &amp;elementID=5952", "Click here to submit comment")</f>
        <v>Click here to submit comment</v>
      </c>
    </row>
    <row r="2841" spans="1:16" ht="30">
      <c r="A2841" s="6" t="s">
        <v>6784</v>
      </c>
      <c r="B2841" s="6" t="s">
        <v>6858</v>
      </c>
      <c r="C2841" s="6"/>
      <c r="D2841" s="6" t="s">
        <v>3494</v>
      </c>
      <c r="E2841" s="6" t="s">
        <v>3495</v>
      </c>
      <c r="F2841" s="6" t="s">
        <v>13</v>
      </c>
      <c r="G2841" s="6"/>
      <c r="H2841" s="6"/>
      <c r="I2841" s="6" t="s">
        <v>3496</v>
      </c>
      <c r="J2841" s="6"/>
      <c r="K2841" s="6"/>
      <c r="L2841" s="6" t="s">
        <v>3497</v>
      </c>
      <c r="M2841" s="6"/>
      <c r="N2841" s="6" t="s">
        <v>3498</v>
      </c>
      <c r="O2841" s="6" t="str">
        <f>HYPERLINK("https://ceds.ed.gov/cedselementdetails.aspx?termid=5953")</f>
        <v>https://ceds.ed.gov/cedselementdetails.aspx?termid=5953</v>
      </c>
      <c r="P2841" s="6" t="str">
        <f>HYPERLINK("https://ceds.ed.gov/elementComment.aspx?elementName=Learner Activity Possible Points &amp;elementID=5953", "Click here to submit comment")</f>
        <v>Click here to submit comment</v>
      </c>
    </row>
    <row r="2842" spans="1:16" ht="60">
      <c r="A2842" s="6" t="s">
        <v>6784</v>
      </c>
      <c r="B2842" s="6" t="s">
        <v>6858</v>
      </c>
      <c r="C2842" s="6"/>
      <c r="D2842" s="6" t="s">
        <v>3508</v>
      </c>
      <c r="E2842" s="6" t="s">
        <v>3509</v>
      </c>
      <c r="F2842" s="6" t="s">
        <v>13</v>
      </c>
      <c r="G2842" s="6"/>
      <c r="H2842" s="6"/>
      <c r="I2842" s="6" t="s">
        <v>93</v>
      </c>
      <c r="J2842" s="6"/>
      <c r="K2842" s="6"/>
      <c r="L2842" s="6" t="s">
        <v>3510</v>
      </c>
      <c r="M2842" s="6"/>
      <c r="N2842" s="6" t="s">
        <v>3511</v>
      </c>
      <c r="O2842" s="6" t="str">
        <f>HYPERLINK("https://ceds.ed.gov/cedselementdetails.aspx?termid=5954")</f>
        <v>https://ceds.ed.gov/cedselementdetails.aspx?termid=5954</v>
      </c>
      <c r="P2842" s="6" t="str">
        <f>HYPERLINK("https://ceds.ed.gov/elementComment.aspx?elementName=Learner Activity Rubric URL &amp;elementID=5954", "Click here to submit comment")</f>
        <v>Click here to submit comment</v>
      </c>
    </row>
    <row r="2843" spans="1:16" ht="75">
      <c r="A2843" s="6" t="s">
        <v>6784</v>
      </c>
      <c r="B2843" s="6" t="s">
        <v>6858</v>
      </c>
      <c r="C2843" s="6"/>
      <c r="D2843" s="6" t="s">
        <v>3476</v>
      </c>
      <c r="E2843" s="6" t="s">
        <v>3477</v>
      </c>
      <c r="F2843" s="5" t="s">
        <v>939</v>
      </c>
      <c r="G2843" s="6"/>
      <c r="H2843" s="6"/>
      <c r="I2843" s="6"/>
      <c r="J2843" s="6"/>
      <c r="K2843" s="6" t="s">
        <v>3478</v>
      </c>
      <c r="L2843" s="6" t="s">
        <v>3479</v>
      </c>
      <c r="M2843" s="6"/>
      <c r="N2843" s="6" t="s">
        <v>3480</v>
      </c>
      <c r="O2843" s="6" t="str">
        <f>HYPERLINK("https://ceds.ed.gov/cedselementdetails.aspx?termid=5939")</f>
        <v>https://ceds.ed.gov/cedselementdetails.aspx?termid=5939</v>
      </c>
      <c r="P2843" s="6" t="str">
        <f>HYPERLINK("https://ceds.ed.gov/elementComment.aspx?elementName=Learner Activity Language &amp;elementID=5939", "Click here to submit comment")</f>
        <v>Click here to submit comment</v>
      </c>
    </row>
    <row r="2844" spans="1:16" ht="45">
      <c r="A2844" s="6" t="s">
        <v>6784</v>
      </c>
      <c r="B2844" s="6" t="s">
        <v>6859</v>
      </c>
      <c r="C2844" s="6"/>
      <c r="D2844" s="6" t="s">
        <v>1121</v>
      </c>
      <c r="E2844" s="6" t="s">
        <v>1122</v>
      </c>
      <c r="F2844" s="6" t="s">
        <v>13</v>
      </c>
      <c r="G2844" s="6" t="s">
        <v>493</v>
      </c>
      <c r="H2844" s="6"/>
      <c r="I2844" s="6" t="s">
        <v>100</v>
      </c>
      <c r="J2844" s="6"/>
      <c r="K2844" s="6"/>
      <c r="L2844" s="6" t="s">
        <v>1123</v>
      </c>
      <c r="M2844" s="6"/>
      <c r="N2844" s="6" t="s">
        <v>1124</v>
      </c>
      <c r="O2844" s="6" t="str">
        <f>HYPERLINK("https://ceds.ed.gov/cedselementdetails.aspx?termid=5693")</f>
        <v>https://ceds.ed.gov/cedselementdetails.aspx?termid=5693</v>
      </c>
      <c r="P2844" s="6" t="str">
        <f>HYPERLINK("https://ceds.ed.gov/elementComment.aspx?elementName=Assessment Performance Level Identifier &amp;elementID=5693", "Click here to submit comment")</f>
        <v>Click here to submit comment</v>
      </c>
    </row>
    <row r="2845" spans="1:16" ht="45">
      <c r="A2845" s="6" t="s">
        <v>6784</v>
      </c>
      <c r="B2845" s="6" t="s">
        <v>6859</v>
      </c>
      <c r="C2845" s="6"/>
      <c r="D2845" s="6" t="s">
        <v>1125</v>
      </c>
      <c r="E2845" s="6" t="s">
        <v>1126</v>
      </c>
      <c r="F2845" s="6" t="s">
        <v>13</v>
      </c>
      <c r="G2845" s="6" t="s">
        <v>493</v>
      </c>
      <c r="H2845" s="6"/>
      <c r="I2845" s="6" t="s">
        <v>1127</v>
      </c>
      <c r="J2845" s="6"/>
      <c r="K2845" s="6"/>
      <c r="L2845" s="6" t="s">
        <v>1128</v>
      </c>
      <c r="M2845" s="6"/>
      <c r="N2845" s="6" t="s">
        <v>1129</v>
      </c>
      <c r="O2845" s="6" t="str">
        <f>HYPERLINK("https://ceds.ed.gov/cedselementdetails.aspx?termid=5694")</f>
        <v>https://ceds.ed.gov/cedselementdetails.aspx?termid=5694</v>
      </c>
      <c r="P2845" s="6" t="str">
        <f>HYPERLINK("https://ceds.ed.gov/elementComment.aspx?elementName=Assessment Performance Level Label &amp;elementID=5694", "Click here to submit comment")</f>
        <v>Click here to submit comment</v>
      </c>
    </row>
    <row r="2846" spans="1:16" ht="45">
      <c r="A2846" s="6" t="s">
        <v>6784</v>
      </c>
      <c r="B2846" s="6" t="s">
        <v>6859</v>
      </c>
      <c r="C2846" s="6"/>
      <c r="D2846" s="6" t="s">
        <v>1130</v>
      </c>
      <c r="E2846" s="6" t="s">
        <v>1131</v>
      </c>
      <c r="F2846" s="6" t="s">
        <v>13</v>
      </c>
      <c r="G2846" s="6" t="s">
        <v>5992</v>
      </c>
      <c r="H2846" s="6"/>
      <c r="I2846" s="6" t="s">
        <v>100</v>
      </c>
      <c r="J2846" s="6"/>
      <c r="K2846" s="6"/>
      <c r="L2846" s="6" t="s">
        <v>1132</v>
      </c>
      <c r="M2846" s="6"/>
      <c r="N2846" s="6" t="s">
        <v>1133</v>
      </c>
      <c r="O2846" s="6" t="str">
        <f>HYPERLINK("https://ceds.ed.gov/cedselementdetails.aspx?termid=5408")</f>
        <v>https://ceds.ed.gov/cedselementdetails.aspx?termid=5408</v>
      </c>
      <c r="P2846" s="6" t="str">
        <f>HYPERLINK("https://ceds.ed.gov/elementComment.aspx?elementName=Assessment Performance Level Lower Cut Score &amp;elementID=5408", "Click here to submit comment")</f>
        <v>Click here to submit comment</v>
      </c>
    </row>
    <row r="2847" spans="1:16" ht="409.5">
      <c r="A2847" s="6" t="s">
        <v>6784</v>
      </c>
      <c r="B2847" s="6" t="s">
        <v>6859</v>
      </c>
      <c r="C2847" s="6"/>
      <c r="D2847" s="6" t="s">
        <v>1134</v>
      </c>
      <c r="E2847" s="6" t="s">
        <v>1135</v>
      </c>
      <c r="F2847" s="7" t="s">
        <v>6398</v>
      </c>
      <c r="G2847" s="6" t="s">
        <v>5992</v>
      </c>
      <c r="H2847" s="6"/>
      <c r="I2847" s="6" t="s">
        <v>100</v>
      </c>
      <c r="J2847" s="6"/>
      <c r="K2847" s="6"/>
      <c r="L2847" s="6" t="s">
        <v>1136</v>
      </c>
      <c r="M2847" s="6"/>
      <c r="N2847" s="6" t="s">
        <v>1137</v>
      </c>
      <c r="O2847" s="6" t="str">
        <f>HYPERLINK("https://ceds.ed.gov/cedselementdetails.aspx?termid=5407")</f>
        <v>https://ceds.ed.gov/cedselementdetails.aspx?termid=5407</v>
      </c>
      <c r="P2847" s="6" t="str">
        <f>HYPERLINK("https://ceds.ed.gov/elementComment.aspx?elementName=Assessment Performance Level Score Metric &amp;elementID=5407", "Click here to submit comment")</f>
        <v>Click here to submit comment</v>
      </c>
    </row>
    <row r="2848" spans="1:16" ht="45">
      <c r="A2848" s="6" t="s">
        <v>6784</v>
      </c>
      <c r="B2848" s="6" t="s">
        <v>6859</v>
      </c>
      <c r="C2848" s="6"/>
      <c r="D2848" s="6" t="s">
        <v>1138</v>
      </c>
      <c r="E2848" s="6" t="s">
        <v>1139</v>
      </c>
      <c r="F2848" s="6" t="s">
        <v>13</v>
      </c>
      <c r="G2848" s="6" t="s">
        <v>5992</v>
      </c>
      <c r="H2848" s="6"/>
      <c r="I2848" s="6" t="s">
        <v>100</v>
      </c>
      <c r="J2848" s="6"/>
      <c r="K2848" s="6"/>
      <c r="L2848" s="6" t="s">
        <v>1140</v>
      </c>
      <c r="M2848" s="6"/>
      <c r="N2848" s="6" t="s">
        <v>1141</v>
      </c>
      <c r="O2848" s="6" t="str">
        <f>HYPERLINK("https://ceds.ed.gov/cedselementdetails.aspx?termid=5409")</f>
        <v>https://ceds.ed.gov/cedselementdetails.aspx?termid=5409</v>
      </c>
      <c r="P2848" s="6" t="str">
        <f>HYPERLINK("https://ceds.ed.gov/elementComment.aspx?elementName=Assessment Performance Level Upper Cut Score &amp;elementID=5409", "Click here to submit comment")</f>
        <v>Click here to submit comment</v>
      </c>
    </row>
    <row r="2849" spans="1:16" ht="60">
      <c r="A2849" s="6" t="s">
        <v>6784</v>
      </c>
      <c r="B2849" s="6" t="s">
        <v>6859</v>
      </c>
      <c r="C2849" s="6"/>
      <c r="D2849" s="6" t="s">
        <v>1117</v>
      </c>
      <c r="E2849" s="6" t="s">
        <v>1118</v>
      </c>
      <c r="F2849" s="6" t="s">
        <v>13</v>
      </c>
      <c r="G2849" s="6"/>
      <c r="H2849" s="6"/>
      <c r="I2849" s="6" t="s">
        <v>319</v>
      </c>
      <c r="J2849" s="6"/>
      <c r="K2849" s="6"/>
      <c r="L2849" s="6" t="s">
        <v>1119</v>
      </c>
      <c r="M2849" s="6"/>
      <c r="N2849" s="6" t="s">
        <v>1120</v>
      </c>
      <c r="O2849" s="6" t="str">
        <f>HYPERLINK("https://ceds.ed.gov/cedselementdetails.aspx?termid=6184")</f>
        <v>https://ceds.ed.gov/cedselementdetails.aspx?termid=6184</v>
      </c>
      <c r="P2849" s="6" t="str">
        <f>HYPERLINK("https://ceds.ed.gov/elementComment.aspx?elementName=Assessment Performance Level Descriptive Feedback &amp;elementID=6184", "Click here to submit comment")</f>
        <v>Click here to submit comment</v>
      </c>
    </row>
    <row r="2850" spans="1:16" ht="45">
      <c r="A2850" s="6" t="s">
        <v>6911</v>
      </c>
      <c r="B2850" s="6" t="s">
        <v>6912</v>
      </c>
      <c r="C2850" s="6"/>
      <c r="D2850" s="6" t="s">
        <v>3731</v>
      </c>
      <c r="E2850" s="6" t="s">
        <v>3732</v>
      </c>
      <c r="F2850" s="6" t="s">
        <v>13</v>
      </c>
      <c r="G2850" s="6"/>
      <c r="H2850" s="6"/>
      <c r="I2850" s="6" t="s">
        <v>1440</v>
      </c>
      <c r="J2850" s="6"/>
      <c r="K2850" s="6"/>
      <c r="L2850" s="6" t="s">
        <v>3733</v>
      </c>
      <c r="M2850" s="6"/>
      <c r="N2850" s="6" t="s">
        <v>3734</v>
      </c>
      <c r="O2850" s="6" t="str">
        <f>HYPERLINK("https://ceds.ed.gov/cedselementdetails.aspx?termid=5673")</f>
        <v>https://ceds.ed.gov/cedselementdetails.aspx?termid=5673</v>
      </c>
      <c r="P2850" s="6" t="str">
        <f>HYPERLINK("https://ceds.ed.gov/elementComment.aspx?elementName=Learning Standard Document Creator &amp;elementID=5673", "Click here to submit comment")</f>
        <v>Click here to submit comment</v>
      </c>
    </row>
    <row r="2851" spans="1:16" ht="45">
      <c r="A2851" s="6" t="s">
        <v>6911</v>
      </c>
      <c r="B2851" s="6" t="s">
        <v>6912</v>
      </c>
      <c r="C2851" s="6"/>
      <c r="D2851" s="6" t="s">
        <v>3735</v>
      </c>
      <c r="E2851" s="6" t="s">
        <v>3736</v>
      </c>
      <c r="F2851" s="6" t="s">
        <v>13</v>
      </c>
      <c r="G2851" s="6"/>
      <c r="H2851" s="6"/>
      <c r="I2851" s="6" t="s">
        <v>93</v>
      </c>
      <c r="J2851" s="6"/>
      <c r="K2851" s="6"/>
      <c r="L2851" s="6" t="s">
        <v>3737</v>
      </c>
      <c r="M2851" s="6"/>
      <c r="N2851" s="6" t="s">
        <v>3738</v>
      </c>
      <c r="O2851" s="6" t="str">
        <f>HYPERLINK("https://ceds.ed.gov/cedselementdetails.aspx?termid=5674")</f>
        <v>https://ceds.ed.gov/cedselementdetails.aspx?termid=5674</v>
      </c>
      <c r="P2851" s="6" t="str">
        <f>HYPERLINK("https://ceds.ed.gov/elementComment.aspx?elementName=Learning Standard Document Description &amp;elementID=5674", "Click here to submit comment")</f>
        <v>Click here to submit comment</v>
      </c>
    </row>
    <row r="2852" spans="1:16" ht="45">
      <c r="A2852" s="6" t="s">
        <v>6911</v>
      </c>
      <c r="B2852" s="6" t="s">
        <v>6912</v>
      </c>
      <c r="C2852" s="6"/>
      <c r="D2852" s="6" t="s">
        <v>3739</v>
      </c>
      <c r="E2852" s="6" t="s">
        <v>3740</v>
      </c>
      <c r="F2852" s="6" t="s">
        <v>13</v>
      </c>
      <c r="G2852" s="6" t="s">
        <v>493</v>
      </c>
      <c r="H2852" s="6"/>
      <c r="I2852" s="6" t="s">
        <v>93</v>
      </c>
      <c r="J2852" s="6"/>
      <c r="K2852" s="6"/>
      <c r="L2852" s="6" t="s">
        <v>3741</v>
      </c>
      <c r="M2852" s="6"/>
      <c r="N2852" s="6" t="s">
        <v>3742</v>
      </c>
      <c r="O2852" s="6" t="str">
        <f>HYPERLINK("https://ceds.ed.gov/cedselementdetails.aspx?termid=5670")</f>
        <v>https://ceds.ed.gov/cedselementdetails.aspx?termid=5670</v>
      </c>
      <c r="P2852" s="6" t="str">
        <f>HYPERLINK("https://ceds.ed.gov/elementComment.aspx?elementName=Learning Standard Document Identifier URI &amp;elementID=5670", "Click here to submit comment")</f>
        <v>Click here to submit comment</v>
      </c>
    </row>
    <row r="2853" spans="1:16" ht="60">
      <c r="A2853" s="6" t="s">
        <v>6911</v>
      </c>
      <c r="B2853" s="6" t="s">
        <v>6912</v>
      </c>
      <c r="C2853" s="6"/>
      <c r="D2853" s="6" t="s">
        <v>3743</v>
      </c>
      <c r="E2853" s="6" t="s">
        <v>3744</v>
      </c>
      <c r="F2853" s="6" t="s">
        <v>13</v>
      </c>
      <c r="G2853" s="6"/>
      <c r="H2853" s="6"/>
      <c r="I2853" s="6" t="s">
        <v>1440</v>
      </c>
      <c r="J2853" s="6"/>
      <c r="K2853" s="6"/>
      <c r="L2853" s="6" t="s">
        <v>3745</v>
      </c>
      <c r="M2853" s="6"/>
      <c r="N2853" s="6" t="s">
        <v>3746</v>
      </c>
      <c r="O2853" s="6" t="str">
        <f>HYPERLINK("https://ceds.ed.gov/cedselementdetails.aspx?termid=5676")</f>
        <v>https://ceds.ed.gov/cedselementdetails.aspx?termid=5676</v>
      </c>
      <c r="P2853" s="6" t="str">
        <f>HYPERLINK("https://ceds.ed.gov/elementComment.aspx?elementName=Learning Standard Document Jurisdiction &amp;elementID=5676", "Click here to submit comment")</f>
        <v>Click here to submit comment</v>
      </c>
    </row>
    <row r="2854" spans="1:16" ht="90">
      <c r="A2854" s="6" t="s">
        <v>6911</v>
      </c>
      <c r="B2854" s="6" t="s">
        <v>6912</v>
      </c>
      <c r="C2854" s="6"/>
      <c r="D2854" s="6" t="s">
        <v>3755</v>
      </c>
      <c r="E2854" s="6" t="s">
        <v>3756</v>
      </c>
      <c r="F2854" s="6" t="s">
        <v>6242</v>
      </c>
      <c r="G2854" s="6"/>
      <c r="H2854" s="6"/>
      <c r="I2854" s="6"/>
      <c r="J2854" s="6"/>
      <c r="K2854" s="6"/>
      <c r="L2854" s="6" t="s">
        <v>3757</v>
      </c>
      <c r="M2854" s="6"/>
      <c r="N2854" s="6" t="s">
        <v>3758</v>
      </c>
      <c r="O2854" s="6" t="str">
        <f>HYPERLINK("https://ceds.ed.gov/cedselementdetails.aspx?termid=5675")</f>
        <v>https://ceds.ed.gov/cedselementdetails.aspx?termid=5675</v>
      </c>
      <c r="P2854" s="6" t="str">
        <f>HYPERLINK("https://ceds.ed.gov/elementComment.aspx?elementName=Learning Standard Document Publication Status &amp;elementID=5675", "Click here to submit comment")</f>
        <v>Click here to submit comment</v>
      </c>
    </row>
    <row r="2855" spans="1:16" ht="30">
      <c r="A2855" s="6" t="s">
        <v>6911</v>
      </c>
      <c r="B2855" s="6" t="s">
        <v>6912</v>
      </c>
      <c r="C2855" s="6"/>
      <c r="D2855" s="6" t="s">
        <v>3771</v>
      </c>
      <c r="E2855" s="6" t="s">
        <v>3772</v>
      </c>
      <c r="F2855" s="6" t="s">
        <v>13</v>
      </c>
      <c r="G2855" s="6" t="s">
        <v>493</v>
      </c>
      <c r="H2855" s="6"/>
      <c r="I2855" s="6" t="s">
        <v>100</v>
      </c>
      <c r="J2855" s="6"/>
      <c r="K2855" s="6"/>
      <c r="L2855" s="6" t="s">
        <v>3773</v>
      </c>
      <c r="M2855" s="6"/>
      <c r="N2855" s="6" t="s">
        <v>3774</v>
      </c>
      <c r="O2855" s="6" t="str">
        <f>HYPERLINK("https://ceds.ed.gov/cedselementdetails.aspx?termid=5679")</f>
        <v>https://ceds.ed.gov/cedselementdetails.aspx?termid=5679</v>
      </c>
      <c r="P2855" s="6" t="str">
        <f>HYPERLINK("https://ceds.ed.gov/elementComment.aspx?elementName=Learning Standard Document Subject &amp;elementID=5679", "Click here to submit comment")</f>
        <v>Click here to submit comment</v>
      </c>
    </row>
    <row r="2856" spans="1:16" ht="30">
      <c r="A2856" s="6" t="s">
        <v>6911</v>
      </c>
      <c r="B2856" s="6" t="s">
        <v>6912</v>
      </c>
      <c r="C2856" s="6"/>
      <c r="D2856" s="6" t="s">
        <v>3775</v>
      </c>
      <c r="E2856" s="6" t="s">
        <v>3776</v>
      </c>
      <c r="F2856" s="6" t="s">
        <v>13</v>
      </c>
      <c r="G2856" s="6" t="s">
        <v>493</v>
      </c>
      <c r="H2856" s="6"/>
      <c r="I2856" s="6" t="s">
        <v>1440</v>
      </c>
      <c r="J2856" s="6"/>
      <c r="K2856" s="6"/>
      <c r="L2856" s="6" t="s">
        <v>3777</v>
      </c>
      <c r="M2856" s="6"/>
      <c r="N2856" s="6" t="s">
        <v>3778</v>
      </c>
      <c r="O2856" s="6" t="str">
        <f>HYPERLINK("https://ceds.ed.gov/cedselementdetails.aspx?termid=5671")</f>
        <v>https://ceds.ed.gov/cedselementdetails.aspx?termid=5671</v>
      </c>
      <c r="P2856" s="6" t="str">
        <f>HYPERLINK("https://ceds.ed.gov/elementComment.aspx?elementName=Learning Standard Document Title &amp;elementID=5671", "Click here to submit comment")</f>
        <v>Click here to submit comment</v>
      </c>
    </row>
    <row r="2857" spans="1:16" ht="60">
      <c r="A2857" s="6" t="s">
        <v>6911</v>
      </c>
      <c r="B2857" s="6" t="s">
        <v>6912</v>
      </c>
      <c r="C2857" s="6"/>
      <c r="D2857" s="6" t="s">
        <v>3779</v>
      </c>
      <c r="E2857" s="6" t="s">
        <v>3780</v>
      </c>
      <c r="F2857" s="6" t="s">
        <v>13</v>
      </c>
      <c r="G2857" s="6"/>
      <c r="H2857" s="6"/>
      <c r="I2857" s="6" t="s">
        <v>73</v>
      </c>
      <c r="J2857" s="6"/>
      <c r="K2857" s="6"/>
      <c r="L2857" s="6" t="s">
        <v>3781</v>
      </c>
      <c r="M2857" s="6"/>
      <c r="N2857" s="6" t="s">
        <v>3782</v>
      </c>
      <c r="O2857" s="6" t="str">
        <f>HYPERLINK("https://ceds.ed.gov/cedselementdetails.aspx?termid=5678")</f>
        <v>https://ceds.ed.gov/cedselementdetails.aspx?termid=5678</v>
      </c>
      <c r="P2857" s="6" t="str">
        <f>HYPERLINK("https://ceds.ed.gov/elementComment.aspx?elementName=Learning Standard Document Valid End Date &amp;elementID=5678", "Click here to submit comment")</f>
        <v>Click here to submit comment</v>
      </c>
    </row>
    <row r="2858" spans="1:16" ht="60">
      <c r="A2858" s="6" t="s">
        <v>6911</v>
      </c>
      <c r="B2858" s="6" t="s">
        <v>6912</v>
      </c>
      <c r="C2858" s="6"/>
      <c r="D2858" s="6" t="s">
        <v>3783</v>
      </c>
      <c r="E2858" s="6" t="s">
        <v>3784</v>
      </c>
      <c r="F2858" s="6" t="s">
        <v>13</v>
      </c>
      <c r="G2858" s="6"/>
      <c r="H2858" s="6"/>
      <c r="I2858" s="6" t="s">
        <v>73</v>
      </c>
      <c r="J2858" s="6"/>
      <c r="K2858" s="6"/>
      <c r="L2858" s="6" t="s">
        <v>3785</v>
      </c>
      <c r="M2858" s="6"/>
      <c r="N2858" s="6" t="s">
        <v>3786</v>
      </c>
      <c r="O2858" s="6" t="str">
        <f>HYPERLINK("https://ceds.ed.gov/cedselementdetails.aspx?termid=5677")</f>
        <v>https://ceds.ed.gov/cedselementdetails.aspx?termid=5677</v>
      </c>
      <c r="P2858" s="6" t="str">
        <f>HYPERLINK("https://ceds.ed.gov/elementComment.aspx?elementName=Learning Standard Document Valid Start Date &amp;elementID=5677", "Click here to submit comment")</f>
        <v>Click here to submit comment</v>
      </c>
    </row>
    <row r="2859" spans="1:16" ht="30">
      <c r="A2859" s="6" t="s">
        <v>6911</v>
      </c>
      <c r="B2859" s="6" t="s">
        <v>6912</v>
      </c>
      <c r="C2859" s="6"/>
      <c r="D2859" s="6" t="s">
        <v>3787</v>
      </c>
      <c r="E2859" s="6" t="s">
        <v>3788</v>
      </c>
      <c r="F2859" s="6" t="s">
        <v>13</v>
      </c>
      <c r="G2859" s="6" t="s">
        <v>493</v>
      </c>
      <c r="H2859" s="6"/>
      <c r="I2859" s="6" t="s">
        <v>100</v>
      </c>
      <c r="J2859" s="6"/>
      <c r="K2859" s="6"/>
      <c r="L2859" s="6" t="s">
        <v>3789</v>
      </c>
      <c r="M2859" s="6"/>
      <c r="N2859" s="6" t="s">
        <v>3790</v>
      </c>
      <c r="O2859" s="6" t="str">
        <f>HYPERLINK("https://ceds.ed.gov/cedselementdetails.aspx?termid=5672")</f>
        <v>https://ceds.ed.gov/cedselementdetails.aspx?termid=5672</v>
      </c>
      <c r="P2859" s="6" t="str">
        <f>HYPERLINK("https://ceds.ed.gov/elementComment.aspx?elementName=Learning Standard Document Version &amp;elementID=5672", "Click here to submit comment")</f>
        <v>Click here to submit comment</v>
      </c>
    </row>
    <row r="2860" spans="1:16" ht="75">
      <c r="A2860" s="6" t="s">
        <v>6911</v>
      </c>
      <c r="B2860" s="6" t="s">
        <v>6912</v>
      </c>
      <c r="C2860" s="6"/>
      <c r="D2860" s="6" t="s">
        <v>3747</v>
      </c>
      <c r="E2860" s="6" t="s">
        <v>3748</v>
      </c>
      <c r="F2860" s="5" t="s">
        <v>939</v>
      </c>
      <c r="G2860" s="6"/>
      <c r="H2860" s="6"/>
      <c r="I2860" s="6"/>
      <c r="J2860" s="6"/>
      <c r="K2860" s="6" t="s">
        <v>3478</v>
      </c>
      <c r="L2860" s="6" t="s">
        <v>3749</v>
      </c>
      <c r="M2860" s="6"/>
      <c r="N2860" s="6" t="s">
        <v>3750</v>
      </c>
      <c r="O2860" s="6" t="str">
        <f>HYPERLINK("https://ceds.ed.gov/cedselementdetails.aspx?termid=5880")</f>
        <v>https://ceds.ed.gov/cedselementdetails.aspx?termid=5880</v>
      </c>
      <c r="P2860" s="6" t="str">
        <f>HYPERLINK("https://ceds.ed.gov/elementComment.aspx?elementName=Learning Standard Document Language &amp;elementID=5880", "Click here to submit comment")</f>
        <v>Click here to submit comment</v>
      </c>
    </row>
    <row r="2861" spans="1:16" ht="45">
      <c r="A2861" s="6" t="s">
        <v>6911</v>
      </c>
      <c r="B2861" s="6" t="s">
        <v>6912</v>
      </c>
      <c r="C2861" s="6"/>
      <c r="D2861" s="6" t="s">
        <v>3751</v>
      </c>
      <c r="E2861" s="6" t="s">
        <v>3752</v>
      </c>
      <c r="F2861" s="6" t="s">
        <v>13</v>
      </c>
      <c r="G2861" s="6"/>
      <c r="H2861" s="6"/>
      <c r="I2861" s="6" t="s">
        <v>93</v>
      </c>
      <c r="J2861" s="6"/>
      <c r="K2861" s="6"/>
      <c r="L2861" s="6" t="s">
        <v>3753</v>
      </c>
      <c r="M2861" s="6"/>
      <c r="N2861" s="6" t="s">
        <v>3754</v>
      </c>
      <c r="O2861" s="6" t="str">
        <f>HYPERLINK("https://ceds.ed.gov/cedselementdetails.aspx?termid=5882")</f>
        <v>https://ceds.ed.gov/cedselementdetails.aspx?termid=5882</v>
      </c>
      <c r="P2861" s="6" t="str">
        <f>HYPERLINK("https://ceds.ed.gov/elementComment.aspx?elementName=Learning Standard Document License &amp;elementID=5882", "Click here to submit comment")</f>
        <v>Click here to submit comment</v>
      </c>
    </row>
    <row r="2862" spans="1:16" ht="45">
      <c r="A2862" s="6" t="s">
        <v>6911</v>
      </c>
      <c r="B2862" s="6" t="s">
        <v>6912</v>
      </c>
      <c r="C2862" s="6"/>
      <c r="D2862" s="6" t="s">
        <v>3759</v>
      </c>
      <c r="E2862" s="6" t="s">
        <v>3760</v>
      </c>
      <c r="F2862" s="6" t="s">
        <v>13</v>
      </c>
      <c r="G2862" s="6"/>
      <c r="H2862" s="6"/>
      <c r="I2862" s="6" t="s">
        <v>100</v>
      </c>
      <c r="J2862" s="6"/>
      <c r="K2862" s="6"/>
      <c r="L2862" s="6" t="s">
        <v>3761</v>
      </c>
      <c r="M2862" s="6"/>
      <c r="N2862" s="6" t="s">
        <v>3762</v>
      </c>
      <c r="O2862" s="6" t="str">
        <f>HYPERLINK("https://ceds.ed.gov/cedselementdetails.aspx?termid=5884")</f>
        <v>https://ceds.ed.gov/cedselementdetails.aspx?termid=5884</v>
      </c>
      <c r="P2862" s="6" t="str">
        <f>HYPERLINK("https://ceds.ed.gov/elementComment.aspx?elementName=Learning Standard Document Publisher &amp;elementID=5884", "Click here to submit comment")</f>
        <v>Click here to submit comment</v>
      </c>
    </row>
    <row r="2863" spans="1:16" ht="30">
      <c r="A2863" s="6" t="s">
        <v>6911</v>
      </c>
      <c r="B2863" s="6" t="s">
        <v>6912</v>
      </c>
      <c r="C2863" s="6"/>
      <c r="D2863" s="6" t="s">
        <v>3763</v>
      </c>
      <c r="E2863" s="6" t="s">
        <v>3764</v>
      </c>
      <c r="F2863" s="6" t="s">
        <v>13</v>
      </c>
      <c r="G2863" s="6"/>
      <c r="H2863" s="6"/>
      <c r="I2863" s="6" t="s">
        <v>93</v>
      </c>
      <c r="J2863" s="6"/>
      <c r="K2863" s="6"/>
      <c r="L2863" s="6" t="s">
        <v>3765</v>
      </c>
      <c r="M2863" s="6"/>
      <c r="N2863" s="6" t="s">
        <v>3766</v>
      </c>
      <c r="O2863" s="6" t="str">
        <f>HYPERLINK("https://ceds.ed.gov/cedselementdetails.aspx?termid=5885")</f>
        <v>https://ceds.ed.gov/cedselementdetails.aspx?termid=5885</v>
      </c>
      <c r="P2863" s="6" t="str">
        <f>HYPERLINK("https://ceds.ed.gov/elementComment.aspx?elementName=Learning Standard Document Rights &amp;elementID=5885", "Click here to submit comment")</f>
        <v>Click here to submit comment</v>
      </c>
    </row>
    <row r="2864" spans="1:16" ht="45">
      <c r="A2864" s="6" t="s">
        <v>6911</v>
      </c>
      <c r="B2864" s="6" t="s">
        <v>6912</v>
      </c>
      <c r="C2864" s="6"/>
      <c r="D2864" s="6" t="s">
        <v>3767</v>
      </c>
      <c r="E2864" s="6" t="s">
        <v>3768</v>
      </c>
      <c r="F2864" s="6" t="s">
        <v>13</v>
      </c>
      <c r="G2864" s="6"/>
      <c r="H2864" s="6"/>
      <c r="I2864" s="6" t="s">
        <v>100</v>
      </c>
      <c r="J2864" s="6"/>
      <c r="K2864" s="6"/>
      <c r="L2864" s="6" t="s">
        <v>3769</v>
      </c>
      <c r="M2864" s="6"/>
      <c r="N2864" s="6" t="s">
        <v>3770</v>
      </c>
      <c r="O2864" s="6" t="str">
        <f>HYPERLINK("https://ceds.ed.gov/cedselementdetails.aspx?termid=5886")</f>
        <v>https://ceds.ed.gov/cedselementdetails.aspx?termid=5886</v>
      </c>
      <c r="P2864" s="6" t="str">
        <f>HYPERLINK("https://ceds.ed.gov/elementComment.aspx?elementName=Learning Standard Document Rights Holder &amp;elementID=5886", "Click here to submit comment")</f>
        <v>Click here to submit comment</v>
      </c>
    </row>
    <row r="2865" spans="1:16" ht="60">
      <c r="A2865" s="6" t="s">
        <v>6911</v>
      </c>
      <c r="B2865" s="6" t="s">
        <v>6912</v>
      </c>
      <c r="C2865" s="6"/>
      <c r="D2865" s="6" t="s">
        <v>3945</v>
      </c>
      <c r="E2865" s="6" t="s">
        <v>3946</v>
      </c>
      <c r="F2865" s="6" t="s">
        <v>13</v>
      </c>
      <c r="G2865" s="6"/>
      <c r="H2865" s="6" t="s">
        <v>54</v>
      </c>
      <c r="I2865" s="6" t="s">
        <v>73</v>
      </c>
      <c r="J2865" s="6"/>
      <c r="K2865" s="6" t="s">
        <v>3947</v>
      </c>
      <c r="L2865" s="6" t="s">
        <v>3948</v>
      </c>
      <c r="M2865" s="6"/>
      <c r="N2865" s="6" t="s">
        <v>3949</v>
      </c>
      <c r="O2865" s="6" t="str">
        <f>HYPERLINK("https://ceds.ed.gov/cedselementdetails.aspx?termid=6483")</f>
        <v>https://ceds.ed.gov/cedselementdetails.aspx?termid=6483</v>
      </c>
      <c r="P2865" s="6" t="str">
        <f>HYPERLINK("https://ceds.ed.gov/elementComment.aspx?elementName=Learning Standard Item Valid End Date &amp;elementID=6483", "Click here to submit comment")</f>
        <v>Click here to submit comment</v>
      </c>
    </row>
    <row r="2866" spans="1:16" ht="45">
      <c r="A2866" s="6" t="s">
        <v>6911</v>
      </c>
      <c r="B2866" s="6" t="s">
        <v>6912</v>
      </c>
      <c r="C2866" s="6"/>
      <c r="D2866" s="6" t="s">
        <v>3950</v>
      </c>
      <c r="E2866" s="6" t="s">
        <v>3951</v>
      </c>
      <c r="F2866" s="6" t="s">
        <v>13</v>
      </c>
      <c r="G2866" s="6"/>
      <c r="H2866" s="6" t="s">
        <v>54</v>
      </c>
      <c r="I2866" s="6" t="s">
        <v>73</v>
      </c>
      <c r="J2866" s="6"/>
      <c r="K2866" s="6"/>
      <c r="L2866" s="6" t="s">
        <v>3952</v>
      </c>
      <c r="M2866" s="6"/>
      <c r="N2866" s="6" t="s">
        <v>3953</v>
      </c>
      <c r="O2866" s="6" t="str">
        <f>HYPERLINK("https://ceds.ed.gov/cedselementdetails.aspx?termid=6484")</f>
        <v>https://ceds.ed.gov/cedselementdetails.aspx?termid=6484</v>
      </c>
      <c r="P2866" s="6" t="str">
        <f>HYPERLINK("https://ceds.ed.gov/elementComment.aspx?elementName=Learning Standard Item Valid Start Date &amp;elementID=6484", "Click here to submit comment")</f>
        <v>Click here to submit comment</v>
      </c>
    </row>
    <row r="2867" spans="1:16" ht="90">
      <c r="A2867" s="6" t="s">
        <v>6911</v>
      </c>
      <c r="B2867" s="6" t="s">
        <v>6856</v>
      </c>
      <c r="C2867" s="6"/>
      <c r="D2867" s="6" t="s">
        <v>3832</v>
      </c>
      <c r="E2867" s="6" t="s">
        <v>3833</v>
      </c>
      <c r="F2867" s="6" t="s">
        <v>13</v>
      </c>
      <c r="G2867" s="6"/>
      <c r="H2867" s="6"/>
      <c r="I2867" s="6" t="s">
        <v>100</v>
      </c>
      <c r="J2867" s="6"/>
      <c r="K2867" s="6" t="s">
        <v>3834</v>
      </c>
      <c r="L2867" s="6" t="s">
        <v>3835</v>
      </c>
      <c r="M2867" s="6" t="s">
        <v>3836</v>
      </c>
      <c r="N2867" s="6" t="s">
        <v>3837</v>
      </c>
      <c r="O2867" s="6" t="str">
        <f>HYPERLINK("https://ceds.ed.gov/cedselementdetails.aspx?termid=5669")</f>
        <v>https://ceds.ed.gov/cedselementdetails.aspx?termid=5669</v>
      </c>
      <c r="P2867" s="6" t="str">
        <f>HYPERLINK("https://ceds.ed.gov/elementComment.aspx?elementName=Learning Standard Item Code &amp;elementID=5669", "Click here to submit comment")</f>
        <v>Click here to submit comment</v>
      </c>
    </row>
    <row r="2868" spans="1:16" ht="409.5">
      <c r="A2868" s="6" t="s">
        <v>6911</v>
      </c>
      <c r="B2868" s="6" t="s">
        <v>6856</v>
      </c>
      <c r="C2868" s="6"/>
      <c r="D2868" s="6" t="s">
        <v>3851</v>
      </c>
      <c r="E2868" s="6" t="s">
        <v>3852</v>
      </c>
      <c r="F2868" s="7" t="s">
        <v>6400</v>
      </c>
      <c r="G2868" s="6"/>
      <c r="H2868" s="6"/>
      <c r="I2868" s="6"/>
      <c r="J2868" s="6"/>
      <c r="K2868" s="6" t="s">
        <v>3853</v>
      </c>
      <c r="L2868" s="6" t="s">
        <v>3854</v>
      </c>
      <c r="M2868" s="6"/>
      <c r="N2868" s="6" t="s">
        <v>3855</v>
      </c>
      <c r="O2868" s="6" t="str">
        <f>HYPERLINK("https://ceds.ed.gov/cedselementdetails.aspx?termid=5701")</f>
        <v>https://ceds.ed.gov/cedselementdetails.aspx?termid=5701</v>
      </c>
      <c r="P2868" s="6" t="str">
        <f>HYPERLINK("https://ceds.ed.gov/elementComment.aspx?elementName=Learning Standard Item Education Level &amp;elementID=5701", "Click here to submit comment")</f>
        <v>Click here to submit comment</v>
      </c>
    </row>
    <row r="2869" spans="1:16" ht="120">
      <c r="A2869" s="6" t="s">
        <v>6911</v>
      </c>
      <c r="B2869" s="6" t="s">
        <v>6856</v>
      </c>
      <c r="C2869" s="6"/>
      <c r="D2869" s="6" t="s">
        <v>3856</v>
      </c>
      <c r="E2869" s="6" t="s">
        <v>3857</v>
      </c>
      <c r="F2869" s="6" t="s">
        <v>13</v>
      </c>
      <c r="G2869" s="6" t="s">
        <v>493</v>
      </c>
      <c r="H2869" s="6"/>
      <c r="I2869" s="6" t="s">
        <v>3858</v>
      </c>
      <c r="J2869" s="6"/>
      <c r="K2869" s="6"/>
      <c r="L2869" s="6" t="s">
        <v>3859</v>
      </c>
      <c r="M2869" s="6" t="s">
        <v>3860</v>
      </c>
      <c r="N2869" s="6" t="s">
        <v>3861</v>
      </c>
      <c r="O2869" s="6" t="str">
        <f>HYPERLINK("https://ceds.ed.gov/cedselementdetails.aspx?termid=5666")</f>
        <v>https://ceds.ed.gov/cedselementdetails.aspx?termid=5666</v>
      </c>
      <c r="P2869" s="6" t="str">
        <f>HYPERLINK("https://ceds.ed.gov/elementComment.aspx?elementName=Learning Standard Item Identifier &amp;elementID=5666", "Click here to submit comment")</f>
        <v>Click here to submit comment</v>
      </c>
    </row>
    <row r="2870" spans="1:16" ht="150">
      <c r="A2870" s="6" t="s">
        <v>6911</v>
      </c>
      <c r="B2870" s="6" t="s">
        <v>6856</v>
      </c>
      <c r="C2870" s="6"/>
      <c r="D2870" s="6" t="s">
        <v>3899</v>
      </c>
      <c r="E2870" s="6" t="s">
        <v>3900</v>
      </c>
      <c r="F2870" s="6" t="s">
        <v>13</v>
      </c>
      <c r="G2870" s="6" t="s">
        <v>493</v>
      </c>
      <c r="H2870" s="6"/>
      <c r="I2870" s="6" t="s">
        <v>3858</v>
      </c>
      <c r="J2870" s="6"/>
      <c r="K2870" s="6" t="s">
        <v>3901</v>
      </c>
      <c r="L2870" s="6" t="s">
        <v>3902</v>
      </c>
      <c r="M2870" s="6"/>
      <c r="N2870" s="6" t="s">
        <v>3903</v>
      </c>
      <c r="O2870" s="6" t="str">
        <f>HYPERLINK("https://ceds.ed.gov/cedselementdetails.aspx?termid=5691")</f>
        <v>https://ceds.ed.gov/cedselementdetails.aspx?termid=5691</v>
      </c>
      <c r="P2870" s="6" t="str">
        <f>HYPERLINK("https://ceds.ed.gov/elementComment.aspx?elementName=Learning Standard Item Prerequisite Identifier &amp;elementID=5691", "Click here to submit comment")</f>
        <v>Click here to submit comment</v>
      </c>
    </row>
    <row r="2871" spans="1:16" ht="225">
      <c r="A2871" s="6" t="s">
        <v>6911</v>
      </c>
      <c r="B2871" s="6" t="s">
        <v>6856</v>
      </c>
      <c r="C2871" s="6"/>
      <c r="D2871" s="6" t="s">
        <v>3909</v>
      </c>
      <c r="E2871" s="6" t="s">
        <v>3910</v>
      </c>
      <c r="F2871" s="6" t="s">
        <v>13</v>
      </c>
      <c r="G2871" s="6" t="s">
        <v>493</v>
      </c>
      <c r="H2871" s="6"/>
      <c r="I2871" s="6" t="s">
        <v>319</v>
      </c>
      <c r="J2871" s="6"/>
      <c r="K2871" s="6" t="s">
        <v>3911</v>
      </c>
      <c r="L2871" s="6" t="s">
        <v>3912</v>
      </c>
      <c r="M2871" s="6" t="s">
        <v>3913</v>
      </c>
      <c r="N2871" s="6" t="s">
        <v>3914</v>
      </c>
      <c r="O2871" s="6" t="str">
        <f>HYPERLINK("https://ceds.ed.gov/cedselementdetails.aspx?termid=5667")</f>
        <v>https://ceds.ed.gov/cedselementdetails.aspx?termid=5667</v>
      </c>
      <c r="P2871" s="6" t="str">
        <f>HYPERLINK("https://ceds.ed.gov/elementComment.aspx?elementName=Learning Standard Item Statement &amp;elementID=5667", "Click here to submit comment")</f>
        <v>Click here to submit comment</v>
      </c>
    </row>
    <row r="2872" spans="1:16" ht="75">
      <c r="A2872" s="6" t="s">
        <v>6911</v>
      </c>
      <c r="B2872" s="6" t="s">
        <v>6856</v>
      </c>
      <c r="C2872" s="6"/>
      <c r="D2872" s="6" t="s">
        <v>3931</v>
      </c>
      <c r="E2872" s="6" t="s">
        <v>3932</v>
      </c>
      <c r="F2872" s="6" t="s">
        <v>13</v>
      </c>
      <c r="G2872" s="6" t="s">
        <v>493</v>
      </c>
      <c r="H2872" s="6"/>
      <c r="I2872" s="6" t="s">
        <v>106</v>
      </c>
      <c r="J2872" s="6"/>
      <c r="K2872" s="6"/>
      <c r="L2872" s="6" t="s">
        <v>3933</v>
      </c>
      <c r="M2872" s="6" t="s">
        <v>3934</v>
      </c>
      <c r="N2872" s="6" t="s">
        <v>3935</v>
      </c>
      <c r="O2872" s="6" t="str">
        <f>HYPERLINK("https://ceds.ed.gov/cedselementdetails.aspx?termid=5668")</f>
        <v>https://ceds.ed.gov/cedselementdetails.aspx?termid=5668</v>
      </c>
      <c r="P2872" s="6" t="str">
        <f>HYPERLINK("https://ceds.ed.gov/elementComment.aspx?elementName=Learning Standard Item Type &amp;elementID=5668", "Click here to submit comment")</f>
        <v>Click here to submit comment</v>
      </c>
    </row>
    <row r="2873" spans="1:16" ht="240">
      <c r="A2873" s="6" t="s">
        <v>6911</v>
      </c>
      <c r="B2873" s="6" t="s">
        <v>6856</v>
      </c>
      <c r="C2873" s="6"/>
      <c r="D2873" s="6" t="s">
        <v>3904</v>
      </c>
      <c r="E2873" s="6" t="s">
        <v>3905</v>
      </c>
      <c r="F2873" s="6" t="s">
        <v>13</v>
      </c>
      <c r="G2873" s="6"/>
      <c r="H2873" s="6" t="s">
        <v>54</v>
      </c>
      <c r="I2873" s="6" t="s">
        <v>3906</v>
      </c>
      <c r="J2873" s="6"/>
      <c r="K2873" s="6" t="s">
        <v>3848</v>
      </c>
      <c r="L2873" s="6" t="s">
        <v>3907</v>
      </c>
      <c r="M2873" s="6"/>
      <c r="N2873" s="6" t="s">
        <v>3908</v>
      </c>
      <c r="O2873" s="6" t="str">
        <f>HYPERLINK("https://ceds.ed.gov/cedselementdetails.aspx?termid=6498")</f>
        <v>https://ceds.ed.gov/cedselementdetails.aspx?termid=6498</v>
      </c>
      <c r="P2873" s="6" t="str">
        <f>HYPERLINK("https://ceds.ed.gov/elementComment.aspx?elementName=Learning Standard Item Previous Version Identifier &amp;elementID=6498", "Click here to submit comment")</f>
        <v>Click here to submit comment</v>
      </c>
    </row>
    <row r="2874" spans="1:16" ht="60">
      <c r="A2874" s="6" t="s">
        <v>6911</v>
      </c>
      <c r="B2874" s="6" t="s">
        <v>6856</v>
      </c>
      <c r="C2874" s="6"/>
      <c r="D2874" s="6" t="s">
        <v>3828</v>
      </c>
      <c r="E2874" s="6" t="s">
        <v>3829</v>
      </c>
      <c r="F2874" s="6" t="s">
        <v>6245</v>
      </c>
      <c r="G2874" s="6"/>
      <c r="H2874" s="6"/>
      <c r="I2874" s="6"/>
      <c r="J2874" s="6"/>
      <c r="K2874" s="6"/>
      <c r="L2874" s="6" t="s">
        <v>3830</v>
      </c>
      <c r="M2874" s="6"/>
      <c r="N2874" s="6" t="s">
        <v>3831</v>
      </c>
      <c r="O2874" s="6" t="str">
        <f>HYPERLINK("https://ceds.ed.gov/cedselementdetails.aspx?termid=5875")</f>
        <v>https://ceds.ed.gov/cedselementdetails.aspx?termid=5875</v>
      </c>
      <c r="P2874" s="6" t="str">
        <f>HYPERLINK("https://ceds.ed.gov/elementComment.aspx?elementName=Learning Standard Item Blooms Taxonomy Domain &amp;elementID=5875", "Click here to submit comment")</f>
        <v>Click here to submit comment</v>
      </c>
    </row>
    <row r="2875" spans="1:16" ht="45">
      <c r="A2875" s="6" t="s">
        <v>6911</v>
      </c>
      <c r="B2875" s="6" t="s">
        <v>6856</v>
      </c>
      <c r="C2875" s="6"/>
      <c r="D2875" s="6" t="s">
        <v>3838</v>
      </c>
      <c r="E2875" s="6" t="s">
        <v>3839</v>
      </c>
      <c r="F2875" s="6" t="s">
        <v>13</v>
      </c>
      <c r="G2875" s="6"/>
      <c r="H2875" s="6"/>
      <c r="I2875" s="6" t="s">
        <v>93</v>
      </c>
      <c r="J2875" s="6"/>
      <c r="K2875" s="6"/>
      <c r="L2875" s="6" t="s">
        <v>3840</v>
      </c>
      <c r="M2875" s="6"/>
      <c r="N2875" s="6" t="s">
        <v>3841</v>
      </c>
      <c r="O2875" s="6" t="str">
        <f>HYPERLINK("https://ceds.ed.gov/cedselementdetails.aspx?termid=5887")</f>
        <v>https://ceds.ed.gov/cedselementdetails.aspx?termid=5887</v>
      </c>
      <c r="P2875" s="6" t="str">
        <f>HYPERLINK("https://ceds.ed.gov/elementComment.aspx?elementName=Learning Standard Item Concept Keyword &amp;elementID=5887", "Click here to submit comment")</f>
        <v>Click here to submit comment</v>
      </c>
    </row>
    <row r="2876" spans="1:16" ht="75">
      <c r="A2876" s="6" t="s">
        <v>6911</v>
      </c>
      <c r="B2876" s="6" t="s">
        <v>6856</v>
      </c>
      <c r="C2876" s="6"/>
      <c r="D2876" s="6" t="s">
        <v>3842</v>
      </c>
      <c r="E2876" s="6" t="s">
        <v>3843</v>
      </c>
      <c r="F2876" s="6" t="s">
        <v>13</v>
      </c>
      <c r="G2876" s="6"/>
      <c r="H2876" s="6"/>
      <c r="I2876" s="6" t="s">
        <v>100</v>
      </c>
      <c r="J2876" s="6"/>
      <c r="K2876" s="6"/>
      <c r="L2876" s="6" t="s">
        <v>3844</v>
      </c>
      <c r="M2876" s="6"/>
      <c r="N2876" s="6" t="s">
        <v>3845</v>
      </c>
      <c r="O2876" s="6" t="str">
        <f>HYPERLINK("https://ceds.ed.gov/cedselementdetails.aspx?termid=5888")</f>
        <v>https://ceds.ed.gov/cedselementdetails.aspx?termid=5888</v>
      </c>
      <c r="P2876" s="6" t="str">
        <f>HYPERLINK("https://ceds.ed.gov/elementComment.aspx?elementName=Learning Standard Item Concept Term &amp;elementID=5888", "Click here to submit comment")</f>
        <v>Click here to submit comment</v>
      </c>
    </row>
    <row r="2877" spans="1:16" ht="240">
      <c r="A2877" s="6" t="s">
        <v>6911</v>
      </c>
      <c r="B2877" s="6" t="s">
        <v>6856</v>
      </c>
      <c r="C2877" s="6"/>
      <c r="D2877" s="6" t="s">
        <v>3846</v>
      </c>
      <c r="E2877" s="6" t="s">
        <v>3847</v>
      </c>
      <c r="F2877" s="6" t="s">
        <v>5963</v>
      </c>
      <c r="G2877" s="6"/>
      <c r="H2877" s="6" t="s">
        <v>54</v>
      </c>
      <c r="I2877" s="6"/>
      <c r="J2877" s="6"/>
      <c r="K2877" s="6" t="s">
        <v>3848</v>
      </c>
      <c r="L2877" s="6" t="s">
        <v>3849</v>
      </c>
      <c r="M2877" s="6"/>
      <c r="N2877" s="6" t="s">
        <v>3850</v>
      </c>
      <c r="O2877" s="6" t="str">
        <f>HYPERLINK("https://ceds.ed.gov/cedselementdetails.aspx?termid=6499")</f>
        <v>https://ceds.ed.gov/cedselementdetails.aspx?termid=6499</v>
      </c>
      <c r="P2877" s="6" t="str">
        <f>HYPERLINK("https://ceds.ed.gov/elementComment.aspx?elementName=Learning Standard Item Current Version Indicator &amp;elementID=6499", "Click here to submit comment")</f>
        <v>Click here to submit comment</v>
      </c>
    </row>
    <row r="2878" spans="1:16" ht="75">
      <c r="A2878" s="6" t="s">
        <v>6911</v>
      </c>
      <c r="B2878" s="6" t="s">
        <v>6856</v>
      </c>
      <c r="C2878" s="6"/>
      <c r="D2878" s="6" t="s">
        <v>3862</v>
      </c>
      <c r="E2878" s="6" t="s">
        <v>3863</v>
      </c>
      <c r="F2878" s="5" t="s">
        <v>939</v>
      </c>
      <c r="G2878" s="6"/>
      <c r="H2878" s="6"/>
      <c r="I2878" s="6"/>
      <c r="J2878" s="6"/>
      <c r="K2878" s="6" t="s">
        <v>3478</v>
      </c>
      <c r="L2878" s="6" t="s">
        <v>3864</v>
      </c>
      <c r="M2878" s="6"/>
      <c r="N2878" s="6" t="s">
        <v>3865</v>
      </c>
      <c r="O2878" s="6" t="str">
        <f>HYPERLINK("https://ceds.ed.gov/cedselementdetails.aspx?termid=5881")</f>
        <v>https://ceds.ed.gov/cedselementdetails.aspx?termid=5881</v>
      </c>
      <c r="P2878" s="6" t="str">
        <f>HYPERLINK("https://ceds.ed.gov/elementComment.aspx?elementName=Learning Standard Item Language &amp;elementID=5881", "Click here to submit comment")</f>
        <v>Click here to submit comment</v>
      </c>
    </row>
    <row r="2879" spans="1:16" ht="60">
      <c r="A2879" s="6" t="s">
        <v>6911</v>
      </c>
      <c r="B2879" s="6" t="s">
        <v>6856</v>
      </c>
      <c r="C2879" s="6"/>
      <c r="D2879" s="6" t="s">
        <v>3866</v>
      </c>
      <c r="E2879" s="6" t="s">
        <v>3867</v>
      </c>
      <c r="F2879" s="6" t="s">
        <v>13</v>
      </c>
      <c r="G2879" s="6"/>
      <c r="H2879" s="6"/>
      <c r="I2879" s="6" t="s">
        <v>93</v>
      </c>
      <c r="J2879" s="6"/>
      <c r="K2879" s="6"/>
      <c r="L2879" s="6" t="s">
        <v>3868</v>
      </c>
      <c r="M2879" s="6"/>
      <c r="N2879" s="6" t="s">
        <v>3869</v>
      </c>
      <c r="O2879" s="6" t="str">
        <f>HYPERLINK("https://ceds.ed.gov/cedselementdetails.aspx?termid=5883")</f>
        <v>https://ceds.ed.gov/cedselementdetails.aspx?termid=5883</v>
      </c>
      <c r="P2879" s="6" t="str">
        <f>HYPERLINK("https://ceds.ed.gov/elementComment.aspx?elementName=Learning Standard Item License &amp;elementID=5883", "Click here to submit comment")</f>
        <v>Click here to submit comment</v>
      </c>
    </row>
    <row r="2880" spans="1:16" ht="195">
      <c r="A2880" s="6" t="s">
        <v>6911</v>
      </c>
      <c r="B2880" s="6" t="s">
        <v>6856</v>
      </c>
      <c r="C2880" s="6"/>
      <c r="D2880" s="6" t="s">
        <v>3870</v>
      </c>
      <c r="E2880" s="6" t="s">
        <v>3871</v>
      </c>
      <c r="F2880" s="7" t="s">
        <v>6569</v>
      </c>
      <c r="G2880" s="6"/>
      <c r="H2880" s="6"/>
      <c r="I2880" s="6"/>
      <c r="J2880" s="6"/>
      <c r="K2880" s="6"/>
      <c r="L2880" s="6" t="s">
        <v>3872</v>
      </c>
      <c r="M2880" s="6"/>
      <c r="N2880" s="6" t="s">
        <v>3873</v>
      </c>
      <c r="O2880" s="6" t="str">
        <f>HYPERLINK("https://ceds.ed.gov/cedselementdetails.aspx?termid=5876")</f>
        <v>https://ceds.ed.gov/cedselementdetails.aspx?termid=5876</v>
      </c>
      <c r="P2880" s="6" t="str">
        <f>HYPERLINK("https://ceds.ed.gov/elementComment.aspx?elementName=Learning Standard Item Multiple Intelligence &amp;elementID=5876", "Click here to submit comment")</f>
        <v>Click here to submit comment</v>
      </c>
    </row>
    <row r="2881" spans="1:16" ht="105">
      <c r="A2881" s="6" t="s">
        <v>6911</v>
      </c>
      <c r="B2881" s="6" t="s">
        <v>6856</v>
      </c>
      <c r="C2881" s="6"/>
      <c r="D2881" s="6" t="s">
        <v>3874</v>
      </c>
      <c r="E2881" s="6" t="s">
        <v>3875</v>
      </c>
      <c r="F2881" s="6" t="s">
        <v>6248</v>
      </c>
      <c r="G2881" s="6"/>
      <c r="H2881" s="6" t="s">
        <v>54</v>
      </c>
      <c r="I2881" s="6"/>
      <c r="J2881" s="6"/>
      <c r="K2881" s="6"/>
      <c r="L2881" s="6" t="s">
        <v>3877</v>
      </c>
      <c r="M2881" s="6"/>
      <c r="N2881" s="6" t="s">
        <v>3878</v>
      </c>
      <c r="O2881" s="6" t="str">
        <f>HYPERLINK("https://ceds.ed.gov/cedselementdetails.aspx?termid=6377")</f>
        <v>https://ceds.ed.gov/cedselementdetails.aspx?termid=6377</v>
      </c>
      <c r="P2881" s="6" t="str">
        <f>HYPERLINK("https://ceds.ed.gov/elementComment.aspx?elementName=Learning Standard Item Node Accessibility Profile &amp;elementID=6377", "Click here to submit comment")</f>
        <v>Click here to submit comment</v>
      </c>
    </row>
    <row r="2882" spans="1:16" ht="45">
      <c r="A2882" s="6" t="s">
        <v>6911</v>
      </c>
      <c r="B2882" s="6" t="s">
        <v>6856</v>
      </c>
      <c r="C2882" s="6"/>
      <c r="D2882" s="6" t="s">
        <v>3879</v>
      </c>
      <c r="E2882" s="6" t="s">
        <v>3880</v>
      </c>
      <c r="F2882" s="6" t="s">
        <v>13</v>
      </c>
      <c r="G2882" s="6"/>
      <c r="H2882" s="6" t="s">
        <v>54</v>
      </c>
      <c r="I2882" s="6" t="s">
        <v>100</v>
      </c>
      <c r="J2882" s="6"/>
      <c r="K2882" s="6"/>
      <c r="L2882" s="6" t="s">
        <v>3881</v>
      </c>
      <c r="M2882" s="6"/>
      <c r="N2882" s="6" t="s">
        <v>3882</v>
      </c>
      <c r="O2882" s="6" t="str">
        <f>HYPERLINK("https://ceds.ed.gov/cedselementdetails.aspx?termid=6378")</f>
        <v>https://ceds.ed.gov/cedselementdetails.aspx?termid=6378</v>
      </c>
      <c r="P2882" s="6" t="str">
        <f>HYPERLINK("https://ceds.ed.gov/elementComment.aspx?elementName=Learning Standard Item Node Name &amp;elementID=6378", "Click here to submit comment")</f>
        <v>Click here to submit comment</v>
      </c>
    </row>
    <row r="2883" spans="1:16" ht="30">
      <c r="A2883" s="6" t="s">
        <v>6911</v>
      </c>
      <c r="B2883" s="6" t="s">
        <v>6856</v>
      </c>
      <c r="C2883" s="6"/>
      <c r="D2883" s="6" t="s">
        <v>3883</v>
      </c>
      <c r="E2883" s="6" t="s">
        <v>3884</v>
      </c>
      <c r="F2883" s="6" t="s">
        <v>13</v>
      </c>
      <c r="G2883" s="6"/>
      <c r="H2883" s="6"/>
      <c r="I2883" s="6" t="s">
        <v>319</v>
      </c>
      <c r="J2883" s="6"/>
      <c r="K2883" s="6"/>
      <c r="L2883" s="6" t="s">
        <v>3885</v>
      </c>
      <c r="M2883" s="6"/>
      <c r="N2883" s="6" t="s">
        <v>3886</v>
      </c>
      <c r="O2883" s="6" t="str">
        <f>HYPERLINK("https://ceds.ed.gov/cedselementdetails.aspx?termid=6215")</f>
        <v>https://ceds.ed.gov/cedselementdetails.aspx?termid=6215</v>
      </c>
      <c r="P2883" s="6" t="str">
        <f>HYPERLINK("https://ceds.ed.gov/elementComment.aspx?elementName=Learning Standard Item Notes &amp;elementID=6215", "Click here to submit comment")</f>
        <v>Click here to submit comment</v>
      </c>
    </row>
    <row r="2884" spans="1:16" ht="60">
      <c r="A2884" s="6" t="s">
        <v>6911</v>
      </c>
      <c r="B2884" s="6" t="s">
        <v>6856</v>
      </c>
      <c r="C2884" s="6"/>
      <c r="D2884" s="6" t="s">
        <v>3887</v>
      </c>
      <c r="E2884" s="6" t="s">
        <v>3888</v>
      </c>
      <c r="F2884" s="6" t="s">
        <v>13</v>
      </c>
      <c r="G2884" s="6"/>
      <c r="H2884" s="6"/>
      <c r="I2884" s="6" t="s">
        <v>100</v>
      </c>
      <c r="J2884" s="6"/>
      <c r="K2884" s="6"/>
      <c r="L2884" s="6" t="s">
        <v>3889</v>
      </c>
      <c r="M2884" s="6"/>
      <c r="N2884" s="6" t="s">
        <v>3890</v>
      </c>
      <c r="O2884" s="6" t="str">
        <f>HYPERLINK("https://ceds.ed.gov/cedselementdetails.aspx?termid=5873")</f>
        <v>https://ceds.ed.gov/cedselementdetails.aspx?termid=5873</v>
      </c>
      <c r="P2884" s="6" t="str">
        <f>HYPERLINK("https://ceds.ed.gov/elementComment.aspx?elementName=Learning Standard Item Parent Code &amp;elementID=5873", "Click here to submit comment")</f>
        <v>Click here to submit comment</v>
      </c>
    </row>
    <row r="2885" spans="1:16" ht="135">
      <c r="A2885" s="6" t="s">
        <v>6911</v>
      </c>
      <c r="B2885" s="6" t="s">
        <v>6856</v>
      </c>
      <c r="C2885" s="6"/>
      <c r="D2885" s="6" t="s">
        <v>3891</v>
      </c>
      <c r="E2885" s="6" t="s">
        <v>3892</v>
      </c>
      <c r="F2885" s="6" t="s">
        <v>13</v>
      </c>
      <c r="G2885" s="6"/>
      <c r="H2885" s="6"/>
      <c r="I2885" s="6" t="s">
        <v>3858</v>
      </c>
      <c r="J2885" s="6"/>
      <c r="K2885" s="6"/>
      <c r="L2885" s="6" t="s">
        <v>3893</v>
      </c>
      <c r="M2885" s="6"/>
      <c r="N2885" s="6" t="s">
        <v>3894</v>
      </c>
      <c r="O2885" s="6" t="str">
        <f>HYPERLINK("https://ceds.ed.gov/cedselementdetails.aspx?termid=5872")</f>
        <v>https://ceds.ed.gov/cedselementdetails.aspx?termid=5872</v>
      </c>
      <c r="P2885" s="6" t="str">
        <f>HYPERLINK("https://ceds.ed.gov/elementComment.aspx?elementName=Learning Standard Item Parent Identifier &amp;elementID=5872", "Click here to submit comment")</f>
        <v>Click here to submit comment</v>
      </c>
    </row>
    <row r="2886" spans="1:16" ht="75">
      <c r="A2886" s="6" t="s">
        <v>6911</v>
      </c>
      <c r="B2886" s="6" t="s">
        <v>6856</v>
      </c>
      <c r="C2886" s="6"/>
      <c r="D2886" s="6" t="s">
        <v>3895</v>
      </c>
      <c r="E2886" s="6" t="s">
        <v>3896</v>
      </c>
      <c r="F2886" s="6" t="s">
        <v>13</v>
      </c>
      <c r="G2886" s="6"/>
      <c r="H2886" s="6"/>
      <c r="I2886" s="6" t="s">
        <v>93</v>
      </c>
      <c r="J2886" s="6"/>
      <c r="K2886" s="6"/>
      <c r="L2886" s="6" t="s">
        <v>3897</v>
      </c>
      <c r="M2886" s="6"/>
      <c r="N2886" s="6" t="s">
        <v>3898</v>
      </c>
      <c r="O2886" s="6" t="str">
        <f>HYPERLINK("https://ceds.ed.gov/cedselementdetails.aspx?termid=6078")</f>
        <v>https://ceds.ed.gov/cedselementdetails.aspx?termid=6078</v>
      </c>
      <c r="P2886" s="6" t="str">
        <f>HYPERLINK("https://ceds.ed.gov/elementComment.aspx?elementName=Learning Standard Item Parent URL &amp;elementID=6078", "Click here to submit comment")</f>
        <v>Click here to submit comment</v>
      </c>
    </row>
    <row r="2887" spans="1:16" ht="135">
      <c r="A2887" s="6" t="s">
        <v>6911</v>
      </c>
      <c r="B2887" s="6" t="s">
        <v>6856</v>
      </c>
      <c r="C2887" s="6"/>
      <c r="D2887" s="6" t="s">
        <v>3915</v>
      </c>
      <c r="E2887" s="6" t="s">
        <v>3916</v>
      </c>
      <c r="F2887" s="7" t="s">
        <v>6570</v>
      </c>
      <c r="G2887" s="6"/>
      <c r="H2887" s="6" t="s">
        <v>54</v>
      </c>
      <c r="I2887" s="6"/>
      <c r="J2887" s="6"/>
      <c r="K2887" s="6"/>
      <c r="L2887" s="6" t="s">
        <v>3917</v>
      </c>
      <c r="M2887" s="6"/>
      <c r="N2887" s="6" t="s">
        <v>3918</v>
      </c>
      <c r="O2887" s="6" t="str">
        <f>HYPERLINK("https://ceds.ed.gov/cedselementdetails.aspx?termid=6380")</f>
        <v>https://ceds.ed.gov/cedselementdetails.aspx?termid=6380</v>
      </c>
      <c r="P2887" s="6" t="str">
        <f>HYPERLINK("https://ceds.ed.gov/elementComment.aspx?elementName=Learning Standard Item Testability Type &amp;elementID=6380", "Click here to submit comment")</f>
        <v>Click here to submit comment</v>
      </c>
    </row>
    <row r="2888" spans="1:16" ht="75">
      <c r="A2888" s="6" t="s">
        <v>6911</v>
      </c>
      <c r="B2888" s="6" t="s">
        <v>6856</v>
      </c>
      <c r="C2888" s="6"/>
      <c r="D2888" s="6" t="s">
        <v>3919</v>
      </c>
      <c r="E2888" s="6" t="s">
        <v>3920</v>
      </c>
      <c r="F2888" s="6" t="s">
        <v>13</v>
      </c>
      <c r="G2888" s="6"/>
      <c r="H2888" s="6"/>
      <c r="I2888" s="6" t="s">
        <v>545</v>
      </c>
      <c r="J2888" s="6"/>
      <c r="K2888" s="6"/>
      <c r="L2888" s="6" t="s">
        <v>3921</v>
      </c>
      <c r="M2888" s="6"/>
      <c r="N2888" s="6" t="s">
        <v>3922</v>
      </c>
      <c r="O2888" s="6" t="str">
        <f>HYPERLINK("https://ceds.ed.gov/cedselementdetails.aspx?termid=6115")</f>
        <v>https://ceds.ed.gov/cedselementdetails.aspx?termid=6115</v>
      </c>
      <c r="P2888" s="6" t="str">
        <f>HYPERLINK("https://ceds.ed.gov/elementComment.aspx?elementName=Learning Standard Item Text Complexity Maximum Value &amp;elementID=6115", "Click here to submit comment")</f>
        <v>Click here to submit comment</v>
      </c>
    </row>
    <row r="2889" spans="1:16" ht="75">
      <c r="A2889" s="6" t="s">
        <v>6911</v>
      </c>
      <c r="B2889" s="6" t="s">
        <v>6856</v>
      </c>
      <c r="C2889" s="6"/>
      <c r="D2889" s="6" t="s">
        <v>3923</v>
      </c>
      <c r="E2889" s="6" t="s">
        <v>3924</v>
      </c>
      <c r="F2889" s="6" t="s">
        <v>13</v>
      </c>
      <c r="G2889" s="6"/>
      <c r="H2889" s="6"/>
      <c r="I2889" s="6" t="s">
        <v>545</v>
      </c>
      <c r="J2889" s="6"/>
      <c r="K2889" s="6"/>
      <c r="L2889" s="6" t="s">
        <v>3925</v>
      </c>
      <c r="M2889" s="6"/>
      <c r="N2889" s="6" t="s">
        <v>3926</v>
      </c>
      <c r="O2889" s="6" t="str">
        <f>HYPERLINK("https://ceds.ed.gov/cedselementdetails.aspx?termid=6114")</f>
        <v>https://ceds.ed.gov/cedselementdetails.aspx?termid=6114</v>
      </c>
      <c r="P2889" s="6" t="str">
        <f>HYPERLINK("https://ceds.ed.gov/elementComment.aspx?elementName=Learning Standard Item Text Complexity Minimum Value &amp;elementID=6114", "Click here to submit comment")</f>
        <v>Click here to submit comment</v>
      </c>
    </row>
    <row r="2890" spans="1:16" ht="60">
      <c r="A2890" s="6" t="s">
        <v>6911</v>
      </c>
      <c r="B2890" s="6" t="s">
        <v>6856</v>
      </c>
      <c r="C2890" s="6"/>
      <c r="D2890" s="6" t="s">
        <v>3927</v>
      </c>
      <c r="E2890" s="6" t="s">
        <v>3928</v>
      </c>
      <c r="F2890" s="6" t="s">
        <v>13</v>
      </c>
      <c r="G2890" s="6"/>
      <c r="H2890" s="6"/>
      <c r="I2890" s="6" t="s">
        <v>100</v>
      </c>
      <c r="J2890" s="6"/>
      <c r="K2890" s="6"/>
      <c r="L2890" s="6" t="s">
        <v>3929</v>
      </c>
      <c r="M2890" s="6"/>
      <c r="N2890" s="6" t="s">
        <v>3930</v>
      </c>
      <c r="O2890" s="6" t="str">
        <f>HYPERLINK("https://ceds.ed.gov/cedselementdetails.aspx?termid=5910")</f>
        <v>https://ceds.ed.gov/cedselementdetails.aspx?termid=5910</v>
      </c>
      <c r="P2890" s="6" t="str">
        <f>HYPERLINK("https://ceds.ed.gov/elementComment.aspx?elementName=Learning Standard Item Text Complexity System &amp;elementID=5910", "Click here to submit comment")</f>
        <v>Click here to submit comment</v>
      </c>
    </row>
    <row r="2891" spans="1:16" ht="45">
      <c r="A2891" s="6" t="s">
        <v>6911</v>
      </c>
      <c r="B2891" s="6" t="s">
        <v>6856</v>
      </c>
      <c r="C2891" s="6"/>
      <c r="D2891" s="6" t="s">
        <v>3936</v>
      </c>
      <c r="E2891" s="6" t="s">
        <v>3937</v>
      </c>
      <c r="F2891" s="6" t="s">
        <v>13</v>
      </c>
      <c r="G2891" s="6"/>
      <c r="H2891" s="6"/>
      <c r="I2891" s="6" t="s">
        <v>1127</v>
      </c>
      <c r="J2891" s="6"/>
      <c r="K2891" s="6" t="s">
        <v>3938</v>
      </c>
      <c r="L2891" s="6" t="s">
        <v>3939</v>
      </c>
      <c r="M2891" s="6"/>
      <c r="N2891" s="6" t="s">
        <v>3940</v>
      </c>
      <c r="O2891" s="6" t="str">
        <f>HYPERLINK("https://ceds.ed.gov/cedselementdetails.aspx?termid=5870")</f>
        <v>https://ceds.ed.gov/cedselementdetails.aspx?termid=5870</v>
      </c>
      <c r="P2891" s="6" t="str">
        <f>HYPERLINK("https://ceds.ed.gov/elementComment.aspx?elementName=Learning Standard Item Typical Age Range &amp;elementID=5870", "Click here to submit comment")</f>
        <v>Click here to submit comment</v>
      </c>
    </row>
    <row r="2892" spans="1:16" ht="60">
      <c r="A2892" s="6" t="s">
        <v>6911</v>
      </c>
      <c r="B2892" s="6" t="s">
        <v>6856</v>
      </c>
      <c r="C2892" s="6"/>
      <c r="D2892" s="6" t="s">
        <v>3941</v>
      </c>
      <c r="E2892" s="6" t="s">
        <v>3942</v>
      </c>
      <c r="F2892" s="6" t="s">
        <v>13</v>
      </c>
      <c r="G2892" s="6"/>
      <c r="H2892" s="6"/>
      <c r="I2892" s="6" t="s">
        <v>93</v>
      </c>
      <c r="J2892" s="6"/>
      <c r="K2892" s="6"/>
      <c r="L2892" s="6" t="s">
        <v>3943</v>
      </c>
      <c r="M2892" s="6"/>
      <c r="N2892" s="6" t="s">
        <v>3944</v>
      </c>
      <c r="O2892" s="6" t="str">
        <f>HYPERLINK("https://ceds.ed.gov/cedselementdetails.aspx?termid=5874")</f>
        <v>https://ceds.ed.gov/cedselementdetails.aspx?termid=5874</v>
      </c>
      <c r="P2892" s="6" t="str">
        <f>HYPERLINK("https://ceds.ed.gov/elementComment.aspx?elementName=Learning Standard Item URL &amp;elementID=5874", "Click here to submit comment")</f>
        <v>Click here to submit comment</v>
      </c>
    </row>
    <row r="2893" spans="1:16" ht="45">
      <c r="A2893" s="6" t="s">
        <v>6911</v>
      </c>
      <c r="B2893" s="6" t="s">
        <v>6856</v>
      </c>
      <c r="C2893" s="6"/>
      <c r="D2893" s="6" t="s">
        <v>3954</v>
      </c>
      <c r="E2893" s="6" t="s">
        <v>3955</v>
      </c>
      <c r="F2893" s="6" t="s">
        <v>13</v>
      </c>
      <c r="G2893" s="6"/>
      <c r="H2893" s="6"/>
      <c r="I2893" s="6" t="s">
        <v>319</v>
      </c>
      <c r="J2893" s="6"/>
      <c r="K2893" s="6"/>
      <c r="L2893" s="6" t="s">
        <v>3956</v>
      </c>
      <c r="M2893" s="6"/>
      <c r="N2893" s="6" t="s">
        <v>3957</v>
      </c>
      <c r="O2893" s="6" t="str">
        <f>HYPERLINK("https://ceds.ed.gov/cedselementdetails.aspx?termid=6216")</f>
        <v>https://ceds.ed.gov/cedselementdetails.aspx?termid=6216</v>
      </c>
      <c r="P2893" s="6" t="str">
        <f>HYPERLINK("https://ceds.ed.gov/elementComment.aspx?elementName=Learning Standard Item Version &amp;elementID=6216", "Click here to submit comment")</f>
        <v>Click here to submit comment</v>
      </c>
    </row>
    <row r="2894" spans="1:16" ht="45">
      <c r="A2894" s="6" t="s">
        <v>6911</v>
      </c>
      <c r="B2894" s="6" t="s">
        <v>6856</v>
      </c>
      <c r="C2894" s="6" t="s">
        <v>6916</v>
      </c>
      <c r="D2894" s="6" t="s">
        <v>3804</v>
      </c>
      <c r="E2894" s="6" t="s">
        <v>3805</v>
      </c>
      <c r="F2894" s="6" t="s">
        <v>13</v>
      </c>
      <c r="G2894" s="6"/>
      <c r="H2894" s="6" t="s">
        <v>3</v>
      </c>
      <c r="I2894" s="6" t="s">
        <v>93</v>
      </c>
      <c r="J2894" s="6"/>
      <c r="K2894" s="6"/>
      <c r="L2894" s="6" t="s">
        <v>3806</v>
      </c>
      <c r="M2894" s="6"/>
      <c r="N2894" s="6" t="s">
        <v>3807</v>
      </c>
      <c r="O2894" s="6" t="str">
        <f>HYPERLINK("https://ceds.ed.gov/cedselementdetails.aspx?termid=5871")</f>
        <v>https://ceds.ed.gov/cedselementdetails.aspx?termid=5871</v>
      </c>
      <c r="P2894" s="6" t="str">
        <f>HYPERLINK("https://ceds.ed.gov/elementComment.aspx?elementName=Learning Standard Item Association Identifier &amp;elementID=5871", "Click here to submit comment")</f>
        <v>Click here to submit comment</v>
      </c>
    </row>
    <row r="2895" spans="1:16" ht="165">
      <c r="A2895" s="14" t="s">
        <v>6911</v>
      </c>
      <c r="B2895" s="14" t="s">
        <v>6856</v>
      </c>
      <c r="C2895" s="14" t="s">
        <v>6916</v>
      </c>
      <c r="D2895" s="14" t="s">
        <v>3816</v>
      </c>
      <c r="E2895" s="14" t="s">
        <v>3817</v>
      </c>
      <c r="F2895" s="15" t="s">
        <v>6568</v>
      </c>
      <c r="G2895" s="14"/>
      <c r="H2895" s="14" t="s">
        <v>66</v>
      </c>
      <c r="I2895" s="14"/>
      <c r="J2895" s="14" t="s">
        <v>848</v>
      </c>
      <c r="K2895" s="6" t="s">
        <v>3818</v>
      </c>
      <c r="L2895" s="14" t="s">
        <v>3820</v>
      </c>
      <c r="M2895" s="14"/>
      <c r="N2895" s="14" t="s">
        <v>3821</v>
      </c>
      <c r="O2895" s="14" t="str">
        <f>HYPERLINK("https://ceds.ed.gov/cedselementdetails.aspx?termid=5869")</f>
        <v>https://ceds.ed.gov/cedselementdetails.aspx?termid=5869</v>
      </c>
      <c r="P2895" s="14" t="str">
        <f>HYPERLINK("https://ceds.ed.gov/elementComment.aspx?elementName=Learning Standard Item Association Type &amp;elementID=5869", "Click here to submit comment")</f>
        <v>Click here to submit comment</v>
      </c>
    </row>
    <row r="2896" spans="1:16" ht="135">
      <c r="A2896" s="14"/>
      <c r="B2896" s="14"/>
      <c r="C2896" s="14"/>
      <c r="D2896" s="14"/>
      <c r="E2896" s="14"/>
      <c r="F2896" s="14"/>
      <c r="G2896" s="14"/>
      <c r="H2896" s="14"/>
      <c r="I2896" s="14"/>
      <c r="J2896" s="14"/>
      <c r="K2896" s="6" t="s">
        <v>3819</v>
      </c>
      <c r="L2896" s="14"/>
      <c r="M2896" s="14"/>
      <c r="N2896" s="14"/>
      <c r="O2896" s="14"/>
      <c r="P2896" s="14"/>
    </row>
    <row r="2897" spans="1:16" ht="60">
      <c r="A2897" s="6" t="s">
        <v>6911</v>
      </c>
      <c r="B2897" s="6" t="s">
        <v>6856</v>
      </c>
      <c r="C2897" s="6" t="s">
        <v>6916</v>
      </c>
      <c r="D2897" s="6" t="s">
        <v>3791</v>
      </c>
      <c r="E2897" s="6" t="s">
        <v>3792</v>
      </c>
      <c r="F2897" s="6" t="s">
        <v>13</v>
      </c>
      <c r="G2897" s="6"/>
      <c r="H2897" s="6" t="s">
        <v>54</v>
      </c>
      <c r="I2897" s="6" t="s">
        <v>93</v>
      </c>
      <c r="J2897" s="6"/>
      <c r="K2897" s="6"/>
      <c r="L2897" s="6" t="s">
        <v>3794</v>
      </c>
      <c r="M2897" s="6"/>
      <c r="N2897" s="6" t="s">
        <v>3795</v>
      </c>
      <c r="O2897" s="6" t="str">
        <f>HYPERLINK("https://ceds.ed.gov/cedselementdetails.aspx?termid=6371")</f>
        <v>https://ceds.ed.gov/cedselementdetails.aspx?termid=6371</v>
      </c>
      <c r="P2897" s="6" t="str">
        <f>HYPERLINK("https://ceds.ed.gov/elementComment.aspx?elementName=Learning Standard Item Association Connection Citation &amp;elementID=6371", "Click here to submit comment")</f>
        <v>Click here to submit comment</v>
      </c>
    </row>
    <row r="2898" spans="1:16" ht="60">
      <c r="A2898" s="6" t="s">
        <v>6911</v>
      </c>
      <c r="B2898" s="6" t="s">
        <v>6856</v>
      </c>
      <c r="C2898" s="6" t="s">
        <v>6916</v>
      </c>
      <c r="D2898" s="6" t="s">
        <v>3796</v>
      </c>
      <c r="E2898" s="6" t="s">
        <v>3797</v>
      </c>
      <c r="F2898" s="6" t="s">
        <v>13</v>
      </c>
      <c r="G2898" s="6"/>
      <c r="H2898" s="6" t="s">
        <v>54</v>
      </c>
      <c r="I2898" s="6" t="s">
        <v>100</v>
      </c>
      <c r="J2898" s="6"/>
      <c r="K2898" s="6"/>
      <c r="L2898" s="6" t="s">
        <v>3798</v>
      </c>
      <c r="M2898" s="6"/>
      <c r="N2898" s="6" t="s">
        <v>3799</v>
      </c>
      <c r="O2898" s="6" t="str">
        <f>HYPERLINK("https://ceds.ed.gov/cedselementdetails.aspx?termid=6372")</f>
        <v>https://ceds.ed.gov/cedselementdetails.aspx?termid=6372</v>
      </c>
      <c r="P2898" s="6" t="str">
        <f>HYPERLINK("https://ceds.ed.gov/elementComment.aspx?elementName=Learning Standard Item Association Destination Node Name &amp;elementID=6372", "Click here to submit comment")</f>
        <v>Click here to submit comment</v>
      </c>
    </row>
    <row r="2899" spans="1:16" ht="60">
      <c r="A2899" s="6" t="s">
        <v>6911</v>
      </c>
      <c r="B2899" s="6" t="s">
        <v>6856</v>
      </c>
      <c r="C2899" s="6" t="s">
        <v>6916</v>
      </c>
      <c r="D2899" s="6" t="s">
        <v>3800</v>
      </c>
      <c r="E2899" s="6" t="s">
        <v>3801</v>
      </c>
      <c r="F2899" s="6" t="s">
        <v>13</v>
      </c>
      <c r="G2899" s="6"/>
      <c r="H2899" s="6" t="s">
        <v>54</v>
      </c>
      <c r="I2899" s="6" t="s">
        <v>93</v>
      </c>
      <c r="J2899" s="6"/>
      <c r="K2899" s="6"/>
      <c r="L2899" s="6" t="s">
        <v>3802</v>
      </c>
      <c r="M2899" s="6"/>
      <c r="N2899" s="6" t="s">
        <v>3803</v>
      </c>
      <c r="O2899" s="6" t="str">
        <f>HYPERLINK("https://ceds.ed.gov/cedselementdetails.aspx?termid=6373")</f>
        <v>https://ceds.ed.gov/cedselementdetails.aspx?termid=6373</v>
      </c>
      <c r="P2899" s="6" t="str">
        <f>HYPERLINK("https://ceds.ed.gov/elementComment.aspx?elementName=Learning Standard Item Association Destination Node URI &amp;elementID=6373", "Click here to submit comment")</f>
        <v>Click here to submit comment</v>
      </c>
    </row>
    <row r="2900" spans="1:16" ht="45">
      <c r="A2900" s="6" t="s">
        <v>6911</v>
      </c>
      <c r="B2900" s="6" t="s">
        <v>6856</v>
      </c>
      <c r="C2900" s="6" t="s">
        <v>6916</v>
      </c>
      <c r="D2900" s="6" t="s">
        <v>3808</v>
      </c>
      <c r="E2900" s="6" t="s">
        <v>3809</v>
      </c>
      <c r="F2900" s="6" t="s">
        <v>13</v>
      </c>
      <c r="G2900" s="6"/>
      <c r="H2900" s="6" t="s">
        <v>54</v>
      </c>
      <c r="I2900" s="6" t="s">
        <v>100</v>
      </c>
      <c r="J2900" s="6"/>
      <c r="K2900" s="6"/>
      <c r="L2900" s="6" t="s">
        <v>3810</v>
      </c>
      <c r="M2900" s="6"/>
      <c r="N2900" s="6" t="s">
        <v>3811</v>
      </c>
      <c r="O2900" s="6" t="str">
        <f>HYPERLINK("https://ceds.ed.gov/cedselementdetails.aspx?termid=6374")</f>
        <v>https://ceds.ed.gov/cedselementdetails.aspx?termid=6374</v>
      </c>
      <c r="P2900" s="6" t="str">
        <f>HYPERLINK("https://ceds.ed.gov/elementComment.aspx?elementName=Learning Standard Item Association Origin Node Name &amp;elementID=6374", "Click here to submit comment")</f>
        <v>Click here to submit comment</v>
      </c>
    </row>
    <row r="2901" spans="1:16" ht="45">
      <c r="A2901" s="6" t="s">
        <v>6911</v>
      </c>
      <c r="B2901" s="6" t="s">
        <v>6856</v>
      </c>
      <c r="C2901" s="6" t="s">
        <v>6916</v>
      </c>
      <c r="D2901" s="6" t="s">
        <v>3812</v>
      </c>
      <c r="E2901" s="6" t="s">
        <v>3813</v>
      </c>
      <c r="F2901" s="6" t="s">
        <v>13</v>
      </c>
      <c r="G2901" s="6"/>
      <c r="H2901" s="6" t="s">
        <v>54</v>
      </c>
      <c r="I2901" s="6" t="s">
        <v>93</v>
      </c>
      <c r="J2901" s="6"/>
      <c r="K2901" s="6"/>
      <c r="L2901" s="6" t="s">
        <v>3814</v>
      </c>
      <c r="M2901" s="6"/>
      <c r="N2901" s="6" t="s">
        <v>3815</v>
      </c>
      <c r="O2901" s="6" t="str">
        <f>HYPERLINK("https://ceds.ed.gov/cedselementdetails.aspx?termid=6375")</f>
        <v>https://ceds.ed.gov/cedselementdetails.aspx?termid=6375</v>
      </c>
      <c r="P2901" s="6" t="str">
        <f>HYPERLINK("https://ceds.ed.gov/elementComment.aspx?elementName=Learning Standard Item Association Origin Node URI &amp;elementID=6375", "Click here to submit comment")</f>
        <v>Click here to submit comment</v>
      </c>
    </row>
    <row r="2902" spans="1:16" ht="135">
      <c r="A2902" s="6" t="s">
        <v>6911</v>
      </c>
      <c r="B2902" s="6" t="s">
        <v>6856</v>
      </c>
      <c r="C2902" s="6" t="s">
        <v>6916</v>
      </c>
      <c r="D2902" s="6" t="s">
        <v>3822</v>
      </c>
      <c r="E2902" s="6" t="s">
        <v>3823</v>
      </c>
      <c r="F2902" s="6" t="s">
        <v>13</v>
      </c>
      <c r="G2902" s="6"/>
      <c r="H2902" s="6" t="s">
        <v>54</v>
      </c>
      <c r="I2902" s="6" t="s">
        <v>3824</v>
      </c>
      <c r="J2902" s="6"/>
      <c r="K2902" s="6" t="s">
        <v>3825</v>
      </c>
      <c r="L2902" s="6" t="s">
        <v>3826</v>
      </c>
      <c r="M2902" s="6"/>
      <c r="N2902" s="6" t="s">
        <v>3827</v>
      </c>
      <c r="O2902" s="6" t="str">
        <f>HYPERLINK("https://ceds.ed.gov/cedselementdetails.aspx?termid=6376")</f>
        <v>https://ceds.ed.gov/cedselementdetails.aspx?termid=6376</v>
      </c>
      <c r="P2902" s="6" t="str">
        <f>HYPERLINK("https://ceds.ed.gov/elementComment.aspx?elementName=Learning Standard Item Association Weight &amp;elementID=6376", "Click here to submit comment")</f>
        <v>Click here to submit comment</v>
      </c>
    </row>
    <row r="2903" spans="1:16" ht="120">
      <c r="A2903" s="6" t="s">
        <v>6911</v>
      </c>
      <c r="B2903" s="6" t="s">
        <v>6915</v>
      </c>
      <c r="C2903" s="6"/>
      <c r="D2903" s="6" t="s">
        <v>1743</v>
      </c>
      <c r="E2903" s="6" t="s">
        <v>1744</v>
      </c>
      <c r="F2903" s="6" t="s">
        <v>13</v>
      </c>
      <c r="G2903" s="6"/>
      <c r="H2903" s="6"/>
      <c r="I2903" s="6" t="s">
        <v>93</v>
      </c>
      <c r="J2903" s="6"/>
      <c r="K2903" s="6" t="s">
        <v>1745</v>
      </c>
      <c r="L2903" s="6" t="s">
        <v>1746</v>
      </c>
      <c r="M2903" s="6"/>
      <c r="N2903" s="6" t="s">
        <v>1747</v>
      </c>
      <c r="O2903" s="6" t="str">
        <f>HYPERLINK("https://ceds.ed.gov/cedselementdetails.aspx?termid=5877")</f>
        <v>https://ceds.ed.gov/cedselementdetails.aspx?termid=5877</v>
      </c>
      <c r="P2903" s="6" t="str">
        <f>HYPERLINK("https://ceds.ed.gov/elementComment.aspx?elementName=Competency Set Completion Criteria &amp;elementID=5877", "Click here to submit comment")</f>
        <v>Click here to submit comment</v>
      </c>
    </row>
    <row r="2904" spans="1:16" ht="90">
      <c r="A2904" s="6" t="s">
        <v>6911</v>
      </c>
      <c r="B2904" s="6" t="s">
        <v>6915</v>
      </c>
      <c r="C2904" s="6"/>
      <c r="D2904" s="6" t="s">
        <v>1748</v>
      </c>
      <c r="E2904" s="6" t="s">
        <v>1749</v>
      </c>
      <c r="F2904" s="6" t="s">
        <v>13</v>
      </c>
      <c r="G2904" s="6"/>
      <c r="H2904" s="6"/>
      <c r="I2904" s="6" t="s">
        <v>308</v>
      </c>
      <c r="J2904" s="6"/>
      <c r="K2904" s="6" t="s">
        <v>1750</v>
      </c>
      <c r="L2904" s="6" t="s">
        <v>1751</v>
      </c>
      <c r="M2904" s="6"/>
      <c r="N2904" s="6" t="s">
        <v>1752</v>
      </c>
      <c r="O2904" s="6" t="str">
        <f>HYPERLINK("https://ceds.ed.gov/cedselementdetails.aspx?termid=5878")</f>
        <v>https://ceds.ed.gov/cedselementdetails.aspx?termid=5878</v>
      </c>
      <c r="P2904" s="6" t="str">
        <f>HYPERLINK("https://ceds.ed.gov/elementComment.aspx?elementName=Competency Set Completion Criteria Threshold &amp;elementID=5878", "Click here to submit comment")</f>
        <v>Click here to submit comment</v>
      </c>
    </row>
    <row r="2905" spans="1:16" ht="180">
      <c r="A2905" s="6" t="s">
        <v>6917</v>
      </c>
      <c r="B2905" s="6" t="s">
        <v>6866</v>
      </c>
      <c r="C2905" s="6"/>
      <c r="D2905" s="6" t="s">
        <v>3540</v>
      </c>
      <c r="E2905" s="6" t="s">
        <v>3541</v>
      </c>
      <c r="F2905" s="6" t="s">
        <v>6225</v>
      </c>
      <c r="G2905" s="6"/>
      <c r="H2905" s="6" t="s">
        <v>54</v>
      </c>
      <c r="I2905" s="6"/>
      <c r="J2905" s="6"/>
      <c r="K2905" s="6" t="s">
        <v>3542</v>
      </c>
      <c r="L2905" s="6" t="s">
        <v>3543</v>
      </c>
      <c r="M2905" s="6"/>
      <c r="N2905" s="6" t="s">
        <v>3544</v>
      </c>
      <c r="O2905" s="6" t="str">
        <f>HYPERLINK("https://ceds.ed.gov/cedselementdetails.aspx?termid=6358")</f>
        <v>https://ceds.ed.gov/cedselementdetails.aspx?termid=6358</v>
      </c>
      <c r="P2905" s="6" t="str">
        <f>HYPERLINK("https://ceds.ed.gov/elementComment.aspx?elementName=Learning Resource Access API Type &amp;elementID=6358", "Click here to submit comment")</f>
        <v>Click here to submit comment</v>
      </c>
    </row>
    <row r="2906" spans="1:16" ht="60">
      <c r="A2906" s="6" t="s">
        <v>6917</v>
      </c>
      <c r="B2906" s="6" t="s">
        <v>6866</v>
      </c>
      <c r="C2906" s="6"/>
      <c r="D2906" s="6" t="s">
        <v>3545</v>
      </c>
      <c r="E2906" s="6" t="s">
        <v>3546</v>
      </c>
      <c r="F2906" s="6" t="s">
        <v>6227</v>
      </c>
      <c r="G2906" s="6"/>
      <c r="H2906" s="6" t="s">
        <v>54</v>
      </c>
      <c r="I2906" s="6"/>
      <c r="J2906" s="6"/>
      <c r="K2906" s="6"/>
      <c r="L2906" s="6" t="s">
        <v>3547</v>
      </c>
      <c r="M2906" s="6"/>
      <c r="N2906" s="6" t="s">
        <v>3548</v>
      </c>
      <c r="O2906" s="6" t="str">
        <f>HYPERLINK("https://ceds.ed.gov/cedselementdetails.aspx?termid=6359")</f>
        <v>https://ceds.ed.gov/cedselementdetails.aspx?termid=6359</v>
      </c>
      <c r="P2906" s="6" t="str">
        <f>HYPERLINK("https://ceds.ed.gov/elementComment.aspx?elementName=Learning Resource Access Hazard Type &amp;elementID=6359", "Click here to submit comment")</f>
        <v>Click here to submit comment</v>
      </c>
    </row>
    <row r="2907" spans="1:16" ht="105">
      <c r="A2907" s="6" t="s">
        <v>6917</v>
      </c>
      <c r="B2907" s="6" t="s">
        <v>6866</v>
      </c>
      <c r="C2907" s="6"/>
      <c r="D2907" s="6" t="s">
        <v>3549</v>
      </c>
      <c r="E2907" s="6" t="s">
        <v>3550</v>
      </c>
      <c r="F2907" s="6" t="s">
        <v>6228</v>
      </c>
      <c r="G2907" s="6"/>
      <c r="H2907" s="6" t="s">
        <v>54</v>
      </c>
      <c r="I2907" s="6"/>
      <c r="J2907" s="6"/>
      <c r="K2907" s="6" t="s">
        <v>3551</v>
      </c>
      <c r="L2907" s="6" t="s">
        <v>3552</v>
      </c>
      <c r="M2907" s="6"/>
      <c r="N2907" s="6" t="s">
        <v>3553</v>
      </c>
      <c r="O2907" s="6" t="str">
        <f>HYPERLINK("https://ceds.ed.gov/cedselementdetails.aspx?termid=6360")</f>
        <v>https://ceds.ed.gov/cedselementdetails.aspx?termid=6360</v>
      </c>
      <c r="P2907" s="6" t="str">
        <f>HYPERLINK("https://ceds.ed.gov/elementComment.aspx?elementName=Learning Resource Access Mode Type &amp;elementID=6360", "Click here to submit comment")</f>
        <v>Click here to submit comment</v>
      </c>
    </row>
    <row r="2908" spans="1:16" ht="45">
      <c r="A2908" s="6" t="s">
        <v>6917</v>
      </c>
      <c r="B2908" s="6" t="s">
        <v>6866</v>
      </c>
      <c r="C2908" s="6"/>
      <c r="D2908" s="6" t="s">
        <v>3554</v>
      </c>
      <c r="E2908" s="6" t="s">
        <v>3555</v>
      </c>
      <c r="F2908" s="6" t="s">
        <v>13</v>
      </c>
      <c r="G2908" s="6"/>
      <c r="H2908" s="6" t="s">
        <v>54</v>
      </c>
      <c r="I2908" s="6" t="s">
        <v>93</v>
      </c>
      <c r="J2908" s="6"/>
      <c r="K2908" s="6"/>
      <c r="L2908" s="6" t="s">
        <v>3556</v>
      </c>
      <c r="M2908" s="6"/>
      <c r="N2908" s="6" t="s">
        <v>3557</v>
      </c>
      <c r="O2908" s="6" t="str">
        <f>HYPERLINK("https://ceds.ed.gov/cedselementdetails.aspx?termid=6361")</f>
        <v>https://ceds.ed.gov/cedselementdetails.aspx?termid=6361</v>
      </c>
      <c r="P2908" s="6" t="str">
        <f>HYPERLINK("https://ceds.ed.gov/elementComment.aspx?elementName=Learning Resource Adaptation URL &amp;elementID=6361", "Click here to submit comment")</f>
        <v>Click here to submit comment</v>
      </c>
    </row>
    <row r="2909" spans="1:16" ht="30">
      <c r="A2909" s="6" t="s">
        <v>6917</v>
      </c>
      <c r="B2909" s="6" t="s">
        <v>6866</v>
      </c>
      <c r="C2909" s="6"/>
      <c r="D2909" s="6" t="s">
        <v>3558</v>
      </c>
      <c r="E2909" s="6" t="s">
        <v>3559</v>
      </c>
      <c r="F2909" s="6" t="s">
        <v>13</v>
      </c>
      <c r="G2909" s="6"/>
      <c r="H2909" s="6" t="s">
        <v>54</v>
      </c>
      <c r="I2909" s="6" t="s">
        <v>93</v>
      </c>
      <c r="J2909" s="6"/>
      <c r="K2909" s="6"/>
      <c r="L2909" s="6" t="s">
        <v>3560</v>
      </c>
      <c r="M2909" s="6"/>
      <c r="N2909" s="6" t="s">
        <v>3561</v>
      </c>
      <c r="O2909" s="6" t="str">
        <f>HYPERLINK("https://ceds.ed.gov/cedselementdetails.aspx?termid=6367")</f>
        <v>https://ceds.ed.gov/cedselementdetails.aspx?termid=6367</v>
      </c>
      <c r="P2909" s="6" t="str">
        <f>HYPERLINK("https://ceds.ed.gov/elementComment.aspx?elementName=Learning Resource Adapted From URL &amp;elementID=6367", "Click here to submit comment")</f>
        <v>Click here to submit comment</v>
      </c>
    </row>
    <row r="2910" spans="1:16" ht="75">
      <c r="A2910" s="6" t="s">
        <v>6917</v>
      </c>
      <c r="B2910" s="6" t="s">
        <v>6866</v>
      </c>
      <c r="C2910" s="6"/>
      <c r="D2910" s="6" t="s">
        <v>3562</v>
      </c>
      <c r="E2910" s="6" t="s">
        <v>3563</v>
      </c>
      <c r="F2910" s="6" t="s">
        <v>5963</v>
      </c>
      <c r="G2910" s="6"/>
      <c r="H2910" s="6" t="s">
        <v>54</v>
      </c>
      <c r="I2910" s="6"/>
      <c r="J2910" s="6"/>
      <c r="K2910" s="6" t="s">
        <v>3564</v>
      </c>
      <c r="L2910" s="6" t="s">
        <v>3565</v>
      </c>
      <c r="M2910" s="6"/>
      <c r="N2910" s="6" t="s">
        <v>3566</v>
      </c>
      <c r="O2910" s="6" t="str">
        <f>HYPERLINK("https://ceds.ed.gov/cedselementdetails.aspx?termid=6362")</f>
        <v>https://ceds.ed.gov/cedselementdetails.aspx?termid=6362</v>
      </c>
      <c r="P2910" s="6" t="str">
        <f>HYPERLINK("https://ceds.ed.gov/elementComment.aspx?elementName=Learning Resource Assistive Technologies Compatible Indicator &amp;elementID=6362", "Click here to submit comment")</f>
        <v>Click here to submit comment</v>
      </c>
    </row>
    <row r="2911" spans="1:16" ht="45">
      <c r="A2911" s="6" t="s">
        <v>6917</v>
      </c>
      <c r="B2911" s="6" t="s">
        <v>6866</v>
      </c>
      <c r="C2911" s="6"/>
      <c r="D2911" s="6" t="s">
        <v>3567</v>
      </c>
      <c r="E2911" s="6" t="s">
        <v>3568</v>
      </c>
      <c r="F2911" s="6" t="s">
        <v>13</v>
      </c>
      <c r="G2911" s="6"/>
      <c r="H2911" s="6" t="s">
        <v>66</v>
      </c>
      <c r="I2911" s="6" t="s">
        <v>93</v>
      </c>
      <c r="J2911" s="6" t="s">
        <v>3569</v>
      </c>
      <c r="K2911" s="6" t="s">
        <v>3570</v>
      </c>
      <c r="L2911" s="6" t="s">
        <v>3571</v>
      </c>
      <c r="M2911" s="6"/>
      <c r="N2911" s="6" t="s">
        <v>3572</v>
      </c>
      <c r="O2911" s="6" t="str">
        <f>HYPERLINK("https://ceds.ed.gov/cedselementdetails.aspx?termid=5923")</f>
        <v>https://ceds.ed.gov/cedselementdetails.aspx?termid=5923</v>
      </c>
      <c r="P2911" s="6" t="str">
        <f>HYPERLINK("https://ceds.ed.gov/elementComment.aspx?elementName=Learning Resource Based On URL &amp;elementID=5923", "Click here to submit comment")</f>
        <v>Click here to submit comment</v>
      </c>
    </row>
    <row r="2912" spans="1:16" ht="135">
      <c r="A2912" s="6" t="s">
        <v>6917</v>
      </c>
      <c r="B2912" s="6" t="s">
        <v>6866</v>
      </c>
      <c r="C2912" s="6"/>
      <c r="D2912" s="6" t="s">
        <v>3573</v>
      </c>
      <c r="E2912" s="6" t="s">
        <v>3574</v>
      </c>
      <c r="F2912" s="6" t="s">
        <v>6229</v>
      </c>
      <c r="G2912" s="6"/>
      <c r="H2912" s="6" t="s">
        <v>54</v>
      </c>
      <c r="I2912" s="6"/>
      <c r="J2912" s="6"/>
      <c r="K2912" s="6"/>
      <c r="L2912" s="6" t="s">
        <v>3575</v>
      </c>
      <c r="M2912" s="6"/>
      <c r="N2912" s="6" t="s">
        <v>3576</v>
      </c>
      <c r="O2912" s="6" t="str">
        <f>HYPERLINK("https://ceds.ed.gov/cedselementdetails.aspx?termid=6363")</f>
        <v>https://ceds.ed.gov/cedselementdetails.aspx?termid=6363</v>
      </c>
      <c r="P2912" s="6" t="str">
        <f>HYPERLINK("https://ceds.ed.gov/elementComment.aspx?elementName=Learning Resource Book Format Type &amp;elementID=6363", "Click here to submit comment")</f>
        <v>Click here to submit comment</v>
      </c>
    </row>
    <row r="2913" spans="1:16" ht="120">
      <c r="A2913" s="6" t="s">
        <v>6917</v>
      </c>
      <c r="B2913" s="6" t="s">
        <v>6866</v>
      </c>
      <c r="C2913" s="6"/>
      <c r="D2913" s="6" t="s">
        <v>3577</v>
      </c>
      <c r="E2913" s="6" t="s">
        <v>3578</v>
      </c>
      <c r="F2913" s="6" t="s">
        <v>6230</v>
      </c>
      <c r="G2913" s="6"/>
      <c r="H2913" s="6" t="s">
        <v>66</v>
      </c>
      <c r="I2913" s="6"/>
      <c r="J2913" s="6" t="s">
        <v>2645</v>
      </c>
      <c r="K2913" s="6" t="s">
        <v>3579</v>
      </c>
      <c r="L2913" s="6" t="s">
        <v>3580</v>
      </c>
      <c r="M2913" s="6"/>
      <c r="N2913" s="6" t="s">
        <v>3581</v>
      </c>
      <c r="O2913" s="6" t="str">
        <f>HYPERLINK("https://ceds.ed.gov/cedselementdetails.aspx?termid=5879")</f>
        <v>https://ceds.ed.gov/cedselementdetails.aspx?termid=5879</v>
      </c>
      <c r="P2913" s="6" t="str">
        <f>HYPERLINK("https://ceds.ed.gov/elementComment.aspx?elementName=Learning Resource Competency Alignment Type &amp;elementID=5879", "Click here to submit comment")</f>
        <v>Click here to submit comment</v>
      </c>
    </row>
    <row r="2914" spans="1:16" ht="45">
      <c r="A2914" s="6" t="s">
        <v>6917</v>
      </c>
      <c r="B2914" s="6" t="s">
        <v>6866</v>
      </c>
      <c r="C2914" s="6"/>
      <c r="D2914" s="6" t="s">
        <v>3582</v>
      </c>
      <c r="E2914" s="6" t="s">
        <v>3583</v>
      </c>
      <c r="F2914" s="6" t="s">
        <v>13</v>
      </c>
      <c r="G2914" s="6"/>
      <c r="H2914" s="6"/>
      <c r="I2914" s="6" t="s">
        <v>93</v>
      </c>
      <c r="J2914" s="6"/>
      <c r="K2914" s="6"/>
      <c r="L2914" s="6" t="s">
        <v>3584</v>
      </c>
      <c r="M2914" s="6"/>
      <c r="N2914" s="6" t="s">
        <v>3585</v>
      </c>
      <c r="O2914" s="6" t="str">
        <f>HYPERLINK("https://ceds.ed.gov/cedselementdetails.aspx?termid=6159")</f>
        <v>https://ceds.ed.gov/cedselementdetails.aspx?termid=6159</v>
      </c>
      <c r="P2914" s="6" t="str">
        <f>HYPERLINK("https://ceds.ed.gov/elementComment.aspx?elementName=Learning Resource Concept Keyword &amp;elementID=6159", "Click here to submit comment")</f>
        <v>Click here to submit comment</v>
      </c>
    </row>
    <row r="2915" spans="1:16" ht="90">
      <c r="A2915" s="6" t="s">
        <v>6917</v>
      </c>
      <c r="B2915" s="6" t="s">
        <v>6866</v>
      </c>
      <c r="C2915" s="6"/>
      <c r="D2915" s="6" t="s">
        <v>3586</v>
      </c>
      <c r="E2915" s="6" t="s">
        <v>3587</v>
      </c>
      <c r="F2915" s="6" t="s">
        <v>6232</v>
      </c>
      <c r="G2915" s="6"/>
      <c r="H2915" s="6" t="s">
        <v>54</v>
      </c>
      <c r="I2915" s="6"/>
      <c r="J2915" s="6"/>
      <c r="K2915" s="6"/>
      <c r="L2915" s="6" t="s">
        <v>3588</v>
      </c>
      <c r="M2915" s="6"/>
      <c r="N2915" s="6" t="s">
        <v>3589</v>
      </c>
      <c r="O2915" s="6" t="str">
        <f>HYPERLINK("https://ceds.ed.gov/cedselementdetails.aspx?termid=6364")</f>
        <v>https://ceds.ed.gov/cedselementdetails.aspx?termid=6364</v>
      </c>
      <c r="P2915" s="6" t="str">
        <f>HYPERLINK("https://ceds.ed.gov/elementComment.aspx?elementName=Learning Resource Control Flexibility Type &amp;elementID=6364", "Click here to submit comment")</f>
        <v>Click here to submit comment</v>
      </c>
    </row>
    <row r="2916" spans="1:16" ht="45">
      <c r="A2916" s="6" t="s">
        <v>6917</v>
      </c>
      <c r="B2916" s="6" t="s">
        <v>6866</v>
      </c>
      <c r="C2916" s="6"/>
      <c r="D2916" s="6" t="s">
        <v>3590</v>
      </c>
      <c r="E2916" s="6" t="s">
        <v>3591</v>
      </c>
      <c r="F2916" s="6" t="s">
        <v>13</v>
      </c>
      <c r="G2916" s="6"/>
      <c r="H2916" s="6"/>
      <c r="I2916" s="6" t="s">
        <v>106</v>
      </c>
      <c r="J2916" s="6"/>
      <c r="K2916" s="6"/>
      <c r="L2916" s="6" t="s">
        <v>3592</v>
      </c>
      <c r="M2916" s="6"/>
      <c r="N2916" s="6" t="s">
        <v>3593</v>
      </c>
      <c r="O2916" s="6" t="str">
        <f>HYPERLINK("https://ceds.ed.gov/cedselementdetails.aspx?termid=6157")</f>
        <v>https://ceds.ed.gov/cedselementdetails.aspx?termid=6157</v>
      </c>
      <c r="P2916" s="6" t="str">
        <f>HYPERLINK("https://ceds.ed.gov/elementComment.aspx?elementName=Learning Resource Copyright Holder Name &amp;elementID=6157", "Click here to submit comment")</f>
        <v>Click here to submit comment</v>
      </c>
    </row>
    <row r="2917" spans="1:16" ht="30">
      <c r="A2917" s="6" t="s">
        <v>6917</v>
      </c>
      <c r="B2917" s="6" t="s">
        <v>6866</v>
      </c>
      <c r="C2917" s="6"/>
      <c r="D2917" s="6" t="s">
        <v>3594</v>
      </c>
      <c r="E2917" s="6" t="s">
        <v>3595</v>
      </c>
      <c r="F2917" s="6" t="s">
        <v>13</v>
      </c>
      <c r="G2917" s="6"/>
      <c r="H2917" s="6"/>
      <c r="I2917" s="6" t="s">
        <v>1736</v>
      </c>
      <c r="J2917" s="6"/>
      <c r="K2917" s="6"/>
      <c r="L2917" s="6" t="s">
        <v>3596</v>
      </c>
      <c r="M2917" s="6"/>
      <c r="N2917" s="6" t="s">
        <v>3597</v>
      </c>
      <c r="O2917" s="6" t="str">
        <f>HYPERLINK("https://ceds.ed.gov/cedselementdetails.aspx?termid=6158")</f>
        <v>https://ceds.ed.gov/cedselementdetails.aspx?termid=6158</v>
      </c>
      <c r="P2917" s="6" t="str">
        <f>HYPERLINK("https://ceds.ed.gov/elementComment.aspx?elementName=Learning Resource Copyright Year &amp;elementID=6158", "Click here to submit comment")</f>
        <v>Click here to submit comment</v>
      </c>
    </row>
    <row r="2918" spans="1:16" ht="30">
      <c r="A2918" s="6" t="s">
        <v>6917</v>
      </c>
      <c r="B2918" s="6" t="s">
        <v>6866</v>
      </c>
      <c r="C2918" s="6"/>
      <c r="D2918" s="6" t="s">
        <v>3598</v>
      </c>
      <c r="E2918" s="6" t="s">
        <v>3599</v>
      </c>
      <c r="F2918" s="6" t="s">
        <v>13</v>
      </c>
      <c r="G2918" s="6"/>
      <c r="H2918" s="6"/>
      <c r="I2918" s="6" t="s">
        <v>106</v>
      </c>
      <c r="J2918" s="6"/>
      <c r="K2918" s="6"/>
      <c r="L2918" s="6" t="s">
        <v>3600</v>
      </c>
      <c r="M2918" s="6"/>
      <c r="N2918" s="6" t="s">
        <v>3601</v>
      </c>
      <c r="O2918" s="6" t="str">
        <f>HYPERLINK("https://ceds.ed.gov/cedselementdetails.aspx?termid=5918")</f>
        <v>https://ceds.ed.gov/cedselementdetails.aspx?termid=5918</v>
      </c>
      <c r="P2918" s="6" t="str">
        <f>HYPERLINK("https://ceds.ed.gov/elementComment.aspx?elementName=Learning Resource Creator &amp;elementID=5918", "Click here to submit comment")</f>
        <v>Click here to submit comment</v>
      </c>
    </row>
    <row r="2919" spans="1:16" ht="30">
      <c r="A2919" s="6" t="s">
        <v>6917</v>
      </c>
      <c r="B2919" s="6" t="s">
        <v>6866</v>
      </c>
      <c r="C2919" s="6"/>
      <c r="D2919" s="6" t="s">
        <v>3602</v>
      </c>
      <c r="E2919" s="6" t="s">
        <v>3603</v>
      </c>
      <c r="F2919" s="6" t="s">
        <v>13</v>
      </c>
      <c r="G2919" s="6"/>
      <c r="H2919" s="6"/>
      <c r="I2919" s="6" t="s">
        <v>73</v>
      </c>
      <c r="J2919" s="6"/>
      <c r="K2919" s="6"/>
      <c r="L2919" s="6" t="s">
        <v>3604</v>
      </c>
      <c r="M2919" s="6"/>
      <c r="N2919" s="6" t="s">
        <v>3605</v>
      </c>
      <c r="O2919" s="6" t="str">
        <f>HYPERLINK("https://ceds.ed.gov/cedselementdetails.aspx?termid=5916")</f>
        <v>https://ceds.ed.gov/cedselementdetails.aspx?termid=5916</v>
      </c>
      <c r="P2919" s="6" t="str">
        <f>HYPERLINK("https://ceds.ed.gov/elementComment.aspx?elementName=Learning Resource Date Created &amp;elementID=5916", "Click here to submit comment")</f>
        <v>Click here to submit comment</v>
      </c>
    </row>
    <row r="2920" spans="1:16" ht="30">
      <c r="A2920" s="6" t="s">
        <v>6917</v>
      </c>
      <c r="B2920" s="6" t="s">
        <v>6866</v>
      </c>
      <c r="C2920" s="6"/>
      <c r="D2920" s="6" t="s">
        <v>3606</v>
      </c>
      <c r="E2920" s="6" t="s">
        <v>3607</v>
      </c>
      <c r="F2920" s="6" t="s">
        <v>13</v>
      </c>
      <c r="G2920" s="6"/>
      <c r="H2920" s="6"/>
      <c r="I2920" s="6" t="s">
        <v>93</v>
      </c>
      <c r="J2920" s="6"/>
      <c r="K2920" s="6"/>
      <c r="L2920" s="6" t="s">
        <v>3608</v>
      </c>
      <c r="M2920" s="6"/>
      <c r="N2920" s="6" t="s">
        <v>3609</v>
      </c>
      <c r="O2920" s="6" t="str">
        <f>HYPERLINK("https://ceds.ed.gov/cedselementdetails.aspx?termid=6156")</f>
        <v>https://ceds.ed.gov/cedselementdetails.aspx?termid=6156</v>
      </c>
      <c r="P2920" s="6" t="str">
        <f>HYPERLINK("https://ceds.ed.gov/elementComment.aspx?elementName=Learning Resource Description &amp;elementID=6156", "Click here to submit comment")</f>
        <v>Click here to submit comment</v>
      </c>
    </row>
    <row r="2921" spans="1:16" ht="135">
      <c r="A2921" s="6" t="s">
        <v>6917</v>
      </c>
      <c r="B2921" s="6" t="s">
        <v>6866</v>
      </c>
      <c r="C2921" s="6"/>
      <c r="D2921" s="6" t="s">
        <v>3610</v>
      </c>
      <c r="E2921" s="6" t="s">
        <v>3611</v>
      </c>
      <c r="F2921" s="6" t="s">
        <v>3612</v>
      </c>
      <c r="G2921" s="6"/>
      <c r="H2921" s="6" t="s">
        <v>54</v>
      </c>
      <c r="I2921" s="6"/>
      <c r="J2921" s="6"/>
      <c r="K2921" s="6"/>
      <c r="L2921" s="6" t="s">
        <v>3613</v>
      </c>
      <c r="M2921" s="6"/>
      <c r="N2921" s="6" t="s">
        <v>3614</v>
      </c>
      <c r="O2921" s="6" t="str">
        <f>HYPERLINK("https://ceds.ed.gov/cedselementdetails.aspx?termid=6365")</f>
        <v>https://ceds.ed.gov/cedselementdetails.aspx?termid=6365</v>
      </c>
      <c r="P2921" s="6" t="str">
        <f>HYPERLINK("https://ceds.ed.gov/elementComment.aspx?elementName=Learning Resource Digital Media Sub Type &amp;elementID=6365", "Click here to submit comment")</f>
        <v>Click here to submit comment</v>
      </c>
    </row>
    <row r="2922" spans="1:16" ht="150">
      <c r="A2922" s="6" t="s">
        <v>6917</v>
      </c>
      <c r="B2922" s="6" t="s">
        <v>6866</v>
      </c>
      <c r="C2922" s="6"/>
      <c r="D2922" s="6" t="s">
        <v>3615</v>
      </c>
      <c r="E2922" s="6" t="s">
        <v>3616</v>
      </c>
      <c r="F2922" s="6" t="s">
        <v>6233</v>
      </c>
      <c r="G2922" s="6"/>
      <c r="H2922" s="6" t="s">
        <v>54</v>
      </c>
      <c r="I2922" s="6"/>
      <c r="J2922" s="6"/>
      <c r="K2922" s="6"/>
      <c r="L2922" s="6" t="s">
        <v>3617</v>
      </c>
      <c r="M2922" s="6"/>
      <c r="N2922" s="6" t="s">
        <v>3618</v>
      </c>
      <c r="O2922" s="6" t="str">
        <f>HYPERLINK("https://ceds.ed.gov/cedselementdetails.aspx?termid=6366")</f>
        <v>https://ceds.ed.gov/cedselementdetails.aspx?termid=6366</v>
      </c>
      <c r="P2922" s="6" t="str">
        <f>HYPERLINK("https://ceds.ed.gov/elementComment.aspx?elementName=Learning Resource Digital Media Type &amp;elementID=6366", "Click here to submit comment")</f>
        <v>Click here to submit comment</v>
      </c>
    </row>
    <row r="2923" spans="1:16" ht="409.5">
      <c r="A2923" s="6" t="s">
        <v>6917</v>
      </c>
      <c r="B2923" s="6" t="s">
        <v>6866</v>
      </c>
      <c r="C2923" s="6"/>
      <c r="D2923" s="6" t="s">
        <v>3619</v>
      </c>
      <c r="E2923" s="6" t="s">
        <v>3620</v>
      </c>
      <c r="F2923" s="13" t="s">
        <v>6921</v>
      </c>
      <c r="G2923" s="6"/>
      <c r="H2923" s="6" t="s">
        <v>66</v>
      </c>
      <c r="I2923" s="6"/>
      <c r="J2923" s="6" t="s">
        <v>3621</v>
      </c>
      <c r="K2923" s="6"/>
      <c r="L2923" s="6" t="s">
        <v>3622</v>
      </c>
      <c r="M2923" s="6"/>
      <c r="N2923" s="6" t="s">
        <v>3623</v>
      </c>
      <c r="O2923" s="6" t="str">
        <f>HYPERLINK("https://ceds.ed.gov/cedselementdetails.aspx?termid=6212")</f>
        <v>https://ceds.ed.gov/cedselementdetails.aspx?termid=6212</v>
      </c>
      <c r="P2923" s="6" t="str">
        <f>HYPERLINK("https://ceds.ed.gov/elementComment.aspx?elementName=Learning Resource Education Level  &amp;elementID=6212", "Click here to submit comment")</f>
        <v>Click here to submit comment</v>
      </c>
    </row>
    <row r="2924" spans="1:16" ht="120">
      <c r="A2924" s="6" t="s">
        <v>6917</v>
      </c>
      <c r="B2924" s="6" t="s">
        <v>6866</v>
      </c>
      <c r="C2924" s="6"/>
      <c r="D2924" s="6" t="s">
        <v>3624</v>
      </c>
      <c r="E2924" s="6" t="s">
        <v>3625</v>
      </c>
      <c r="F2924" s="7" t="s">
        <v>6565</v>
      </c>
      <c r="G2924" s="6"/>
      <c r="H2924" s="6" t="s">
        <v>66</v>
      </c>
      <c r="I2924" s="6"/>
      <c r="J2924" s="6" t="s">
        <v>3626</v>
      </c>
      <c r="K2924" s="6"/>
      <c r="L2924" s="6" t="s">
        <v>3627</v>
      </c>
      <c r="M2924" s="6"/>
      <c r="N2924" s="6" t="s">
        <v>3628</v>
      </c>
      <c r="O2924" s="6" t="str">
        <f>HYPERLINK("https://ceds.ed.gov/cedselementdetails.aspx?termid=6005")</f>
        <v>https://ceds.ed.gov/cedselementdetails.aspx?termid=6005</v>
      </c>
      <c r="P2924" s="6" t="str">
        <f>HYPERLINK("https://ceds.ed.gov/elementComment.aspx?elementName=Learning Resource Educational Use &amp;elementID=6005", "Click here to submit comment")</f>
        <v>Click here to submit comment</v>
      </c>
    </row>
    <row r="2925" spans="1:16" ht="150">
      <c r="A2925" s="6" t="s">
        <v>6917</v>
      </c>
      <c r="B2925" s="6" t="s">
        <v>6866</v>
      </c>
      <c r="C2925" s="6"/>
      <c r="D2925" s="6" t="s">
        <v>3629</v>
      </c>
      <c r="E2925" s="6" t="s">
        <v>3630</v>
      </c>
      <c r="F2925" s="6" t="s">
        <v>6235</v>
      </c>
      <c r="G2925" s="6"/>
      <c r="H2925" s="6"/>
      <c r="I2925" s="6"/>
      <c r="J2925" s="6"/>
      <c r="K2925" s="6"/>
      <c r="L2925" s="6" t="s">
        <v>3631</v>
      </c>
      <c r="M2925" s="6"/>
      <c r="N2925" s="6" t="s">
        <v>3632</v>
      </c>
      <c r="O2925" s="6" t="str">
        <f>HYPERLINK("https://ceds.ed.gov/cedselementdetails.aspx?termid=5924")</f>
        <v>https://ceds.ed.gov/cedselementdetails.aspx?termid=5924</v>
      </c>
      <c r="P2925" s="6" t="str">
        <f>HYPERLINK("https://ceds.ed.gov/elementComment.aspx?elementName=Learning Resource Intended End User Role &amp;elementID=5924", "Click here to submit comment")</f>
        <v>Click here to submit comment</v>
      </c>
    </row>
    <row r="2926" spans="1:16" ht="60">
      <c r="A2926" s="6" t="s">
        <v>6917</v>
      </c>
      <c r="B2926" s="6" t="s">
        <v>6866</v>
      </c>
      <c r="C2926" s="6"/>
      <c r="D2926" s="6" t="s">
        <v>3633</v>
      </c>
      <c r="E2926" s="6" t="s">
        <v>3634</v>
      </c>
      <c r="F2926" s="6" t="s">
        <v>6236</v>
      </c>
      <c r="G2926" s="6"/>
      <c r="H2926" s="6"/>
      <c r="I2926" s="6"/>
      <c r="J2926" s="6"/>
      <c r="K2926" s="6"/>
      <c r="L2926" s="6" t="s">
        <v>3635</v>
      </c>
      <c r="M2926" s="6"/>
      <c r="N2926" s="6" t="s">
        <v>3636</v>
      </c>
      <c r="O2926" s="6" t="str">
        <f>HYPERLINK("https://ceds.ed.gov/cedselementdetails.aspx?termid=5928")</f>
        <v>https://ceds.ed.gov/cedselementdetails.aspx?termid=5928</v>
      </c>
      <c r="P2926" s="6" t="str">
        <f>HYPERLINK("https://ceds.ed.gov/elementComment.aspx?elementName=Learning Resource Interactivity Type &amp;elementID=5928", "Click here to submit comment")</f>
        <v>Click here to submit comment</v>
      </c>
    </row>
    <row r="2927" spans="1:16" ht="150">
      <c r="A2927" s="6" t="s">
        <v>6917</v>
      </c>
      <c r="B2927" s="6" t="s">
        <v>6866</v>
      </c>
      <c r="C2927" s="6"/>
      <c r="D2927" s="6" t="s">
        <v>3637</v>
      </c>
      <c r="E2927" s="6" t="s">
        <v>3638</v>
      </c>
      <c r="F2927" s="5" t="s">
        <v>939</v>
      </c>
      <c r="G2927" s="6"/>
      <c r="H2927" s="6" t="s">
        <v>66</v>
      </c>
      <c r="I2927" s="6"/>
      <c r="J2927" s="6" t="s">
        <v>3639</v>
      </c>
      <c r="K2927" s="6" t="s">
        <v>3640</v>
      </c>
      <c r="L2927" s="6" t="s">
        <v>3641</v>
      </c>
      <c r="M2927" s="6"/>
      <c r="N2927" s="6" t="s">
        <v>3642</v>
      </c>
      <c r="O2927" s="6" t="str">
        <f>HYPERLINK("https://ceds.ed.gov/cedselementdetails.aspx?termid=5920")</f>
        <v>https://ceds.ed.gov/cedselementdetails.aspx?termid=5920</v>
      </c>
      <c r="P2927" s="6" t="str">
        <f>HYPERLINK("https://ceds.ed.gov/elementComment.aspx?elementName=Learning Resource Language &amp;elementID=5920", "Click here to submit comment")</f>
        <v>Click here to submit comment</v>
      </c>
    </row>
    <row r="2928" spans="1:16" ht="315">
      <c r="A2928" s="6" t="s">
        <v>6917</v>
      </c>
      <c r="B2928" s="6" t="s">
        <v>6866</v>
      </c>
      <c r="C2928" s="6"/>
      <c r="D2928" s="6" t="s">
        <v>3643</v>
      </c>
      <c r="E2928" s="6" t="s">
        <v>3644</v>
      </c>
      <c r="F2928" s="6" t="s">
        <v>6237</v>
      </c>
      <c r="G2928" s="6"/>
      <c r="H2928" s="6" t="s">
        <v>54</v>
      </c>
      <c r="I2928" s="6"/>
      <c r="J2928" s="6"/>
      <c r="K2928" s="6" t="s">
        <v>3645</v>
      </c>
      <c r="L2928" s="6" t="s">
        <v>3646</v>
      </c>
      <c r="M2928" s="6"/>
      <c r="N2928" s="6" t="s">
        <v>3647</v>
      </c>
      <c r="O2928" s="6" t="str">
        <f>HYPERLINK("https://ceds.ed.gov/cedselementdetails.aspx?termid=6368")</f>
        <v>https://ceds.ed.gov/cedselementdetails.aspx?termid=6368</v>
      </c>
      <c r="P2928" s="6" t="str">
        <f>HYPERLINK("https://ceds.ed.gov/elementComment.aspx?elementName=Learning Resource Media Feature Type &amp;elementID=6368", "Click here to submit comment")</f>
        <v>Click here to submit comment</v>
      </c>
    </row>
    <row r="2929" spans="1:16" ht="409.5">
      <c r="A2929" s="6" t="s">
        <v>6917</v>
      </c>
      <c r="B2929" s="6" t="s">
        <v>6866</v>
      </c>
      <c r="C2929" s="6"/>
      <c r="D2929" s="6" t="s">
        <v>3661</v>
      </c>
      <c r="E2929" s="6" t="s">
        <v>3662</v>
      </c>
      <c r="F2929" s="7" t="s">
        <v>6566</v>
      </c>
      <c r="G2929" s="6"/>
      <c r="H2929" s="6" t="s">
        <v>54</v>
      </c>
      <c r="I2929" s="6"/>
      <c r="J2929" s="6"/>
      <c r="K2929" s="6"/>
      <c r="L2929" s="6" t="s">
        <v>3663</v>
      </c>
      <c r="M2929" s="6"/>
      <c r="N2929" s="6" t="s">
        <v>3664</v>
      </c>
      <c r="O2929" s="6" t="str">
        <f>HYPERLINK("https://ceds.ed.gov/cedselementdetails.aspx?termid=6370")</f>
        <v>https://ceds.ed.gov/cedselementdetails.aspx?termid=6370</v>
      </c>
      <c r="P2929" s="6" t="str">
        <f>HYPERLINK("https://ceds.ed.gov/elementComment.aspx?elementName=Learning Resource Physical Media Type &amp;elementID=6370", "Click here to submit comment")</f>
        <v>Click here to submit comment</v>
      </c>
    </row>
    <row r="2930" spans="1:16" ht="30">
      <c r="A2930" s="6" t="s">
        <v>6917</v>
      </c>
      <c r="B2930" s="6" t="s">
        <v>6866</v>
      </c>
      <c r="C2930" s="6"/>
      <c r="D2930" s="6" t="s">
        <v>3669</v>
      </c>
      <c r="E2930" s="6" t="s">
        <v>3670</v>
      </c>
      <c r="F2930" s="6" t="s">
        <v>13</v>
      </c>
      <c r="G2930" s="6"/>
      <c r="H2930" s="6"/>
      <c r="I2930" s="6" t="s">
        <v>106</v>
      </c>
      <c r="J2930" s="6"/>
      <c r="K2930" s="6"/>
      <c r="L2930" s="6" t="s">
        <v>3671</v>
      </c>
      <c r="M2930" s="6"/>
      <c r="N2930" s="6" t="s">
        <v>3672</v>
      </c>
      <c r="O2930" s="6" t="str">
        <f>HYPERLINK("https://ceds.ed.gov/cedselementdetails.aspx?termid=5919")</f>
        <v>https://ceds.ed.gov/cedselementdetails.aspx?termid=5919</v>
      </c>
      <c r="P2930" s="6" t="str">
        <f>HYPERLINK("https://ceds.ed.gov/elementComment.aspx?elementName=Learning Resource Publisher Name &amp;elementID=5919", "Click here to submit comment")</f>
        <v>Click here to submit comment</v>
      </c>
    </row>
    <row r="2931" spans="1:16" ht="60">
      <c r="A2931" s="6" t="s">
        <v>6917</v>
      </c>
      <c r="B2931" s="6" t="s">
        <v>6866</v>
      </c>
      <c r="C2931" s="6"/>
      <c r="D2931" s="6" t="s">
        <v>3673</v>
      </c>
      <c r="E2931" s="6" t="s">
        <v>3674</v>
      </c>
      <c r="F2931" s="6" t="s">
        <v>13</v>
      </c>
      <c r="G2931" s="6"/>
      <c r="H2931" s="6"/>
      <c r="I2931" s="6" t="s">
        <v>100</v>
      </c>
      <c r="J2931" s="6"/>
      <c r="K2931" s="6" t="s">
        <v>3675</v>
      </c>
      <c r="L2931" s="6" t="s">
        <v>3676</v>
      </c>
      <c r="M2931" s="6"/>
      <c r="N2931" s="6" t="s">
        <v>3677</v>
      </c>
      <c r="O2931" s="6" t="str">
        <f>HYPERLINK("https://ceds.ed.gov/cedselementdetails.aspx?termid=5914")</f>
        <v>https://ceds.ed.gov/cedselementdetails.aspx?termid=5914</v>
      </c>
      <c r="P2931" s="6" t="str">
        <f>HYPERLINK("https://ceds.ed.gov/elementComment.aspx?elementName=Learning Resource Subject Code &amp;elementID=5914", "Click here to submit comment")</f>
        <v>Click here to submit comment</v>
      </c>
    </row>
    <row r="2932" spans="1:16" ht="60">
      <c r="A2932" s="6" t="s">
        <v>6917</v>
      </c>
      <c r="B2932" s="6" t="s">
        <v>6866</v>
      </c>
      <c r="C2932" s="6"/>
      <c r="D2932" s="6" t="s">
        <v>3678</v>
      </c>
      <c r="E2932" s="6" t="s">
        <v>3679</v>
      </c>
      <c r="F2932" s="6" t="s">
        <v>13</v>
      </c>
      <c r="G2932" s="6"/>
      <c r="H2932" s="6"/>
      <c r="I2932" s="6" t="s">
        <v>100</v>
      </c>
      <c r="J2932" s="6"/>
      <c r="K2932" s="6" t="s">
        <v>3680</v>
      </c>
      <c r="L2932" s="6" t="s">
        <v>3681</v>
      </c>
      <c r="M2932" s="6"/>
      <c r="N2932" s="6" t="s">
        <v>3682</v>
      </c>
      <c r="O2932" s="6" t="str">
        <f>HYPERLINK("https://ceds.ed.gov/cedselementdetails.aspx?termid=5915")</f>
        <v>https://ceds.ed.gov/cedselementdetails.aspx?termid=5915</v>
      </c>
      <c r="P2932" s="6" t="str">
        <f>HYPERLINK("https://ceds.ed.gov/elementComment.aspx?elementName=Learning Resource Subject Code System &amp;elementID=5915", "Click here to submit comment")</f>
        <v>Click here to submit comment</v>
      </c>
    </row>
    <row r="2933" spans="1:16" ht="30">
      <c r="A2933" s="6" t="s">
        <v>6917</v>
      </c>
      <c r="B2933" s="6" t="s">
        <v>6866</v>
      </c>
      <c r="C2933" s="6"/>
      <c r="D2933" s="6" t="s">
        <v>3683</v>
      </c>
      <c r="E2933" s="6" t="s">
        <v>3684</v>
      </c>
      <c r="F2933" s="6" t="s">
        <v>13</v>
      </c>
      <c r="G2933" s="6"/>
      <c r="H2933" s="6"/>
      <c r="I2933" s="6" t="s">
        <v>100</v>
      </c>
      <c r="J2933" s="6"/>
      <c r="K2933" s="6"/>
      <c r="L2933" s="6" t="s">
        <v>3685</v>
      </c>
      <c r="M2933" s="6"/>
      <c r="N2933" s="6" t="s">
        <v>3686</v>
      </c>
      <c r="O2933" s="6" t="str">
        <f>HYPERLINK("https://ceds.ed.gov/cedselementdetails.aspx?termid=5913")</f>
        <v>https://ceds.ed.gov/cedselementdetails.aspx?termid=5913</v>
      </c>
      <c r="P2933" s="6" t="str">
        <f>HYPERLINK("https://ceds.ed.gov/elementComment.aspx?elementName=Learning Resource Subject Name &amp;elementID=5913", "Click here to submit comment")</f>
        <v>Click here to submit comment</v>
      </c>
    </row>
    <row r="2934" spans="1:16" ht="45">
      <c r="A2934" s="6" t="s">
        <v>6917</v>
      </c>
      <c r="B2934" s="6" t="s">
        <v>6866</v>
      </c>
      <c r="C2934" s="6"/>
      <c r="D2934" s="6" t="s">
        <v>3687</v>
      </c>
      <c r="E2934" s="6" t="s">
        <v>3688</v>
      </c>
      <c r="F2934" s="6" t="s">
        <v>13</v>
      </c>
      <c r="G2934" s="6"/>
      <c r="H2934" s="6"/>
      <c r="I2934" s="6" t="s">
        <v>100</v>
      </c>
      <c r="J2934" s="6"/>
      <c r="K2934" s="6"/>
      <c r="L2934" s="6" t="s">
        <v>3689</v>
      </c>
      <c r="M2934" s="6"/>
      <c r="N2934" s="6" t="s">
        <v>3690</v>
      </c>
      <c r="O2934" s="6" t="str">
        <f>HYPERLINK("https://ceds.ed.gov/cedselementdetails.aspx?termid=5931")</f>
        <v>https://ceds.ed.gov/cedselementdetails.aspx?termid=5931</v>
      </c>
      <c r="P2934" s="6" t="str">
        <f>HYPERLINK("https://ceds.ed.gov/elementComment.aspx?elementName=Learning Resource Text Complexity System &amp;elementID=5931", "Click here to submit comment")</f>
        <v>Click here to submit comment</v>
      </c>
    </row>
    <row r="2935" spans="1:16" ht="45">
      <c r="A2935" s="6" t="s">
        <v>6917</v>
      </c>
      <c r="B2935" s="6" t="s">
        <v>6866</v>
      </c>
      <c r="C2935" s="6"/>
      <c r="D2935" s="6" t="s">
        <v>3691</v>
      </c>
      <c r="E2935" s="6" t="s">
        <v>3692</v>
      </c>
      <c r="F2935" s="6" t="s">
        <v>13</v>
      </c>
      <c r="G2935" s="6"/>
      <c r="H2935" s="6"/>
      <c r="I2935" s="6" t="s">
        <v>100</v>
      </c>
      <c r="J2935" s="6"/>
      <c r="K2935" s="6"/>
      <c r="L2935" s="6" t="s">
        <v>3693</v>
      </c>
      <c r="M2935" s="6"/>
      <c r="N2935" s="6" t="s">
        <v>3694</v>
      </c>
      <c r="O2935" s="6" t="str">
        <f>HYPERLINK("https://ceds.ed.gov/cedselementdetails.aspx?termid=5930")</f>
        <v>https://ceds.ed.gov/cedselementdetails.aspx?termid=5930</v>
      </c>
      <c r="P2935" s="6" t="str">
        <f>HYPERLINK("https://ceds.ed.gov/elementComment.aspx?elementName=Learning Resource Text Complexity Value &amp;elementID=5930", "Click here to submit comment")</f>
        <v>Click here to submit comment</v>
      </c>
    </row>
    <row r="2936" spans="1:16" ht="60">
      <c r="A2936" s="6" t="s">
        <v>6917</v>
      </c>
      <c r="B2936" s="6" t="s">
        <v>6866</v>
      </c>
      <c r="C2936" s="6"/>
      <c r="D2936" s="6" t="s">
        <v>3695</v>
      </c>
      <c r="E2936" s="6" t="s">
        <v>3696</v>
      </c>
      <c r="F2936" s="6" t="s">
        <v>13</v>
      </c>
      <c r="G2936" s="6"/>
      <c r="H2936" s="6" t="s">
        <v>66</v>
      </c>
      <c r="I2936" s="6" t="s">
        <v>3697</v>
      </c>
      <c r="J2936" s="6" t="s">
        <v>3698</v>
      </c>
      <c r="K2936" s="6"/>
      <c r="L2936" s="6" t="s">
        <v>3699</v>
      </c>
      <c r="M2936" s="6"/>
      <c r="N2936" s="6" t="s">
        <v>3700</v>
      </c>
      <c r="O2936" s="6" t="str">
        <f>HYPERLINK("https://ceds.ed.gov/cedselementdetails.aspx?termid=5925")</f>
        <v>https://ceds.ed.gov/cedselementdetails.aspx?termid=5925</v>
      </c>
      <c r="P2936" s="6" t="str">
        <f>HYPERLINK("https://ceds.ed.gov/elementComment.aspx?elementName=Learning Resource Time Required &amp;elementID=5925", "Click here to submit comment")</f>
        <v>Click here to submit comment</v>
      </c>
    </row>
    <row r="2937" spans="1:16" ht="30">
      <c r="A2937" s="6" t="s">
        <v>6917</v>
      </c>
      <c r="B2937" s="6" t="s">
        <v>6866</v>
      </c>
      <c r="C2937" s="6"/>
      <c r="D2937" s="6" t="s">
        <v>3701</v>
      </c>
      <c r="E2937" s="6" t="s">
        <v>3702</v>
      </c>
      <c r="F2937" s="6" t="s">
        <v>13</v>
      </c>
      <c r="G2937" s="6"/>
      <c r="H2937" s="6"/>
      <c r="I2937" s="6" t="s">
        <v>100</v>
      </c>
      <c r="J2937" s="6"/>
      <c r="K2937" s="6"/>
      <c r="L2937" s="6" t="s">
        <v>3703</v>
      </c>
      <c r="M2937" s="6"/>
      <c r="N2937" s="6" t="s">
        <v>3704</v>
      </c>
      <c r="O2937" s="6" t="str">
        <f>HYPERLINK("https://ceds.ed.gov/cedselementdetails.aspx?termid=5912")</f>
        <v>https://ceds.ed.gov/cedselementdetails.aspx?termid=5912</v>
      </c>
      <c r="P2937" s="6" t="str">
        <f>HYPERLINK("https://ceds.ed.gov/elementComment.aspx?elementName=Learning Resource Title &amp;elementID=5912", "Click here to submit comment")</f>
        <v>Click here to submit comment</v>
      </c>
    </row>
    <row r="2938" spans="1:16" ht="409.5">
      <c r="A2938" s="6" t="s">
        <v>6917</v>
      </c>
      <c r="B2938" s="6" t="s">
        <v>6866</v>
      </c>
      <c r="C2938" s="6"/>
      <c r="D2938" s="6" t="s">
        <v>3705</v>
      </c>
      <c r="E2938" s="6" t="s">
        <v>3706</v>
      </c>
      <c r="F2938" s="7" t="s">
        <v>6567</v>
      </c>
      <c r="G2938" s="6"/>
      <c r="H2938" s="6" t="s">
        <v>66</v>
      </c>
      <c r="I2938" s="6"/>
      <c r="J2938" s="6" t="s">
        <v>3621</v>
      </c>
      <c r="K2938" s="6" t="s">
        <v>3707</v>
      </c>
      <c r="L2938" s="6" t="s">
        <v>3708</v>
      </c>
      <c r="M2938" s="6"/>
      <c r="N2938" s="6" t="s">
        <v>3709</v>
      </c>
      <c r="O2938" s="6" t="str">
        <f>HYPERLINK("https://ceds.ed.gov/cedselementdetails.aspx?termid=5929")</f>
        <v>https://ceds.ed.gov/cedselementdetails.aspx?termid=5929</v>
      </c>
      <c r="P2938" s="6" t="str">
        <f>HYPERLINK("https://ceds.ed.gov/elementComment.aspx?elementName=Learning Resource Type &amp;elementID=5929", "Click here to submit comment")</f>
        <v>Click here to submit comment</v>
      </c>
    </row>
    <row r="2939" spans="1:16" ht="45">
      <c r="A2939" s="6" t="s">
        <v>6917</v>
      </c>
      <c r="B2939" s="6" t="s">
        <v>6866</v>
      </c>
      <c r="C2939" s="6"/>
      <c r="D2939" s="6" t="s">
        <v>3710</v>
      </c>
      <c r="E2939" s="6" t="s">
        <v>3711</v>
      </c>
      <c r="F2939" s="6" t="s">
        <v>13</v>
      </c>
      <c r="G2939" s="6"/>
      <c r="H2939" s="6"/>
      <c r="I2939" s="6" t="s">
        <v>308</v>
      </c>
      <c r="J2939" s="6"/>
      <c r="K2939" s="6"/>
      <c r="L2939" s="6" t="s">
        <v>3712</v>
      </c>
      <c r="M2939" s="6"/>
      <c r="N2939" s="6" t="s">
        <v>3713</v>
      </c>
      <c r="O2939" s="6" t="str">
        <f>HYPERLINK("https://ceds.ed.gov/cedselementdetails.aspx?termid=5927")</f>
        <v>https://ceds.ed.gov/cedselementdetails.aspx?termid=5927</v>
      </c>
      <c r="P2939" s="6" t="str">
        <f>HYPERLINK("https://ceds.ed.gov/elementComment.aspx?elementName=Learning Resource Typical Age Range Maximum &amp;elementID=5927", "Click here to submit comment")</f>
        <v>Click here to submit comment</v>
      </c>
    </row>
    <row r="2940" spans="1:16" ht="45">
      <c r="A2940" s="6" t="s">
        <v>6917</v>
      </c>
      <c r="B2940" s="6" t="s">
        <v>6866</v>
      </c>
      <c r="C2940" s="6"/>
      <c r="D2940" s="6" t="s">
        <v>3714</v>
      </c>
      <c r="E2940" s="6" t="s">
        <v>3715</v>
      </c>
      <c r="F2940" s="6" t="s">
        <v>13</v>
      </c>
      <c r="G2940" s="6"/>
      <c r="H2940" s="6"/>
      <c r="I2940" s="6" t="s">
        <v>308</v>
      </c>
      <c r="J2940" s="6"/>
      <c r="K2940" s="6"/>
      <c r="L2940" s="6" t="s">
        <v>3716</v>
      </c>
      <c r="M2940" s="6"/>
      <c r="N2940" s="6" t="s">
        <v>3717</v>
      </c>
      <c r="O2940" s="6" t="str">
        <f>HYPERLINK("https://ceds.ed.gov/cedselementdetails.aspx?termid=5926")</f>
        <v>https://ceds.ed.gov/cedselementdetails.aspx?termid=5926</v>
      </c>
      <c r="P2940" s="6" t="str">
        <f>HYPERLINK("https://ceds.ed.gov/elementComment.aspx?elementName=Learning Resource Typical Age Range Minimum &amp;elementID=5926", "Click here to submit comment")</f>
        <v>Click here to submit comment</v>
      </c>
    </row>
    <row r="2941" spans="1:16" ht="75">
      <c r="A2941" s="6" t="s">
        <v>6917</v>
      </c>
      <c r="B2941" s="6" t="s">
        <v>6866</v>
      </c>
      <c r="C2941" s="6"/>
      <c r="D2941" s="6" t="s">
        <v>3718</v>
      </c>
      <c r="E2941" s="6" t="s">
        <v>3719</v>
      </c>
      <c r="F2941" s="6" t="s">
        <v>13</v>
      </c>
      <c r="G2941" s="6"/>
      <c r="H2941" s="6"/>
      <c r="I2941" s="6" t="s">
        <v>93</v>
      </c>
      <c r="J2941" s="6"/>
      <c r="K2941" s="6"/>
      <c r="L2941" s="6" t="s">
        <v>3720</v>
      </c>
      <c r="M2941" s="6"/>
      <c r="N2941" s="6" t="s">
        <v>3721</v>
      </c>
      <c r="O2941" s="6" t="str">
        <f>HYPERLINK("https://ceds.ed.gov/cedselementdetails.aspx?termid=5911")</f>
        <v>https://ceds.ed.gov/cedselementdetails.aspx?termid=5911</v>
      </c>
      <c r="P2941" s="6" t="str">
        <f>HYPERLINK("https://ceds.ed.gov/elementComment.aspx?elementName=Learning Resource URL &amp;elementID=5911", "Click here to submit comment")</f>
        <v>Click here to submit comment</v>
      </c>
    </row>
    <row r="2942" spans="1:16" ht="45">
      <c r="A2942" s="6" t="s">
        <v>6917</v>
      </c>
      <c r="B2942" s="6" t="s">
        <v>6866</v>
      </c>
      <c r="C2942" s="6"/>
      <c r="D2942" s="6" t="s">
        <v>3722</v>
      </c>
      <c r="E2942" s="6" t="s">
        <v>3723</v>
      </c>
      <c r="F2942" s="6" t="s">
        <v>13</v>
      </c>
      <c r="G2942" s="6"/>
      <c r="H2942" s="6"/>
      <c r="I2942" s="6" t="s">
        <v>93</v>
      </c>
      <c r="J2942" s="6"/>
      <c r="K2942" s="6" t="s">
        <v>3724</v>
      </c>
      <c r="L2942" s="6" t="s">
        <v>3725</v>
      </c>
      <c r="M2942" s="6"/>
      <c r="N2942" s="6" t="s">
        <v>3726</v>
      </c>
      <c r="O2942" s="6" t="str">
        <f>HYPERLINK("https://ceds.ed.gov/cedselementdetails.aspx?termid=5922")</f>
        <v>https://ceds.ed.gov/cedselementdetails.aspx?termid=5922</v>
      </c>
      <c r="P2942" s="6" t="str">
        <f>HYPERLINK("https://ceds.ed.gov/elementComment.aspx?elementName=Learning Resource Use Rights URL &amp;elementID=5922", "Click here to submit comment")</f>
        <v>Click here to submit comment</v>
      </c>
    </row>
    <row r="2943" spans="1:16" ht="30">
      <c r="A2943" s="6" t="s">
        <v>6917</v>
      </c>
      <c r="B2943" s="6" t="s">
        <v>6866</v>
      </c>
      <c r="C2943" s="6"/>
      <c r="D2943" s="6" t="s">
        <v>3727</v>
      </c>
      <c r="E2943" s="6" t="s">
        <v>3728</v>
      </c>
      <c r="F2943" s="6" t="s">
        <v>13</v>
      </c>
      <c r="G2943" s="6"/>
      <c r="H2943" s="6" t="s">
        <v>66</v>
      </c>
      <c r="I2943" s="6" t="s">
        <v>100</v>
      </c>
      <c r="J2943" s="6" t="s">
        <v>1820</v>
      </c>
      <c r="K2943" s="6"/>
      <c r="L2943" s="6" t="s">
        <v>3729</v>
      </c>
      <c r="M2943" s="6"/>
      <c r="N2943" s="6" t="s">
        <v>3730</v>
      </c>
      <c r="O2943" s="6" t="str">
        <f>HYPERLINK("https://ceds.ed.gov/cedselementdetails.aspx?termid=6182")</f>
        <v>https://ceds.ed.gov/cedselementdetails.aspx?termid=6182</v>
      </c>
      <c r="P2943" s="6" t="str">
        <f>HYPERLINK("https://ceds.ed.gov/elementComment.aspx?elementName=Learning Resource Version &amp;elementID=6182", "Click here to submit comment")</f>
        <v>Click here to submit comment</v>
      </c>
    </row>
    <row r="2944" spans="1:16" ht="45">
      <c r="A2944" s="6" t="s">
        <v>6917</v>
      </c>
      <c r="B2944" s="6" t="s">
        <v>6866</v>
      </c>
      <c r="C2944" s="6"/>
      <c r="D2944" s="6" t="s">
        <v>3804</v>
      </c>
      <c r="E2944" s="6" t="s">
        <v>3805</v>
      </c>
      <c r="F2944" s="6" t="s">
        <v>13</v>
      </c>
      <c r="G2944" s="6"/>
      <c r="H2944" s="6" t="s">
        <v>3</v>
      </c>
      <c r="I2944" s="6" t="s">
        <v>93</v>
      </c>
      <c r="J2944" s="6"/>
      <c r="K2944" s="6"/>
      <c r="L2944" s="6" t="s">
        <v>3806</v>
      </c>
      <c r="M2944" s="6"/>
      <c r="N2944" s="6" t="s">
        <v>3807</v>
      </c>
      <c r="O2944" s="6" t="str">
        <f>HYPERLINK("https://ceds.ed.gov/cedselementdetails.aspx?termid=5871")</f>
        <v>https://ceds.ed.gov/cedselementdetails.aspx?termid=5871</v>
      </c>
      <c r="P2944" s="6" t="str">
        <f>HYPERLINK("https://ceds.ed.gov/elementComment.aspx?elementName=Learning Standard Item Association Identifier &amp;elementID=5871", "Click here to submit comment")</f>
        <v>Click here to submit comment</v>
      </c>
    </row>
    <row r="2945" spans="1:16" ht="165">
      <c r="A2945" s="14" t="s">
        <v>6917</v>
      </c>
      <c r="B2945" s="14" t="s">
        <v>6866</v>
      </c>
      <c r="C2945" s="14"/>
      <c r="D2945" s="14" t="s">
        <v>3816</v>
      </c>
      <c r="E2945" s="14" t="s">
        <v>3817</v>
      </c>
      <c r="F2945" s="15" t="s">
        <v>6568</v>
      </c>
      <c r="G2945" s="14"/>
      <c r="H2945" s="14" t="s">
        <v>66</v>
      </c>
      <c r="I2945" s="14"/>
      <c r="J2945" s="14" t="s">
        <v>848</v>
      </c>
      <c r="K2945" s="6" t="s">
        <v>3818</v>
      </c>
      <c r="L2945" s="14" t="s">
        <v>3820</v>
      </c>
      <c r="M2945" s="14"/>
      <c r="N2945" s="14" t="s">
        <v>3821</v>
      </c>
      <c r="O2945" s="14" t="str">
        <f>HYPERLINK("https://ceds.ed.gov/cedselementdetails.aspx?termid=5869")</f>
        <v>https://ceds.ed.gov/cedselementdetails.aspx?termid=5869</v>
      </c>
      <c r="P2945" s="14" t="str">
        <f>HYPERLINK("https://ceds.ed.gov/elementComment.aspx?elementName=Learning Standard Item Association Type &amp;elementID=5869", "Click here to submit comment")</f>
        <v>Click here to submit comment</v>
      </c>
    </row>
    <row r="2946" spans="1:16" ht="135">
      <c r="A2946" s="14"/>
      <c r="B2946" s="14"/>
      <c r="C2946" s="14"/>
      <c r="D2946" s="14"/>
      <c r="E2946" s="14"/>
      <c r="F2946" s="14"/>
      <c r="G2946" s="14"/>
      <c r="H2946" s="14"/>
      <c r="I2946" s="14"/>
      <c r="J2946" s="14"/>
      <c r="K2946" s="6" t="s">
        <v>3819</v>
      </c>
      <c r="L2946" s="14"/>
      <c r="M2946" s="14"/>
      <c r="N2946" s="14"/>
      <c r="O2946" s="14"/>
      <c r="P2946" s="14"/>
    </row>
    <row r="2947" spans="1:16" ht="60">
      <c r="A2947" s="6" t="s">
        <v>6917</v>
      </c>
      <c r="B2947" s="6" t="s">
        <v>6866</v>
      </c>
      <c r="C2947" s="6" t="s">
        <v>6867</v>
      </c>
      <c r="D2947" s="6" t="s">
        <v>3653</v>
      </c>
      <c r="E2947" s="6" t="s">
        <v>3654</v>
      </c>
      <c r="F2947" s="6" t="s">
        <v>13</v>
      </c>
      <c r="G2947" s="6"/>
      <c r="H2947" s="6" t="s">
        <v>54</v>
      </c>
      <c r="I2947" s="6" t="s">
        <v>575</v>
      </c>
      <c r="J2947" s="6"/>
      <c r="K2947" s="6"/>
      <c r="L2947" s="6" t="s">
        <v>3655</v>
      </c>
      <c r="M2947" s="6"/>
      <c r="N2947" s="6" t="s">
        <v>3656</v>
      </c>
      <c r="O2947" s="6" t="str">
        <f>HYPERLINK("https://ceds.ed.gov/cedselementdetails.aspx?termid=6369")</f>
        <v>https://ceds.ed.gov/cedselementdetails.aspx?termid=6369</v>
      </c>
      <c r="P2947" s="6" t="str">
        <f>HYPERLINK("https://ceds.ed.gov/elementComment.aspx?elementName=Learning Resource Peer Rating Sample Size &amp;elementID=6369", "Click here to submit comment")</f>
        <v>Click here to submit comment</v>
      </c>
    </row>
    <row r="2948" spans="1:16" ht="90">
      <c r="A2948" s="6" t="s">
        <v>6917</v>
      </c>
      <c r="B2948" s="6" t="s">
        <v>6866</v>
      </c>
      <c r="C2948" s="6" t="s">
        <v>6867</v>
      </c>
      <c r="D2948" s="6" t="s">
        <v>3657</v>
      </c>
      <c r="E2948" s="6" t="s">
        <v>3658</v>
      </c>
      <c r="F2948" s="6" t="s">
        <v>13</v>
      </c>
      <c r="G2948" s="6"/>
      <c r="H2948" s="6"/>
      <c r="I2948" s="6" t="s">
        <v>957</v>
      </c>
      <c r="J2948" s="6"/>
      <c r="K2948" s="6"/>
      <c r="L2948" s="6" t="s">
        <v>3659</v>
      </c>
      <c r="M2948" s="6"/>
      <c r="N2948" s="6" t="s">
        <v>3660</v>
      </c>
      <c r="O2948" s="6" t="str">
        <f>HYPERLINK("https://ceds.ed.gov/cedselementdetails.aspx?termid=6161")</f>
        <v>https://ceds.ed.gov/cedselementdetails.aspx?termid=6161</v>
      </c>
      <c r="P2948" s="6" t="str">
        <f>HYPERLINK("https://ceds.ed.gov/elementComment.aspx?elementName=Learning Resource Peer Rating Value &amp;elementID=6161", "Click here to submit comment")</f>
        <v>Click here to submit comment</v>
      </c>
    </row>
    <row r="2949" spans="1:16" ht="30">
      <c r="A2949" s="6" t="s">
        <v>6917</v>
      </c>
      <c r="B2949" s="6" t="s">
        <v>6866</v>
      </c>
      <c r="C2949" s="6" t="s">
        <v>6867</v>
      </c>
      <c r="D2949" s="6" t="s">
        <v>4435</v>
      </c>
      <c r="E2949" s="6" t="s">
        <v>4436</v>
      </c>
      <c r="F2949" s="6" t="s">
        <v>13</v>
      </c>
      <c r="G2949" s="6"/>
      <c r="H2949" s="6"/>
      <c r="I2949" s="6" t="s">
        <v>73</v>
      </c>
      <c r="J2949" s="6"/>
      <c r="K2949" s="6"/>
      <c r="L2949" s="6" t="s">
        <v>4437</v>
      </c>
      <c r="M2949" s="6"/>
      <c r="N2949" s="6" t="s">
        <v>4438</v>
      </c>
      <c r="O2949" s="6" t="str">
        <f>HYPERLINK("https://ceds.ed.gov/cedselementdetails.aspx?termid=6171")</f>
        <v>https://ceds.ed.gov/cedselementdetails.aspx?termid=6171</v>
      </c>
      <c r="P2949" s="6" t="str">
        <f>HYPERLINK("https://ceds.ed.gov/elementComment.aspx?elementName=Peer Rating Date &amp;elementID=6171", "Click here to submit comment")</f>
        <v>Click here to submit comment</v>
      </c>
    </row>
    <row r="2950" spans="1:16" ht="45">
      <c r="A2950" s="6" t="s">
        <v>6917</v>
      </c>
      <c r="B2950" s="6" t="s">
        <v>6868</v>
      </c>
      <c r="C2950" s="6"/>
      <c r="D2950" s="6" t="s">
        <v>4439</v>
      </c>
      <c r="E2950" s="6" t="s">
        <v>4440</v>
      </c>
      <c r="F2950" s="6" t="s">
        <v>13</v>
      </c>
      <c r="G2950" s="6"/>
      <c r="H2950" s="6"/>
      <c r="I2950" s="6" t="s">
        <v>957</v>
      </c>
      <c r="J2950" s="6"/>
      <c r="K2950" s="6"/>
      <c r="L2950" s="6" t="s">
        <v>4441</v>
      </c>
      <c r="M2950" s="6"/>
      <c r="N2950" s="6" t="s">
        <v>4442</v>
      </c>
      <c r="O2950" s="6" t="str">
        <f>HYPERLINK("https://ceds.ed.gov/cedselementdetails.aspx?termid=6162")</f>
        <v>https://ceds.ed.gov/cedselementdetails.aspx?termid=6162</v>
      </c>
      <c r="P2950" s="6" t="str">
        <f>HYPERLINK("https://ceds.ed.gov/elementComment.aspx?elementName=Peer Rating System Maximum Value &amp;elementID=6162", "Click here to submit comment")</f>
        <v>Click here to submit comment</v>
      </c>
    </row>
    <row r="2951" spans="1:16" ht="45">
      <c r="A2951" s="6" t="s">
        <v>6917</v>
      </c>
      <c r="B2951" s="6" t="s">
        <v>6868</v>
      </c>
      <c r="C2951" s="6"/>
      <c r="D2951" s="6" t="s">
        <v>4443</v>
      </c>
      <c r="E2951" s="6" t="s">
        <v>4444</v>
      </c>
      <c r="F2951" s="6" t="s">
        <v>13</v>
      </c>
      <c r="G2951" s="6"/>
      <c r="H2951" s="6"/>
      <c r="I2951" s="6" t="s">
        <v>957</v>
      </c>
      <c r="J2951" s="6"/>
      <c r="K2951" s="6"/>
      <c r="L2951" s="6" t="s">
        <v>4445</v>
      </c>
      <c r="M2951" s="6"/>
      <c r="N2951" s="6" t="s">
        <v>4446</v>
      </c>
      <c r="O2951" s="6" t="str">
        <f>HYPERLINK("https://ceds.ed.gov/cedselementdetails.aspx?termid=6163")</f>
        <v>https://ceds.ed.gov/cedselementdetails.aspx?termid=6163</v>
      </c>
      <c r="P2951" s="6" t="str">
        <f>HYPERLINK("https://ceds.ed.gov/elementComment.aspx?elementName=Peer Rating System Minimum Value &amp;elementID=6163", "Click here to submit comment")</f>
        <v>Click here to submit comment</v>
      </c>
    </row>
    <row r="2952" spans="1:16" ht="30">
      <c r="A2952" s="6" t="s">
        <v>6917</v>
      </c>
      <c r="B2952" s="6" t="s">
        <v>6868</v>
      </c>
      <c r="C2952" s="6"/>
      <c r="D2952" s="6" t="s">
        <v>4447</v>
      </c>
      <c r="E2952" s="6" t="s">
        <v>4448</v>
      </c>
      <c r="F2952" s="6" t="s">
        <v>13</v>
      </c>
      <c r="G2952" s="6"/>
      <c r="H2952" s="6"/>
      <c r="I2952" s="6" t="s">
        <v>106</v>
      </c>
      <c r="J2952" s="6"/>
      <c r="K2952" s="6"/>
      <c r="L2952" s="6" t="s">
        <v>4449</v>
      </c>
      <c r="M2952" s="6"/>
      <c r="N2952" s="6" t="s">
        <v>4450</v>
      </c>
      <c r="O2952" s="6" t="str">
        <f>HYPERLINK("https://ceds.ed.gov/cedselementdetails.aspx?termid=6160")</f>
        <v>https://ceds.ed.gov/cedselementdetails.aspx?termid=6160</v>
      </c>
      <c r="P2952" s="6" t="str">
        <f>HYPERLINK("https://ceds.ed.gov/elementComment.aspx?elementName=Peer Rating System Name &amp;elementID=6160", "Click here to submit comment")</f>
        <v>Click here to submit comment</v>
      </c>
    </row>
    <row r="2953" spans="1:16" ht="75">
      <c r="A2953" s="6" t="s">
        <v>6917</v>
      </c>
      <c r="B2953" s="6" t="s">
        <v>6868</v>
      </c>
      <c r="C2953" s="6"/>
      <c r="D2953" s="6" t="s">
        <v>4451</v>
      </c>
      <c r="E2953" s="6" t="s">
        <v>4452</v>
      </c>
      <c r="F2953" s="6" t="s">
        <v>13</v>
      </c>
      <c r="G2953" s="6"/>
      <c r="H2953" s="6"/>
      <c r="I2953" s="6" t="s">
        <v>957</v>
      </c>
      <c r="J2953" s="6"/>
      <c r="K2953" s="6"/>
      <c r="L2953" s="6" t="s">
        <v>4453</v>
      </c>
      <c r="M2953" s="6"/>
      <c r="N2953" s="6" t="s">
        <v>4454</v>
      </c>
      <c r="O2953" s="6" t="str">
        <f>HYPERLINK("https://ceds.ed.gov/cedselementdetails.aspx?termid=6164")</f>
        <v>https://ceds.ed.gov/cedselementdetails.aspx?termid=6164</v>
      </c>
      <c r="P2953" s="6" t="str">
        <f>HYPERLINK("https://ceds.ed.gov/elementComment.aspx?elementName=Peer Rating System Optimum Value &amp;elementID=6164", "Click here to submit comment")</f>
        <v>Click here to submit comment</v>
      </c>
    </row>
    <row r="2954" spans="1:16" ht="45">
      <c r="A2954" s="6" t="s">
        <v>6918</v>
      </c>
      <c r="B2954" s="6" t="s">
        <v>6919</v>
      </c>
      <c r="C2954" s="6"/>
      <c r="D2954" s="6" t="s">
        <v>1425</v>
      </c>
      <c r="E2954" s="6" t="s">
        <v>1426</v>
      </c>
      <c r="F2954" s="6" t="s">
        <v>13</v>
      </c>
      <c r="G2954" s="6"/>
      <c r="H2954" s="6"/>
      <c r="I2954" s="6" t="s">
        <v>106</v>
      </c>
      <c r="J2954" s="6"/>
      <c r="K2954" s="6"/>
      <c r="L2954" s="6" t="s">
        <v>1427</v>
      </c>
      <c r="M2954" s="6"/>
      <c r="N2954" s="6" t="s">
        <v>1428</v>
      </c>
      <c r="O2954" s="6" t="str">
        <f>HYPERLINK("https://ceds.ed.gov/cedselementdetails.aspx?termid=6122")</f>
        <v>https://ceds.ed.gov/cedselementdetails.aspx?termid=6122</v>
      </c>
      <c r="P2954" s="6" t="str">
        <f>HYPERLINK("https://ceds.ed.gov/elementComment.aspx?elementName=Authentication Identity Provider Name &amp;elementID=6122", "Click here to submit comment")</f>
        <v>Click here to submit comment</v>
      </c>
    </row>
    <row r="2955" spans="1:16" ht="45">
      <c r="A2955" s="6" t="s">
        <v>6918</v>
      </c>
      <c r="B2955" s="6" t="s">
        <v>6919</v>
      </c>
      <c r="C2955" s="6"/>
      <c r="D2955" s="6" t="s">
        <v>1433</v>
      </c>
      <c r="E2955" s="6" t="s">
        <v>1434</v>
      </c>
      <c r="F2955" s="6" t="s">
        <v>13</v>
      </c>
      <c r="G2955" s="6"/>
      <c r="H2955" s="6"/>
      <c r="I2955" s="6" t="s">
        <v>93</v>
      </c>
      <c r="J2955" s="6"/>
      <c r="K2955" s="6"/>
      <c r="L2955" s="6" t="s">
        <v>1435</v>
      </c>
      <c r="M2955" s="6"/>
      <c r="N2955" s="6" t="s">
        <v>1436</v>
      </c>
      <c r="O2955" s="6" t="str">
        <f>HYPERLINK("https://ceds.ed.gov/cedselementdetails.aspx?termid=6123")</f>
        <v>https://ceds.ed.gov/cedselementdetails.aspx?termid=6123</v>
      </c>
      <c r="P2955" s="6" t="str">
        <f>HYPERLINK("https://ceds.ed.gov/elementComment.aspx?elementName=Authentication Identity Provider URI &amp;elementID=6123", "Click here to submit comment")</f>
        <v>Click here to submit comment</v>
      </c>
    </row>
    <row r="2956" spans="1:16" ht="45">
      <c r="A2956" s="6" t="s">
        <v>6918</v>
      </c>
      <c r="B2956" s="6" t="s">
        <v>6919</v>
      </c>
      <c r="C2956" s="6"/>
      <c r="D2956" s="6" t="s">
        <v>1421</v>
      </c>
      <c r="E2956" s="6" t="s">
        <v>1422</v>
      </c>
      <c r="F2956" s="6" t="s">
        <v>13</v>
      </c>
      <c r="G2956" s="6"/>
      <c r="H2956" s="6"/>
      <c r="I2956" s="6" t="s">
        <v>106</v>
      </c>
      <c r="J2956" s="6"/>
      <c r="K2956" s="6"/>
      <c r="L2956" s="6" t="s">
        <v>1423</v>
      </c>
      <c r="M2956" s="6"/>
      <c r="N2956" s="6" t="s">
        <v>1424</v>
      </c>
      <c r="O2956" s="6" t="str">
        <f>HYPERLINK("https://ceds.ed.gov/cedselementdetails.aspx?termid=6124")</f>
        <v>https://ceds.ed.gov/cedselementdetails.aspx?termid=6124</v>
      </c>
      <c r="P2956" s="6" t="str">
        <f>HYPERLINK("https://ceds.ed.gov/elementComment.aspx?elementName=Authentication Identity Provider Login Identifier &amp;elementID=6124", "Click here to submit comment")</f>
        <v>Click here to submit comment</v>
      </c>
    </row>
    <row r="2957" spans="1:16" ht="60">
      <c r="A2957" s="6" t="s">
        <v>6918</v>
      </c>
      <c r="B2957" s="6" t="s">
        <v>6919</v>
      </c>
      <c r="C2957" s="6"/>
      <c r="D2957" s="6" t="s">
        <v>1429</v>
      </c>
      <c r="E2957" s="6" t="s">
        <v>1430</v>
      </c>
      <c r="F2957" s="6" t="s">
        <v>13</v>
      </c>
      <c r="G2957" s="6"/>
      <c r="H2957" s="6"/>
      <c r="I2957" s="6" t="s">
        <v>73</v>
      </c>
      <c r="J2957" s="6"/>
      <c r="K2957" s="6"/>
      <c r="L2957" s="6" t="s">
        <v>1431</v>
      </c>
      <c r="M2957" s="6"/>
      <c r="N2957" s="6" t="s">
        <v>1432</v>
      </c>
      <c r="O2957" s="6" t="str">
        <f>HYPERLINK("https://ceds.ed.gov/cedselementdetails.aspx?termid=6125")</f>
        <v>https://ceds.ed.gov/cedselementdetails.aspx?termid=6125</v>
      </c>
      <c r="P2957" s="6" t="str">
        <f>HYPERLINK("https://ceds.ed.gov/elementComment.aspx?elementName=Authentication Identity Provider Start Date &amp;elementID=6125", "Click here to submit comment")</f>
        <v>Click here to submit comment</v>
      </c>
    </row>
    <row r="2958" spans="1:16" ht="60">
      <c r="A2958" s="6" t="s">
        <v>6918</v>
      </c>
      <c r="B2958" s="6" t="s">
        <v>6919</v>
      </c>
      <c r="C2958" s="6"/>
      <c r="D2958" s="6" t="s">
        <v>1416</v>
      </c>
      <c r="E2958" s="6" t="s">
        <v>1417</v>
      </c>
      <c r="F2958" s="6" t="s">
        <v>13</v>
      </c>
      <c r="G2958" s="6"/>
      <c r="H2958" s="6"/>
      <c r="I2958" s="6" t="s">
        <v>73</v>
      </c>
      <c r="J2958" s="6"/>
      <c r="K2958" s="6"/>
      <c r="L2958" s="6" t="s">
        <v>1419</v>
      </c>
      <c r="M2958" s="6"/>
      <c r="N2958" s="6" t="s">
        <v>1420</v>
      </c>
      <c r="O2958" s="6" t="str">
        <f>HYPERLINK("https://ceds.ed.gov/cedselementdetails.aspx?termid=6126")</f>
        <v>https://ceds.ed.gov/cedselementdetails.aspx?termid=6126</v>
      </c>
      <c r="P2958" s="6" t="str">
        <f>HYPERLINK("https://ceds.ed.gov/elementComment.aspx?elementName=Authentication Identity Provider End Date &amp;elementID=6126", "Click here to submit comment")</f>
        <v>Click here to submit comment</v>
      </c>
    </row>
    <row r="2959" spans="1:16" ht="45">
      <c r="A2959" s="6" t="s">
        <v>6918</v>
      </c>
      <c r="B2959" s="6" t="s">
        <v>6920</v>
      </c>
      <c r="C2959" s="6"/>
      <c r="D2959" s="6" t="s">
        <v>1437</v>
      </c>
      <c r="E2959" s="6" t="s">
        <v>1438</v>
      </c>
      <c r="F2959" s="6" t="s">
        <v>13</v>
      </c>
      <c r="G2959" s="6"/>
      <c r="H2959" s="6"/>
      <c r="I2959" s="6" t="s">
        <v>1440</v>
      </c>
      <c r="J2959" s="6"/>
      <c r="K2959" s="6"/>
      <c r="L2959" s="6" t="s">
        <v>1441</v>
      </c>
      <c r="M2959" s="6"/>
      <c r="N2959" s="6" t="s">
        <v>1442</v>
      </c>
      <c r="O2959" s="6" t="str">
        <f>HYPERLINK("https://ceds.ed.gov/cedselementdetails.aspx?termid=6127")</f>
        <v>https://ceds.ed.gov/cedselementdetails.aspx?termid=6127</v>
      </c>
      <c r="P2959" s="6" t="str">
        <f>HYPERLINK("https://ceds.ed.gov/elementComment.aspx?elementName=Authorization Application Name &amp;elementID=6127", "Click here to submit comment")</f>
        <v>Click here to submit comment</v>
      </c>
    </row>
    <row r="2960" spans="1:16" ht="45">
      <c r="A2960" s="6" t="s">
        <v>6918</v>
      </c>
      <c r="B2960" s="6" t="s">
        <v>6920</v>
      </c>
      <c r="C2960" s="6"/>
      <c r="D2960" s="6" t="s">
        <v>1447</v>
      </c>
      <c r="E2960" s="6" t="s">
        <v>1448</v>
      </c>
      <c r="F2960" s="6" t="s">
        <v>13</v>
      </c>
      <c r="G2960" s="6"/>
      <c r="H2960" s="6"/>
      <c r="I2960" s="6" t="s">
        <v>93</v>
      </c>
      <c r="J2960" s="6"/>
      <c r="K2960" s="6"/>
      <c r="L2960" s="6" t="s">
        <v>1449</v>
      </c>
      <c r="M2960" s="6"/>
      <c r="N2960" s="6" t="s">
        <v>1450</v>
      </c>
      <c r="O2960" s="6" t="str">
        <f>HYPERLINK("https://ceds.ed.gov/cedselementdetails.aspx?termid=6128")</f>
        <v>https://ceds.ed.gov/cedselementdetails.aspx?termid=6128</v>
      </c>
      <c r="P2960" s="6" t="str">
        <f>HYPERLINK("https://ceds.ed.gov/elementComment.aspx?elementName=Authorization Application URI &amp;elementID=6128", "Click here to submit comment")</f>
        <v>Click here to submit comment</v>
      </c>
    </row>
    <row r="2961" spans="1:16" ht="45">
      <c r="A2961" s="6" t="s">
        <v>6918</v>
      </c>
      <c r="B2961" s="6" t="s">
        <v>6920</v>
      </c>
      <c r="C2961" s="6"/>
      <c r="D2961" s="6" t="s">
        <v>1443</v>
      </c>
      <c r="E2961" s="6" t="s">
        <v>1444</v>
      </c>
      <c r="F2961" s="6" t="s">
        <v>13</v>
      </c>
      <c r="G2961" s="6"/>
      <c r="H2961" s="6"/>
      <c r="I2961" s="6" t="s">
        <v>106</v>
      </c>
      <c r="J2961" s="6"/>
      <c r="K2961" s="6"/>
      <c r="L2961" s="6" t="s">
        <v>1445</v>
      </c>
      <c r="M2961" s="6"/>
      <c r="N2961" s="6" t="s">
        <v>1446</v>
      </c>
      <c r="O2961" s="6" t="str">
        <f>HYPERLINK("https://ceds.ed.gov/cedselementdetails.aspx?termid=6129")</f>
        <v>https://ceds.ed.gov/cedselementdetails.aspx?termid=6129</v>
      </c>
      <c r="P2961" s="6" t="str">
        <f>HYPERLINK("https://ceds.ed.gov/elementComment.aspx?elementName=Authorization Application Role Name &amp;elementID=6129", "Click here to submit comment")</f>
        <v>Click here to submit comment</v>
      </c>
    </row>
    <row r="2962" spans="1:16" ht="45">
      <c r="A2962" s="6" t="s">
        <v>6918</v>
      </c>
      <c r="B2962" s="6" t="s">
        <v>6920</v>
      </c>
      <c r="C2962" s="6"/>
      <c r="D2962" s="6" t="s">
        <v>1455</v>
      </c>
      <c r="E2962" s="6" t="s">
        <v>1456</v>
      </c>
      <c r="F2962" s="6" t="s">
        <v>13</v>
      </c>
      <c r="G2962" s="6"/>
      <c r="H2962" s="6"/>
      <c r="I2962" s="6" t="s">
        <v>73</v>
      </c>
      <c r="J2962" s="6"/>
      <c r="K2962" s="6"/>
      <c r="L2962" s="6" t="s">
        <v>1457</v>
      </c>
      <c r="M2962" s="6"/>
      <c r="N2962" s="6" t="s">
        <v>1458</v>
      </c>
      <c r="O2962" s="6" t="str">
        <f>HYPERLINK("https://ceds.ed.gov/cedselementdetails.aspx?termid=6130")</f>
        <v>https://ceds.ed.gov/cedselementdetails.aspx?termid=6130</v>
      </c>
      <c r="P2962" s="6" t="str">
        <f>HYPERLINK("https://ceds.ed.gov/elementComment.aspx?elementName=Authorization Start Date &amp;elementID=6130", "Click here to submit comment")</f>
        <v>Click here to submit comment</v>
      </c>
    </row>
    <row r="2963" spans="1:16" ht="45">
      <c r="A2963" s="6" t="s">
        <v>6918</v>
      </c>
      <c r="B2963" s="6" t="s">
        <v>6920</v>
      </c>
      <c r="C2963" s="6"/>
      <c r="D2963" s="6" t="s">
        <v>1451</v>
      </c>
      <c r="E2963" s="6" t="s">
        <v>1452</v>
      </c>
      <c r="F2963" s="6" t="s">
        <v>13</v>
      </c>
      <c r="G2963" s="6"/>
      <c r="H2963" s="6"/>
      <c r="I2963" s="6" t="s">
        <v>73</v>
      </c>
      <c r="J2963" s="6"/>
      <c r="K2963" s="6"/>
      <c r="L2963" s="6" t="s">
        <v>1453</v>
      </c>
      <c r="M2963" s="6"/>
      <c r="N2963" s="6" t="s">
        <v>1454</v>
      </c>
      <c r="O2963" s="6" t="str">
        <f>HYPERLINK("https://ceds.ed.gov/cedselementdetails.aspx?termid=6131")</f>
        <v>https://ceds.ed.gov/cedselementdetails.aspx?termid=6131</v>
      </c>
      <c r="P2963" s="6" t="str">
        <f>HYPERLINK("https://ceds.ed.gov/elementComment.aspx?elementName=Authorization End Date &amp;elementID=6131", "Click here to submit comment")</f>
        <v>Click here to submit comment</v>
      </c>
    </row>
  </sheetData>
  <autoFilter ref="A1:P1"/>
  <mergeCells count="60">
    <mergeCell ref="J2945:J2946"/>
    <mergeCell ref="L2945:L2946"/>
    <mergeCell ref="M2945:M2946"/>
    <mergeCell ref="N2945:N2946"/>
    <mergeCell ref="O2945:O2946"/>
    <mergeCell ref="P2945:P2946"/>
    <mergeCell ref="P2895:P2896"/>
    <mergeCell ref="A2945:A2946"/>
    <mergeCell ref="B2945:B2946"/>
    <mergeCell ref="C2945:C2946"/>
    <mergeCell ref="D2945:D2946"/>
    <mergeCell ref="E2945:E2946"/>
    <mergeCell ref="F2945:F2946"/>
    <mergeCell ref="G2945:G2946"/>
    <mergeCell ref="H2945:H2946"/>
    <mergeCell ref="I2945:I2946"/>
    <mergeCell ref="I2895:I2896"/>
    <mergeCell ref="J2895:J2896"/>
    <mergeCell ref="L2895:L2896"/>
    <mergeCell ref="M2895:M2896"/>
    <mergeCell ref="N2895:N2896"/>
    <mergeCell ref="O2895:O2896"/>
    <mergeCell ref="O2806:O2807"/>
    <mergeCell ref="P2806:P2807"/>
    <mergeCell ref="A2895:A2896"/>
    <mergeCell ref="B2895:B2896"/>
    <mergeCell ref="C2895:C2896"/>
    <mergeCell ref="D2895:D2896"/>
    <mergeCell ref="E2895:E2896"/>
    <mergeCell ref="F2895:F2896"/>
    <mergeCell ref="G2895:G2896"/>
    <mergeCell ref="H2895:H2896"/>
    <mergeCell ref="H2806:H2807"/>
    <mergeCell ref="I2806:I2807"/>
    <mergeCell ref="J2806:J2807"/>
    <mergeCell ref="L2806:L2807"/>
    <mergeCell ref="M2806:M2807"/>
    <mergeCell ref="N2806:N2807"/>
    <mergeCell ref="N1929:N1930"/>
    <mergeCell ref="O1929:O1930"/>
    <mergeCell ref="P1929:P1930"/>
    <mergeCell ref="A2806:A2807"/>
    <mergeCell ref="B2806:B2807"/>
    <mergeCell ref="C2806:C2807"/>
    <mergeCell ref="D2806:D2807"/>
    <mergeCell ref="E2806:E2807"/>
    <mergeCell ref="F2806:F2807"/>
    <mergeCell ref="G2806:G2807"/>
    <mergeCell ref="G1929:G1930"/>
    <mergeCell ref="H1929:H1930"/>
    <mergeCell ref="I1929:I1930"/>
    <mergeCell ref="J1929:J1930"/>
    <mergeCell ref="L1929:L1930"/>
    <mergeCell ref="M1929:M1930"/>
    <mergeCell ref="A1929:A1930"/>
    <mergeCell ref="B1929:B1930"/>
    <mergeCell ref="C1929:C1930"/>
    <mergeCell ref="D1929:D1930"/>
    <mergeCell ref="E1929:E1930"/>
    <mergeCell ref="F1929:F1930"/>
  </mergeCells>
  <hyperlinks>
    <hyperlink ref="F75" r:id="rId1" display="languageCodes.aspx"/>
    <hyperlink ref="F327" r:id="rId2" display="languageCodes.aspx"/>
    <hyperlink ref="F485" r:id="rId3" display="languageCodes.aspx"/>
    <hyperlink ref="F504" r:id="rId4" display="languageCodes.aspx"/>
    <hyperlink ref="F949" r:id="rId5" display="languageCodes.aspx"/>
    <hyperlink ref="F1230" r:id="rId6" display="languageCodes.aspx"/>
    <hyperlink ref="F1245" r:id="rId7" display="ScedCourseCodes.aspx"/>
    <hyperlink ref="F1263" r:id="rId8" display="languageCodes.aspx"/>
    <hyperlink ref="F1351" r:id="rId9" display="languageCodes.aspx"/>
    <hyperlink ref="F1361" r:id="rId10" display="languageCodes.aspx"/>
    <hyperlink ref="F1490" r:id="rId11" display="languageCodes.aspx"/>
    <hyperlink ref="F1553" r:id="rId12" display="languageCodes.aspx"/>
    <hyperlink ref="F1560" r:id="rId13" display="languageCodes.aspx"/>
    <hyperlink ref="F1561" r:id="rId14" display="languageCodes.aspx"/>
    <hyperlink ref="F1593" r:id="rId15" display="languageCodes.aspx"/>
    <hyperlink ref="F1639" r:id="rId16" display="languageCodes.aspx"/>
    <hyperlink ref="F1759" r:id="rId17" display="languageCodes.aspx"/>
    <hyperlink ref="F1905" r:id="rId18" display="http://nces.ed.gov/ipeds/cipcode/browse.aspx?y=55"/>
    <hyperlink ref="F2006" r:id="rId19" display="http://nces.ed.gov/ipeds/cipcode/browse.aspx?y=55"/>
    <hyperlink ref="F2161" r:id="rId20" display="languageCodes.aspx"/>
    <hyperlink ref="F2235" r:id="rId21" display="http://nces.ed.gov/ipeds/cipcode/browse.aspx?y=55"/>
    <hyperlink ref="F2256" r:id="rId22" display="languageCodes.aspx"/>
    <hyperlink ref="F2260" r:id="rId23" display="ScedCourseCodes.aspx"/>
    <hyperlink ref="F2275" r:id="rId24" display="languageCodes.aspx"/>
    <hyperlink ref="F2482" r:id="rId25" display="languageCodes.aspx"/>
    <hyperlink ref="F2490" r:id="rId26" display="languageCodes.aspx"/>
    <hyperlink ref="F2635" r:id="rId27" display="languageCodes.aspx"/>
    <hyperlink ref="F2698" r:id="rId28" display="languageCodes.aspx"/>
    <hyperlink ref="F2705" r:id="rId29" display="languageCodes.aspx"/>
    <hyperlink ref="F2706" r:id="rId30" display="languageCodes.aspx"/>
    <hyperlink ref="F2738" r:id="rId31" display="languageCodes.aspx"/>
    <hyperlink ref="F2773" r:id="rId32" display="languageCodes.aspx"/>
    <hyperlink ref="F2792" r:id="rId33" display="languageCodes.aspx"/>
    <hyperlink ref="F2843" r:id="rId34" display="languageCodes.aspx"/>
    <hyperlink ref="F2860" r:id="rId35" display="languageCodes.aspx"/>
    <hyperlink ref="F2878" r:id="rId36" display="languageCodes.aspx"/>
    <hyperlink ref="F2927" r:id="rId37" display="languageCodes.asp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New in Version 4</vt:lpstr>
      <vt:lpstr>Updated in Version 4</vt:lpstr>
      <vt:lpstr>Removed from Version 4</vt:lpstr>
      <vt:lpstr>New Associations</vt:lpstr>
      <vt:lpstr>All - By Name</vt:lpstr>
      <vt:lpstr>All - By Domain Entity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htello</dc:creator>
  <cp:lastModifiedBy>Jill Parkes</cp:lastModifiedBy>
  <dcterms:created xsi:type="dcterms:W3CDTF">2014-01-23T19:12:06Z</dcterms:created>
  <dcterms:modified xsi:type="dcterms:W3CDTF">2014-02-26T19:00:16Z</dcterms:modified>
</cp:coreProperties>
</file>